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queryTables/queryTable1.xml" ContentType="application/vnd.openxmlformats-officedocument.spreadsheetml.query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harts/chart29.xml" ContentType="application/vnd.openxmlformats-officedocument.drawingml.chart+xml"/>
  <Override PartName="/xl/worksheets/sheet3.xml" ContentType="application/vnd.openxmlformats-officedocument.spreadsheetml.worksheet+xml"/>
  <Override PartName="/xl/connections.xml" ContentType="application/vnd.openxmlformats-officedocument.spreadsheetml.connections+xml"/>
  <Override PartName="/xl/comments2.xml" ContentType="application/vnd.openxmlformats-officedocument.spreadsheetml.comments+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Default Extension="jpeg" ContentType="image/jpeg"/>
  <Override PartName="/xl/drawings/drawing5.xml" ContentType="application/vnd.openxmlformats-officedocument.drawing+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xl/charts/chart3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6" windowWidth="15300" windowHeight="6336" tabRatio="716"/>
  </bookViews>
  <sheets>
    <sheet name="Main" sheetId="1" r:id="rId1"/>
    <sheet name="Shadow" sheetId="6" r:id="rId2"/>
    <sheet name="Hook" sheetId="12" r:id="rId3"/>
    <sheet name="Epicycloid" sheetId="13" r:id="rId4"/>
    <sheet name="Dual" sheetId="11" r:id="rId5"/>
    <sheet name="PV" sheetId="2" r:id="rId6"/>
    <sheet name="Materials" sheetId="8" r:id="rId7"/>
    <sheet name="Inverters" sheetId="4" r:id="rId8"/>
    <sheet name="DecAdjust" sheetId="7" r:id="rId9"/>
    <sheet name="Pics" sheetId="3" r:id="rId10"/>
    <sheet name="Data" sheetId="9" r:id="rId11"/>
    <sheet name="Wheel" sheetId="10" r:id="rId12"/>
  </sheets>
  <externalReferences>
    <externalReference r:id="rId13"/>
  </externalReferences>
  <definedNames>
    <definedName name="A_1">PV!$A$46</definedName>
    <definedName name="A_10">PV!$A$729</definedName>
    <definedName name="A_10Imp">PV!$C$745</definedName>
    <definedName name="A_10Isc">PV!$C$746</definedName>
    <definedName name="A_10L">PV!$D$729</definedName>
    <definedName name="A_10P">PV!$C$742</definedName>
    <definedName name="A_10PA">PV!$C$737</definedName>
    <definedName name="A_10PC">PV!$C$736</definedName>
    <definedName name="A_10PL">PV!$C$730</definedName>
    <definedName name="A_10PWHE">PV!$C$732</definedName>
    <definedName name="A_10PWLE">PV!$C$731</definedName>
    <definedName name="A_10SC">PV!$C$735</definedName>
    <definedName name="A_10TA">PV!$C$734</definedName>
    <definedName name="A_10TL">PV!$C$733</definedName>
    <definedName name="A_10Vmp">PV!$C$743</definedName>
    <definedName name="A_10Voc">PV!$C$744</definedName>
    <definedName name="A_10W">PV!$E$729</definedName>
    <definedName name="A_10WC">PV!$C$739</definedName>
    <definedName name="A_10WL">PV!$C$738</definedName>
    <definedName name="A_10WT">PV!$C$741</definedName>
    <definedName name="A_10WTC">PV!$C$740</definedName>
    <definedName name="A_12">PV!$A$787</definedName>
    <definedName name="A_12Imp">PV!$C$803</definedName>
    <definedName name="A_12Isc">PV!$C$804</definedName>
    <definedName name="A_12L">PV!$D$787</definedName>
    <definedName name="A_12P">PV!$C$800</definedName>
    <definedName name="A_12PA">PV!$C$795</definedName>
    <definedName name="A_12PC">PV!$C$794</definedName>
    <definedName name="A_12PL">PV!$C$788</definedName>
    <definedName name="A_12PWHE">PV!$C$790</definedName>
    <definedName name="A_12PWLE">PV!$C$789</definedName>
    <definedName name="A_12SC">PV!$C$793</definedName>
    <definedName name="A_12TA">PV!$C$792</definedName>
    <definedName name="A_12TL">PV!$C$791</definedName>
    <definedName name="A_12Vmp">PV!$C$801</definedName>
    <definedName name="A_12Voc">PV!$C$802</definedName>
    <definedName name="A_12W">PV!$E$787</definedName>
    <definedName name="A_12WC">PV!$C$797</definedName>
    <definedName name="A_12WL">PV!$C$796</definedName>
    <definedName name="A_12WT">PV!$C$799</definedName>
    <definedName name="A_12WTC">PV!$C$798</definedName>
    <definedName name="A_1Imp">PV!$C$62</definedName>
    <definedName name="A_1Isc">PV!$C$63</definedName>
    <definedName name="A_1L">PV!$D$46</definedName>
    <definedName name="A_1P">PV!$C$59</definedName>
    <definedName name="A_1PA">PV!$C$54</definedName>
    <definedName name="A_1PC">PV!$C$53</definedName>
    <definedName name="A_1PL">PV!$C$47</definedName>
    <definedName name="A_1PWHE">PV!$C$49</definedName>
    <definedName name="A_1PWLE">PV!$C$48</definedName>
    <definedName name="A_1SC">PV!$C$52</definedName>
    <definedName name="A_1TA">PV!$C$51</definedName>
    <definedName name="A_1TL">PV!$C$50</definedName>
    <definedName name="A_1Vmp">PV!$C$60</definedName>
    <definedName name="A_1Voc">PV!$C$61</definedName>
    <definedName name="A_1W">PV!$E$46</definedName>
    <definedName name="A_1WC">PV!$C$56</definedName>
    <definedName name="A_1WL">PV!$C$55</definedName>
    <definedName name="A_1WT">PV!$C$58</definedName>
    <definedName name="A_1WTC">PV!$C$57</definedName>
    <definedName name="A_1XPan">PV!$C$52</definedName>
    <definedName name="A_1YPan">PV!$C$53</definedName>
    <definedName name="A_2">PV!$A$264</definedName>
    <definedName name="A_2Imp">PV!$C$280</definedName>
    <definedName name="A_2Isc">PV!$C$281</definedName>
    <definedName name="A_2L">PV!$D$264</definedName>
    <definedName name="A_2P">PV!$C$277</definedName>
    <definedName name="A_2PA">PV!$C$272</definedName>
    <definedName name="A_2PC">PV!$C$271</definedName>
    <definedName name="A_2PL">PV!$C$265</definedName>
    <definedName name="A_2PWHE">PV!$C$267</definedName>
    <definedName name="A_2PWLE">PV!$C$266</definedName>
    <definedName name="A_2SC">PV!$C$270</definedName>
    <definedName name="A_2TA">PV!$C$269</definedName>
    <definedName name="A_2TL">PV!$C$268</definedName>
    <definedName name="A_2Vmp">PV!$C$278</definedName>
    <definedName name="A_2Voc">PV!$C$279</definedName>
    <definedName name="A_2W">PV!$E$264</definedName>
    <definedName name="A_2WC">PV!$C$274</definedName>
    <definedName name="A_2WL">PV!$C$273</definedName>
    <definedName name="A_2WT">PV!$C$276</definedName>
    <definedName name="A_2WTC">PV!$C$275</definedName>
    <definedName name="A_4">PV!$A$288</definedName>
    <definedName name="A_4Imp">PV!$C$304</definedName>
    <definedName name="A_4Isc">PV!$C$305</definedName>
    <definedName name="A_4L">PV!$D$288</definedName>
    <definedName name="A_4P">PV!$C$301</definedName>
    <definedName name="A_4PA">PV!$C$296</definedName>
    <definedName name="A_4PC">PV!$C$295</definedName>
    <definedName name="A_4PL">PV!$C$289</definedName>
    <definedName name="A_4PWHE">PV!$C$291</definedName>
    <definedName name="A_4PWLE">PV!$C$290</definedName>
    <definedName name="A_4SC">PV!$C$294</definedName>
    <definedName name="A_4TA">PV!$C$293</definedName>
    <definedName name="A_4TL">PV!$C$292</definedName>
    <definedName name="A_4TR">PV!$C$292</definedName>
    <definedName name="A_4Vmp">PV!$C$302</definedName>
    <definedName name="A_4Voc">PV!$C$303</definedName>
    <definedName name="A_4W">PV!$E$288</definedName>
    <definedName name="A_4WC">PV!$C$298</definedName>
    <definedName name="A_4WL">PV!$C$297</definedName>
    <definedName name="A_4WT">PV!$C$300</definedName>
    <definedName name="A_4WTC">PV!$C$299</definedName>
    <definedName name="A_5">PV!$A$317</definedName>
    <definedName name="A_5Imp">PV!$C$333</definedName>
    <definedName name="A_5Isc">PV!$C$334</definedName>
    <definedName name="A_5L">PV!$D$317</definedName>
    <definedName name="A_5P">PV!$C$330</definedName>
    <definedName name="A_5PA">PV!$C$325</definedName>
    <definedName name="A_5PC">PV!$C$324</definedName>
    <definedName name="A_5PL">PV!$C$318</definedName>
    <definedName name="A_5PWHE">PV!$C$320</definedName>
    <definedName name="A_5PWLE">PV!$C$319</definedName>
    <definedName name="A_5SC">PV!$C$323</definedName>
    <definedName name="A_5TA">PV!$C$322</definedName>
    <definedName name="A_5TL">PV!$C$321</definedName>
    <definedName name="A_5TR">PV!$C$321</definedName>
    <definedName name="A_5Vmp">PV!$C$331</definedName>
    <definedName name="A_5Voc">PV!$C$332</definedName>
    <definedName name="A_5W">PV!$E$317</definedName>
    <definedName name="A_5WC">PV!$C$327</definedName>
    <definedName name="A_5WL">PV!$C$326</definedName>
    <definedName name="A_5WT">PV!$C$329</definedName>
    <definedName name="A_5WTC">PV!$C$328</definedName>
    <definedName name="A_6">PV!$A$351</definedName>
    <definedName name="A_6Imp">PV!$C$367</definedName>
    <definedName name="A_6Isc">PV!$C$368</definedName>
    <definedName name="A_6L">PV!$D$351</definedName>
    <definedName name="A_6P">PV!$C$364</definedName>
    <definedName name="A_6PA">PV!$C$359</definedName>
    <definedName name="A_6PC">PV!$C$358</definedName>
    <definedName name="A_6PL">PV!$C$352</definedName>
    <definedName name="A_6PWHE">PV!$C$354</definedName>
    <definedName name="A_6PWLE">PV!$C$353</definedName>
    <definedName name="A_6SC">PV!$C$357</definedName>
    <definedName name="A_6TA">PV!$C$356</definedName>
    <definedName name="A_6TL">PV!$C$355</definedName>
    <definedName name="A_6Vmp">PV!$C$365</definedName>
    <definedName name="A_6Voc">PV!$C$366</definedName>
    <definedName name="A_6W">PV!$E$351</definedName>
    <definedName name="A_6WC">PV!$C$361</definedName>
    <definedName name="A_6WL">PV!$C$360</definedName>
    <definedName name="A_6WT">PV!$C$363</definedName>
    <definedName name="A_6WTC">PV!$C$362</definedName>
    <definedName name="A_8">PV!$A$670</definedName>
    <definedName name="A_8Imp">PV!$C$686</definedName>
    <definedName name="A_8Isc">PV!$C$687</definedName>
    <definedName name="A_8L">PV!$D$670</definedName>
    <definedName name="A_8P">PV!$C$683</definedName>
    <definedName name="A_8PA">PV!$C$678</definedName>
    <definedName name="A_8PC">PV!$C$677</definedName>
    <definedName name="A_8PL">PV!$C$671</definedName>
    <definedName name="A_8PWHE">PV!$C$673</definedName>
    <definedName name="A_8PWLE">PV!$C$672</definedName>
    <definedName name="A_8SC">PV!$C$676</definedName>
    <definedName name="A_8TA">PV!$C$675</definedName>
    <definedName name="A_8TL">PV!$C$674</definedName>
    <definedName name="A_8Vmp">PV!$C$684</definedName>
    <definedName name="A_8Voc">PV!$C$685</definedName>
    <definedName name="A_8W">PV!$E$670</definedName>
    <definedName name="A_8WC">PV!$C$680</definedName>
    <definedName name="A_8WL">PV!$C$679</definedName>
    <definedName name="A_8WT">PV!$C$682</definedName>
    <definedName name="A_8WTC">PV!$C$681</definedName>
    <definedName name="ActBodyLenFact">Dual!$D$9</definedName>
    <definedName name="ActuatorAttachmentDistance">Shadow!$G$5</definedName>
    <definedName name="ActuatorDeadForceLbs">Shadow!$G$7</definedName>
    <definedName name="ActuatorDeadForceN">Shadow!$H$7</definedName>
    <definedName name="ActuatorLength">Shadow!$G$3</definedName>
    <definedName name="AvoidedCostRate">Main!$H$19</definedName>
    <definedName name="B_1">PV!$A$65</definedName>
    <definedName name="B_10">PV!$A$756</definedName>
    <definedName name="B_10Imp">PV!$C$772</definedName>
    <definedName name="B_10Isc">PV!$C$773</definedName>
    <definedName name="B_10L">PV!$D$756</definedName>
    <definedName name="B_10P">PV!$C$769</definedName>
    <definedName name="B_10PA">PV!$C$764</definedName>
    <definedName name="B_10PC">PV!$C$763</definedName>
    <definedName name="B_10PL">PV!$C$757</definedName>
    <definedName name="B_10PWHE">PV!$C$759</definedName>
    <definedName name="B_10PWLE">PV!$C$758</definedName>
    <definedName name="B_10SC">PV!$C$762</definedName>
    <definedName name="B_10Vmp">PV!$C$770</definedName>
    <definedName name="B_10Voc">PV!$C$771</definedName>
    <definedName name="B_10W">PV!$E$756</definedName>
    <definedName name="B_10WC">PV!$C$766</definedName>
    <definedName name="B_10WL">PV!$C$765</definedName>
    <definedName name="B_10WT">PV!$C$768</definedName>
    <definedName name="B_10WTC">PV!$C$767</definedName>
    <definedName name="B_12">PV!$A$816</definedName>
    <definedName name="B_12Imp">PV!$C$832</definedName>
    <definedName name="B_12Isc">PV!$C$833</definedName>
    <definedName name="B_12L">PV!$D$816</definedName>
    <definedName name="B_12P">PV!$C$829</definedName>
    <definedName name="B_12PA">PV!$C$824</definedName>
    <definedName name="B_12PC">PV!$C$823</definedName>
    <definedName name="B_12PL">PV!$C$817</definedName>
    <definedName name="B_12PWHE">PV!$C$819</definedName>
    <definedName name="B_12PWLE">PV!$C$818</definedName>
    <definedName name="B_12SC">PV!$C$822</definedName>
    <definedName name="B_12TA">PV!$C$821</definedName>
    <definedName name="B_12TL">PV!$C$820</definedName>
    <definedName name="B_12Vmp">PV!$C$830</definedName>
    <definedName name="B_12Voc">PV!$C$831</definedName>
    <definedName name="B_12W">PV!$E$816</definedName>
    <definedName name="B_12WC">PV!$C$826</definedName>
    <definedName name="B_12WL">PV!$C$825</definedName>
    <definedName name="B_12WT">PV!$C$828</definedName>
    <definedName name="B_12WTC">PV!$C$827</definedName>
    <definedName name="B_1Imp">PV!$C$81</definedName>
    <definedName name="B_1Isc">PV!$C$82</definedName>
    <definedName name="B_1L">PV!$D$65</definedName>
    <definedName name="B_1P">PV!$C$78</definedName>
    <definedName name="B_1PA">PV!$C$73</definedName>
    <definedName name="B_1PC">PV!$C$72</definedName>
    <definedName name="B_1PL">PV!$C$66</definedName>
    <definedName name="B_1PWHE">PV!$C$68</definedName>
    <definedName name="B_1PWLE">PV!$C$67</definedName>
    <definedName name="B_1SC">PV!$C$71</definedName>
    <definedName name="B_1TA">PV!$C$70</definedName>
    <definedName name="B_1TL">PV!$C$69</definedName>
    <definedName name="B_1Vmp">PV!$C$79</definedName>
    <definedName name="B_1Voc">PV!$C$80</definedName>
    <definedName name="B_1W">PV!$E$65</definedName>
    <definedName name="B_1WC">PV!$C$75</definedName>
    <definedName name="B_1WL">PV!$C$74</definedName>
    <definedName name="B_1WT">PV!$C$77</definedName>
    <definedName name="B_1WTC">PV!$C$76</definedName>
    <definedName name="B_2">PV!$A$84</definedName>
    <definedName name="B_2Imp">PV!$C$100</definedName>
    <definedName name="B_2Isc">PV!$C$101</definedName>
    <definedName name="B_2L">PV!$D$84</definedName>
    <definedName name="B_2P">PV!$C$97</definedName>
    <definedName name="B_2PA">PV!$C$92</definedName>
    <definedName name="B_2PC">PV!$C$91</definedName>
    <definedName name="B_2PL">PV!$C$85</definedName>
    <definedName name="B_2PWHE">PV!$C$87</definedName>
    <definedName name="B_2PWLE">PV!$C$86</definedName>
    <definedName name="B_2SC">PV!$C$90</definedName>
    <definedName name="B_2TA">PV!$C$89</definedName>
    <definedName name="B_2TL">PV!$C$88</definedName>
    <definedName name="B_2Vmp">PV!$C$98</definedName>
    <definedName name="B_2Voc">PV!$C$99</definedName>
    <definedName name="B_2W">PV!$E$84</definedName>
    <definedName name="B_2WC">PV!$C$94</definedName>
    <definedName name="B_2WL">PV!$C$93</definedName>
    <definedName name="B_2WT">PV!$C$96</definedName>
    <definedName name="B_2WTC">PV!$C$95</definedName>
    <definedName name="B_3">PV!$A$126</definedName>
    <definedName name="B_3Imp">PV!$C$142</definedName>
    <definedName name="B_3Isc">PV!$C$143</definedName>
    <definedName name="B_3L">PV!$D$126</definedName>
    <definedName name="B_3P">PV!$C$139</definedName>
    <definedName name="B_3PA">PV!$C$134</definedName>
    <definedName name="B_3PC">PV!$C$133</definedName>
    <definedName name="B_3PL">PV!$C$127</definedName>
    <definedName name="B_3PWHE">PV!$C$129</definedName>
    <definedName name="B_3PWLE">PV!$C$128</definedName>
    <definedName name="B_3SC">PV!$C$132</definedName>
    <definedName name="B_3TA">PV!$C$131</definedName>
    <definedName name="B_3TL">PV!$C$130</definedName>
    <definedName name="B_3Voc">PV!$C$141</definedName>
    <definedName name="B_3W">PV!$E$126</definedName>
    <definedName name="B_3WC">PV!$C$136</definedName>
    <definedName name="B_3WL">PV!$C$135</definedName>
    <definedName name="B_3Wmp">PV!$C$140</definedName>
    <definedName name="B_3WT">PV!$C$138</definedName>
    <definedName name="B_3WTC">PV!$C$137</definedName>
    <definedName name="B_4">PV!$A$147</definedName>
    <definedName name="B_4Imp">PV!$C$163</definedName>
    <definedName name="B_4Isc">PV!$C$164</definedName>
    <definedName name="B_4L">PV!$D$147</definedName>
    <definedName name="B_4P">PV!$C$160</definedName>
    <definedName name="B_4PA">PV!$C$155</definedName>
    <definedName name="B_4PC">PV!$C$154</definedName>
    <definedName name="B_4PL">PV!$C$148</definedName>
    <definedName name="B_4PWLE">PV!$C$149</definedName>
    <definedName name="B_4SC">PV!$C$153</definedName>
    <definedName name="B_4TA">PV!$C$152</definedName>
    <definedName name="B_4TL">PV!$C$151</definedName>
    <definedName name="B_4Vmp">PV!$C$161</definedName>
    <definedName name="B_4Voc">PV!$C$162</definedName>
    <definedName name="B_4W">PV!$E$147</definedName>
    <definedName name="B_4WC">PV!$C$157</definedName>
    <definedName name="B_4WHE">PV!$C$150</definedName>
    <definedName name="B_4WL">PV!$C$156</definedName>
    <definedName name="B_4WT">PV!$C$159</definedName>
    <definedName name="B_4WTC">PV!$C$158</definedName>
    <definedName name="B_5">PV!$A$169</definedName>
    <definedName name="B_5Imp">PV!$C$185</definedName>
    <definedName name="B_5Isc">PV!$C$186</definedName>
    <definedName name="B_5L">PV!$D$169</definedName>
    <definedName name="B_5P">PV!$C$182</definedName>
    <definedName name="B_5PA">PV!$C$177</definedName>
    <definedName name="B_5PC">PV!$C$176</definedName>
    <definedName name="B_5PL">PV!$C$170</definedName>
    <definedName name="B_5PWHE">PV!$C$172</definedName>
    <definedName name="B_5PWLE">PV!$C$171</definedName>
    <definedName name="B_5SC">PV!$C$175</definedName>
    <definedName name="B_5TA">PV!$C$174</definedName>
    <definedName name="B_5TL">PV!$C$173</definedName>
    <definedName name="B_5Vmp">PV!$C$183</definedName>
    <definedName name="B_5Voc">PV!$C$184</definedName>
    <definedName name="B_5W">PV!$E$169</definedName>
    <definedName name="B_5WC">PV!$C$179</definedName>
    <definedName name="B_5WL">PV!$C$178</definedName>
    <definedName name="B_5WT">PV!$C$181</definedName>
    <definedName name="B_5WTC">PV!$C$180</definedName>
    <definedName name="B_6">PV!$A$390</definedName>
    <definedName name="B_6Imp">PV!$C$406</definedName>
    <definedName name="B_6Isc">PV!$C$407</definedName>
    <definedName name="B_6L">PV!$D$390</definedName>
    <definedName name="B_6P">PV!$C$403</definedName>
    <definedName name="B_6PA">PV!$C$398</definedName>
    <definedName name="B_6PC">PV!$C$397</definedName>
    <definedName name="B_6PL">PV!$C$391</definedName>
    <definedName name="B_6PWHE">PV!$C$393</definedName>
    <definedName name="B_6PWLE">PV!$C$392</definedName>
    <definedName name="B_6SC">PV!$C$396</definedName>
    <definedName name="B_6TA">PV!$C$395</definedName>
    <definedName name="B_6TL">PV!$C$394</definedName>
    <definedName name="B_6Vmp">PV!$C$404</definedName>
    <definedName name="B_6Voc">PV!$C$405</definedName>
    <definedName name="B_6W">PV!$E$390</definedName>
    <definedName name="B_6WC">PV!$C$400</definedName>
    <definedName name="B_6WL">PV!$C$399</definedName>
    <definedName name="B_6WT">PV!$C$402</definedName>
    <definedName name="B_6WTC">PV!$C$401</definedName>
    <definedName name="B_8">PV!$A$697</definedName>
    <definedName name="B_8Imp">PV!$C$713</definedName>
    <definedName name="B_8Isc">PV!$C$714</definedName>
    <definedName name="B_8L">PV!$D$697</definedName>
    <definedName name="B_8P">PV!$C$710</definedName>
    <definedName name="B_8PA">PV!$C$705</definedName>
    <definedName name="B_8PC">PV!$C$704</definedName>
    <definedName name="B_8PL">PV!$C$698</definedName>
    <definedName name="B_8PWHE">PV!$C$700</definedName>
    <definedName name="B_8PWLE">PV!$C$699</definedName>
    <definedName name="B_8SC">PV!$C$703</definedName>
    <definedName name="B_8TA">PV!$C$702</definedName>
    <definedName name="B_8TL">PV!$C$701</definedName>
    <definedName name="B_8Vmp">PV!$C$711</definedName>
    <definedName name="B_8Voc">PV!$C$712</definedName>
    <definedName name="B_8W">PV!$E$697</definedName>
    <definedName name="B_8WC">PV!$C$707</definedName>
    <definedName name="B_8WL">PV!$C$706</definedName>
    <definedName name="B_8WT">PV!$C$709</definedName>
    <definedName name="B_8WTC">PV!$C$708</definedName>
    <definedName name="BCost">Materials!$C$27</definedName>
    <definedName name="BCostPerFt">Materials!$D$27</definedName>
    <definedName name="Beam">Materials!$A$27</definedName>
    <definedName name="BeamOffset">Hook!$G$8</definedName>
    <definedName name="BHIn">Materials!$I$27</definedName>
    <definedName name="BLFt">Materials!$G$27</definedName>
    <definedName name="BLoad">Materials!$F$27</definedName>
    <definedName name="BMomOfInertia">Materials!$K$27</definedName>
    <definedName name="BMomOfInertiaMax">Materials!$L$27</definedName>
    <definedName name="BMomOfInertiaMaxFactor">Materials!$L$24</definedName>
    <definedName name="BName">Materials!$B$27</definedName>
    <definedName name="BoltSpacing">PV!$C$40</definedName>
    <definedName name="BPounds">Materials!$E$27</definedName>
    <definedName name="BSaftyFactor">Materials!$O$24</definedName>
    <definedName name="BSecMod">Materials!$M$27</definedName>
    <definedName name="BSecModActual">Materials!$O$27</definedName>
    <definedName name="BSecModWSF">Materials!$N$27</definedName>
    <definedName name="BThickIn">Materials!$J$27</definedName>
    <definedName name="BWIn">Materials!$H$27</definedName>
    <definedName name="C_1">PV!$A$219</definedName>
    <definedName name="C_10">PV!$A$466</definedName>
    <definedName name="C_10Imp">PV!$C$482</definedName>
    <definedName name="C_10Isc">PV!$C$483</definedName>
    <definedName name="C_10L">PV!$D$466</definedName>
    <definedName name="C_10P">PV!$C$479</definedName>
    <definedName name="C_10PA">PV!$C$474</definedName>
    <definedName name="C_10PC">PV!$C$473</definedName>
    <definedName name="C_10PL">PV!$C$467</definedName>
    <definedName name="C_10PWHE">PV!$C$469</definedName>
    <definedName name="C_10PWLE">PV!$C$468</definedName>
    <definedName name="C_10SC">PV!$C$472</definedName>
    <definedName name="C_10TA">PV!$C$471</definedName>
    <definedName name="C_10TL">PV!$C$470</definedName>
    <definedName name="C_10Vmp">PV!$C$480</definedName>
    <definedName name="C_10Voc">PV!$C$481</definedName>
    <definedName name="C_10W">PV!$E$466</definedName>
    <definedName name="C_10WC">PV!$C$476</definedName>
    <definedName name="C_10WL">PV!$C$475</definedName>
    <definedName name="C_10WT">PV!$C$478</definedName>
    <definedName name="C_10WTC">PV!$C$477</definedName>
    <definedName name="C_1Imp">PV!$C$235</definedName>
    <definedName name="C_1Isc">PV!$C$236</definedName>
    <definedName name="C_1L">PV!$D$219</definedName>
    <definedName name="C_1P">PV!$C$232</definedName>
    <definedName name="C_1PA">PV!$C$227</definedName>
    <definedName name="C_1PC">PV!$C$226</definedName>
    <definedName name="C_1PL">PV!$C$220</definedName>
    <definedName name="C_1PWHE">PV!$C$222</definedName>
    <definedName name="C_1PWLE">PV!$C$221</definedName>
    <definedName name="C_1SC">PV!$C$225</definedName>
    <definedName name="C_1TA">PV!$C$224</definedName>
    <definedName name="C_1TL">PV!$C$223</definedName>
    <definedName name="C_1Vmp">PV!$C$233</definedName>
    <definedName name="C_1Voc">PV!$C$234</definedName>
    <definedName name="C_1W">PV!$E$219</definedName>
    <definedName name="C_1WC">PV!$C$229</definedName>
    <definedName name="C_1WL">PV!$C$228</definedName>
    <definedName name="C_1WT">PV!$C$231</definedName>
    <definedName name="C_1WTC">PV!$C$230</definedName>
    <definedName name="C_2">PV!$A$105</definedName>
    <definedName name="C_2Imp">PV!$C$121</definedName>
    <definedName name="C_2L">PV!$D$105</definedName>
    <definedName name="C_2P">PV!$C$118</definedName>
    <definedName name="C_2PA">PV!$C$113</definedName>
    <definedName name="C_2PC">PV!$C$112</definedName>
    <definedName name="C_2PL">PV!$C$106</definedName>
    <definedName name="C_2PWHE">PV!$C$108</definedName>
    <definedName name="C_2PWLE">PV!$C$107</definedName>
    <definedName name="C_2SC">PV!$C$111</definedName>
    <definedName name="C_2TA">PV!$C$110</definedName>
    <definedName name="C_2TL">PV!$C$109</definedName>
    <definedName name="C_2Vmp">PV!$C$119</definedName>
    <definedName name="C_2Voc">PV!$C$120</definedName>
    <definedName name="C_2W">PV!$E$105</definedName>
    <definedName name="C_2WC">PV!$C$115</definedName>
    <definedName name="C_2WL">PV!$C$114</definedName>
    <definedName name="C_2WT">PV!$C$117</definedName>
    <definedName name="C_2WTC">PV!$C$116</definedName>
    <definedName name="C_4">PV!$A$566</definedName>
    <definedName name="C_4Imp">PV!$C$582</definedName>
    <definedName name="C_4Isc">PV!$C$583</definedName>
    <definedName name="C_4L">PV!$D$566</definedName>
    <definedName name="C_4P">PV!$C$579</definedName>
    <definedName name="C_4PA">PV!$C$574</definedName>
    <definedName name="C_4PC">PV!$C$573</definedName>
    <definedName name="C_4PL">PV!$C$567</definedName>
    <definedName name="C_4PWHE">PV!$C$569</definedName>
    <definedName name="C_4PWLE">PV!$C$568</definedName>
    <definedName name="C_4SC">PV!$C$572</definedName>
    <definedName name="C_4TA">PV!$C$571</definedName>
    <definedName name="C_4TL">PV!$C$570</definedName>
    <definedName name="C_4Vmp">PV!$C$580</definedName>
    <definedName name="C_4Voc">PV!$C$581</definedName>
    <definedName name="C_4W">PV!$E$566</definedName>
    <definedName name="C_4WC">PV!$C$576</definedName>
    <definedName name="C_4WL">PV!$C$575</definedName>
    <definedName name="C_4WT">PV!$C$578</definedName>
    <definedName name="C_4WTC">PV!$C$577</definedName>
    <definedName name="C_6">PV!$A$428</definedName>
    <definedName name="C_6Imp">PV!$C$444</definedName>
    <definedName name="C_6Isc">PV!$C$445</definedName>
    <definedName name="C_6L">PV!$D$428</definedName>
    <definedName name="C_6P">PV!$C$441</definedName>
    <definedName name="C_6PA">PV!$C$436</definedName>
    <definedName name="C_6PC">PV!$C$435</definedName>
    <definedName name="C_6PL">PV!$C$429</definedName>
    <definedName name="C_6PWHE">PV!$C$431</definedName>
    <definedName name="C_6PWLE">PV!$C$430</definedName>
    <definedName name="C_6SC">PV!$C$434</definedName>
    <definedName name="C_6TA">PV!$C$433</definedName>
    <definedName name="C_6TL">PV!$C$432</definedName>
    <definedName name="C_6Vmp">PV!$C$442</definedName>
    <definedName name="C_6Voc">PV!$C$443</definedName>
    <definedName name="C_6W">PV!$E$428</definedName>
    <definedName name="C_6WC">PV!$C$438</definedName>
    <definedName name="C_6WL">PV!$C$437</definedName>
    <definedName name="C_6WT">PV!$C$440</definedName>
    <definedName name="C_6WTC">PV!$C$439</definedName>
    <definedName name="CellsPerPanel">Main!$F$18</definedName>
    <definedName name="CM">PV!$C$41</definedName>
    <definedName name="ColumnsOfMounts">Shadow!$E$10</definedName>
    <definedName name="ConnectionCost">Main!$E$23</definedName>
    <definedName name="CostPerPier">Materials!$E$104</definedName>
    <definedName name="D_10">PV!$A$516</definedName>
    <definedName name="D_10Imp">PV!$C$532</definedName>
    <definedName name="D_10Isc">PV!$C$533</definedName>
    <definedName name="D_10L">PV!$D$516</definedName>
    <definedName name="D_10PA">PV!$C$524</definedName>
    <definedName name="D_10PC">PV!$C$523</definedName>
    <definedName name="D_10PL">PV!$C$517</definedName>
    <definedName name="D_10PWHE">PV!$C$519</definedName>
    <definedName name="D_10PWLE">PV!$C$518</definedName>
    <definedName name="D_10SC">PV!$C$522</definedName>
    <definedName name="D_10TA">PV!$C$521</definedName>
    <definedName name="D_10TL">PV!$C$520</definedName>
    <definedName name="D_10Vmp">PV!$C$530</definedName>
    <definedName name="D_10Voc">PV!$C$531</definedName>
    <definedName name="D_10W">PV!$E$516</definedName>
    <definedName name="D_10WC">PV!$C$526</definedName>
    <definedName name="D_10WL">PV!$C$525</definedName>
    <definedName name="D_10WT">PV!$C$528</definedName>
    <definedName name="D_10WTC">PV!$C$527</definedName>
    <definedName name="D_6">PV!$A$587</definedName>
    <definedName name="D_6Imp">PV!$C$603</definedName>
    <definedName name="D_6Isc">PV!$C$604</definedName>
    <definedName name="D_6L">PV!$D$587</definedName>
    <definedName name="D_6P">PV!$C$600</definedName>
    <definedName name="D_6PA">PV!$C$595</definedName>
    <definedName name="D_6PC">PV!$C$594</definedName>
    <definedName name="D_6PL">PV!$C$588</definedName>
    <definedName name="D_6PWHE">PV!$C$590</definedName>
    <definedName name="D_6PWLE">PV!$C$589</definedName>
    <definedName name="D_6SC">PV!$C$593</definedName>
    <definedName name="D_6TA">PV!$C$592</definedName>
    <definedName name="D_6TL">PV!$C$591</definedName>
    <definedName name="D_6Vmp">PV!$C$601</definedName>
    <definedName name="D_6Voc">PV!$C$602</definedName>
    <definedName name="D_6W">PV!$E$587</definedName>
    <definedName name="D_6WC">PV!$C$597</definedName>
    <definedName name="D_6WL">PV!$C$596</definedName>
    <definedName name="D_6WT">PV!$C$599</definedName>
    <definedName name="D_6WTC">PV!$C$598</definedName>
    <definedName name="Dec">Shadow!$C$5</definedName>
    <definedName name="DecAng">Main!$C$19</definedName>
    <definedName name="DecHypotLen">Main!$C$30</definedName>
    <definedName name="DEClinationError">Main!$G$22</definedName>
    <definedName name="DecOffLen">Main!$C$31</definedName>
    <definedName name="Depreciation">Main!$E$24</definedName>
    <definedName name="DistHHPed">Main!$C$23</definedName>
    <definedName name="DistHLPed">Main!$C$24</definedName>
    <definedName name="DualActDeltaMove">Dual!$D$7</definedName>
    <definedName name="DualActLength">Dual!$D$18</definedName>
    <definedName name="DualActLengthIn">Dual!$D$28</definedName>
    <definedName name="DualActMax">Dual!$D$6</definedName>
    <definedName name="DualActMin">Dual!$D$8</definedName>
    <definedName name="DualActuatorAttachmentDistance">Dual!$D$27</definedName>
    <definedName name="DualIncAng">Dual!$D$15</definedName>
    <definedName name="DualMountsServed">Dual!$D$20</definedName>
    <definedName name="DualRadius">Dual!$D$10</definedName>
    <definedName name="DualSingle">Dual!$D$17</definedName>
    <definedName name="DualTotalAng">Dual!$D$13</definedName>
    <definedName name="E_6">PV!$A$193</definedName>
    <definedName name="E_6Imp">PV!$C$209</definedName>
    <definedName name="E_6Isc">PV!$C$210</definedName>
    <definedName name="E_6L">PV!$D$193</definedName>
    <definedName name="E_6P">PV!$C$206</definedName>
    <definedName name="E_6PA">PV!$C$201</definedName>
    <definedName name="E_6PC">PV!$C$200</definedName>
    <definedName name="E_6PL">PV!$C$194</definedName>
    <definedName name="E_6PWHE">PV!$C$196</definedName>
    <definedName name="E_6PWLE">PV!$C$195</definedName>
    <definedName name="E_6SC">PV!$C$199</definedName>
    <definedName name="E_6TA">PV!$C$198</definedName>
    <definedName name="E_6TL">PV!$C$197</definedName>
    <definedName name="E_6Vmp">PV!$C$207</definedName>
    <definedName name="E_6Voc">PV!$C$208</definedName>
    <definedName name="E_6W">PV!$E$193</definedName>
    <definedName name="E_6WC">PV!$C$203</definedName>
    <definedName name="E_6WL">PV!$C$202</definedName>
    <definedName name="E_6WT">PV!$C$205</definedName>
    <definedName name="E_6WTC">PV!$C$204</definedName>
    <definedName name="ElectricalCost">Main!$G$23</definedName>
    <definedName name="Equinox_Support_Angle">Main!$B$34</definedName>
    <definedName name="EW">Inverters!$C$2</definedName>
    <definedName name="EWField">Shadow!$D$10</definedName>
    <definedName name="EWGapFt">Shadow!$E$14</definedName>
    <definedName name="EWGapIn">Shadow!$D$14</definedName>
    <definedName name="EWGradeDeg">Shadow!$D$5</definedName>
    <definedName name="EWGradeFt">Shadow!#REF!</definedName>
    <definedName name="EWGradeIn">Shadow!$D$6</definedName>
    <definedName name="EWRotate">Shadow!$D$12</definedName>
    <definedName name="EWSolarPowerAngle">Shadow!$D$7</definedName>
    <definedName name="EWSpacingFt">Shadow!$E$13</definedName>
    <definedName name="EWSpacingIn">Shadow!$D$13</definedName>
    <definedName name="ExtraWidth">Hook!#REF!</definedName>
    <definedName name="F_6">PV!$A$618</definedName>
    <definedName name="F_6Imp">PV!$C$634</definedName>
    <definedName name="F_6Isc">PV!$C$635</definedName>
    <definedName name="F_6L">PV!$D$618</definedName>
    <definedName name="F_6P">PV!$C$631</definedName>
    <definedName name="F_6PA">PV!$C$626</definedName>
    <definedName name="F_6PC">PV!$C$625</definedName>
    <definedName name="F_6PL">PV!$C$619</definedName>
    <definedName name="F_6PWHE">PV!$C$621</definedName>
    <definedName name="F_6PWLE">PV!$C$620</definedName>
    <definedName name="F_6SC">PV!$C$624</definedName>
    <definedName name="F_6TA">PV!$C$623</definedName>
    <definedName name="F_6TL">PV!$C$622</definedName>
    <definedName name="F_6Vmp">PV!$C$632</definedName>
    <definedName name="F_6Voc">PV!$C$633</definedName>
    <definedName name="F_6W">PV!$E$618</definedName>
    <definedName name="F_6WC">PV!$C$628</definedName>
    <definedName name="F_6WL">PV!$C$627</definedName>
    <definedName name="F_6WT">PV!$C$630</definedName>
    <definedName name="F_6WTC">PV!$C$629</definedName>
    <definedName name="F_8L">PV!$D$670</definedName>
    <definedName name="F_8PC">PV!$C$677</definedName>
    <definedName name="F_8PL">PV!$C$671</definedName>
    <definedName name="F_8PWHE">PV!$C$673</definedName>
    <definedName name="F_8PWLE">PV!$C$672</definedName>
    <definedName name="F_8SC">PV!$C$676</definedName>
    <definedName name="F_8TA">PV!$C$675</definedName>
    <definedName name="F_8TL">PV!$C$674</definedName>
    <definedName name="F_8W">PV!$E$670</definedName>
    <definedName name="FrostLine">Materials!$C$56</definedName>
    <definedName name="FrostLineLocal">Materials!$D$56</definedName>
    <definedName name="G_6">PV!$A$641</definedName>
    <definedName name="G_6Imp">PV!$C$657</definedName>
    <definedName name="G_6Isc">PV!$C$658</definedName>
    <definedName name="G_6L">PV!$D$641</definedName>
    <definedName name="G_6P">PV!$C$654</definedName>
    <definedName name="G_6PA">PV!$C$649</definedName>
    <definedName name="G_6PC">PV!$C$648</definedName>
    <definedName name="G_6PL">PV!$C$642</definedName>
    <definedName name="G_6PWHE">PV!$C$644</definedName>
    <definedName name="G_6PWLE">PV!$C$643</definedName>
    <definedName name="G_6SC">PV!$C$647</definedName>
    <definedName name="G_6TA">PV!$C$646</definedName>
    <definedName name="G_6TL">PV!$C$645</definedName>
    <definedName name="G_6Vmp">PV!$C$655</definedName>
    <definedName name="G_6Voc">PV!$C$656</definedName>
    <definedName name="G_6W">PV!$E$641</definedName>
    <definedName name="G_6WC">PV!$C$651</definedName>
    <definedName name="G_6WL">PV!$C$650</definedName>
    <definedName name="G_6WT">PV!$C$653</definedName>
    <definedName name="G_6WTC">PV!$C$652</definedName>
    <definedName name="GrnActX">Dual!$D$4</definedName>
    <definedName name="GrnActY">Dual!$D$5</definedName>
    <definedName name="H_6">PV!$A$238</definedName>
    <definedName name="H_6Imp">PV!$C$254</definedName>
    <definedName name="H_6Isc">PV!$C$255</definedName>
    <definedName name="H_6L">PV!$D$238</definedName>
    <definedName name="H_6P">PV!$C$251</definedName>
    <definedName name="H_6PA">PV!$C$246</definedName>
    <definedName name="H_6PC">PV!$C$245</definedName>
    <definedName name="H_6PL">PV!$C$239</definedName>
    <definedName name="H_6PWHE">PV!$C$241</definedName>
    <definedName name="H_6PWLE">PV!$C$240</definedName>
    <definedName name="H_6SC">PV!$C$244</definedName>
    <definedName name="H_6TA">PV!$C$243</definedName>
    <definedName name="H_6TL">PV!$C$242</definedName>
    <definedName name="H_6Vmp">PV!$C$252</definedName>
    <definedName name="H_6Voc">PV!$C$253</definedName>
    <definedName name="H_6W">PV!$E$238</definedName>
    <definedName name="H_6WC">PV!$C$248</definedName>
    <definedName name="H_6WL">PV!$C$247</definedName>
    <definedName name="H_6WT">PV!$C$250</definedName>
    <definedName name="H_6WTC">PV!$C$249</definedName>
    <definedName name="HBeamHigh">Hook!$G$3</definedName>
    <definedName name="HBeamMax">Hook!$O$2</definedName>
    <definedName name="HBeamMin">Hook!$N$2</definedName>
    <definedName name="HBeamThick">Hook!$G$7</definedName>
    <definedName name="HBeamTorque">Hook!$G$32</definedName>
    <definedName name="HBeamWide">Hook!$G$5</definedName>
    <definedName name="HBearingArea">Hook!$G$24</definedName>
    <definedName name="HBearingPressure">Hook!$G$27</definedName>
    <definedName name="HBearingSupportThick">Hook!$G$25</definedName>
    <definedName name="HBearingThick">Hook!$G$23</definedName>
    <definedName name="HGaps">Hook!$G$29</definedName>
    <definedName name="HighEndExt">Main!$C$32</definedName>
    <definedName name="HighEndSupHeight">Main!$C$27</definedName>
    <definedName name="HMaxRotation">Hook!$G$9</definedName>
    <definedName name="HookDrop">Hook!$G$21</definedName>
    <definedName name="HookLoad">Hook!$G$26</definedName>
    <definedName name="HookOverhang">Hook!$G$20</definedName>
    <definedName name="HookThick">Hook!$G$19</definedName>
    <definedName name="HookWidth">Hook!$G$18</definedName>
    <definedName name="HPierBeamHeight">Hook!$G$12</definedName>
    <definedName name="HPierBeamThickness">Hook!$G$16</definedName>
    <definedName name="HPierBeamWidth">Hook!$G$14</definedName>
    <definedName name="HPVShim">Hook!$G$30</definedName>
    <definedName name="HPVTorque">Hook!$G$31</definedName>
    <definedName name="IncomeTax">Main!$F$24</definedName>
    <definedName name="InterconnectionCosts">Inverters!$Q$42</definedName>
    <definedName name="Interest">Main!$G$24</definedName>
    <definedName name="Lat">Shadow!$C$4</definedName>
    <definedName name="Latitude">Main!$C$18</definedName>
    <definedName name="LenX">Shadow!#REF!</definedName>
    <definedName name="LocalPowerCostRate">Main!$F$19</definedName>
    <definedName name="LongestWidthMax">Main!#REF!</definedName>
    <definedName name="LowEndExt">Main!$B$32</definedName>
    <definedName name="MainAxisLen">Main!$C$21</definedName>
    <definedName name="MaxWidAng">Hook!$G$10</definedName>
    <definedName name="MetalCostPerPound">Materials!$D$99</definedName>
    <definedName name="MinGndClear">Main!$C$28</definedName>
    <definedName name="MountCost">Materials!$F$136</definedName>
    <definedName name="MountImp">Main!$I$17</definedName>
    <definedName name="MountIsc">Main!$I$18</definedName>
    <definedName name="MountPower">Main!$G$17</definedName>
    <definedName name="MountVmp">Main!$H$17</definedName>
    <definedName name="MountVoc">Main!$H$18</definedName>
    <definedName name="MtsT">Inverters!$D$2</definedName>
    <definedName name="NetEnergyPerMonth">Main!$H$21</definedName>
    <definedName name="NetPaymentPerMonth">Main!$I$21</definedName>
    <definedName name="NetPaymentPerYear">Main!$J$21</definedName>
    <definedName name="NetSystemCost">Main!$J$23</definedName>
    <definedName name="NodeAHeight">Main!$B$47</definedName>
    <definedName name="NodeBHeight">Main!$C$47</definedName>
    <definedName name="NS">Inverters!$B$2</definedName>
    <definedName name="NSGapFt">Shadow!$C$14</definedName>
    <definedName name="NSGapIn">Shadow!$B$14</definedName>
    <definedName name="NSGradeDeg">Shadow!$B$5</definedName>
    <definedName name="NSGradeFt">Shadow!$C$6</definedName>
    <definedName name="NSGradeIn">Shadow!$B$6</definedName>
    <definedName name="NSSolarPowerAngle">Shadow!$B$7</definedName>
    <definedName name="NSSpacingFt">Shadow!$C$13</definedName>
    <definedName name="NSSpacingIn">Shadow!$B$13</definedName>
    <definedName name="NSTilt">Shadow!$B$11</definedName>
    <definedName name="NumberOfMounts">Main!$F$21</definedName>
    <definedName name="NumberOfSystemPanels">Main!$E$21</definedName>
    <definedName name="PanArrayLen">Main!$C$37</definedName>
    <definedName name="PanArrayLenFt">Shadow!$C$9</definedName>
    <definedName name="PanArrayLenIn">Shadow!$B$9</definedName>
    <definedName name="PanArrayWidthHighEndFt">Shadow!$B$8</definedName>
    <definedName name="PanArrayWidthIn">Shadow!$D$8</definedName>
    <definedName name="PanArrayWidthLowEndFt">Shadow!$C$8</definedName>
    <definedName name="Panel">PV!$B$4</definedName>
    <definedName name="PanelArrangement">Main!$E$17</definedName>
    <definedName name="PanelCostPerMount">Main!$J$18</definedName>
    <definedName name="PanelImp">Inverters!$C$4</definedName>
    <definedName name="PanelIsc">Inverters!$C$5</definedName>
    <definedName name="PanelModel">Main!$F$17</definedName>
    <definedName name="PanelPower">Main!$J$17</definedName>
    <definedName name="PanelsPlusSpares">Main!$E$22</definedName>
    <definedName name="PanelVmp">Inverters!$B$4</definedName>
    <definedName name="PanelVoc">Inverters!$B$5</definedName>
    <definedName name="PanWidthHighEnd">Main!$C$39</definedName>
    <definedName name="PanWidthLowEnd">Main!$C$38</definedName>
    <definedName name="ParallelCon">Main!$C$43</definedName>
    <definedName name="PAspectRatio">PV!$H$4</definedName>
    <definedName name="PayBackTime">Main!$J$24</definedName>
    <definedName name="PC">Inverters!$C$3</definedName>
    <definedName name="PCells">PV!$P$4</definedName>
    <definedName name="PCost">PV!$U$4</definedName>
    <definedName name="PCostPerW">PV!$V$4</definedName>
    <definedName name="PDate">PV!$W$4</definedName>
    <definedName name="PedHeight">Main!$C$29</definedName>
    <definedName name="PedHeightTryThis">Main!$B$29</definedName>
    <definedName name="PEff">PV!$O$4</definedName>
    <definedName name="Pier">Materials!$A$59</definedName>
    <definedName name="PierBeamOffset">Hook!$G$17</definedName>
    <definedName name="PierCost">Materials!$C$59</definedName>
    <definedName name="PierCostPerFt">Materials!$D$59</definedName>
    <definedName name="PierHIn">Materials!$I$59</definedName>
    <definedName name="PierLFt">Materials!$G$59</definedName>
    <definedName name="PierLoad">Materials!$F$59</definedName>
    <definedName name="PierMomOfInertia">Materials!$K$59</definedName>
    <definedName name="PierMomOfInertiaMax">Materials!$L$59</definedName>
    <definedName name="PierMomOfInertiaMaxFactor">Materials!$L$56</definedName>
    <definedName name="PierName">Materials!$B$59</definedName>
    <definedName name="PierNumberOffBeams">Materials!$N$56</definedName>
    <definedName name="PierPounds">Materials!$E$59</definedName>
    <definedName name="PierSafetyFactor">Materials!$O$56</definedName>
    <definedName name="PierSecMod">Materials!$M$59</definedName>
    <definedName name="PierSecModActual">Materials!$O$59</definedName>
    <definedName name="PierSecModWSF">Materials!$N$59</definedName>
    <definedName name="PierThickIn">Materials!$J$59</definedName>
    <definedName name="PierWIn">Materials!$H$59</definedName>
    <definedName name="PImp">PV!$S$4</definedName>
    <definedName name="PIsc">PV!$T$4</definedName>
    <definedName name="PivitDia">Hook!$G$22</definedName>
    <definedName name="PLFt">PV!$G$4</definedName>
    <definedName name="PLIn">PV!$F$4</definedName>
    <definedName name="PLmm">PV!$E$4</definedName>
    <definedName name="PModel">PV!$C$4</definedName>
    <definedName name="PName">PV!$A$4</definedName>
    <definedName name="Power">Inverters!$D$1</definedName>
    <definedName name="PowerMax">Inverters!$C$1</definedName>
    <definedName name="PPounds">PV!$Z$4</definedName>
    <definedName name="PremimumPowerCostRate">Main!$G$19</definedName>
    <definedName name="PSqFt">PV!$L$4</definedName>
    <definedName name="PThickIn">PV!$N$4</definedName>
    <definedName name="PTmm">PV!$M$4</definedName>
    <definedName name="PVImp">PV!#REF!</definedName>
    <definedName name="PVIsc">PV!#REF!</definedName>
    <definedName name="PVmp">PV!$Q$4</definedName>
    <definedName name="PVoc">PV!$R$4</definedName>
    <definedName name="PVSparesFactor">Main!$I$22</definedName>
    <definedName name="PVVmp">PV!#REF!</definedName>
    <definedName name="PVVoc">PV!#REF!</definedName>
    <definedName name="PWatt">PV!$D$4</definedName>
    <definedName name="PWFt">PV!$K$4</definedName>
    <definedName name="PWIn">PV!$J$4</definedName>
    <definedName name="PWmm">PV!$I$4</definedName>
    <definedName name="PWPerMSq">PV!$X$4</definedName>
    <definedName name="PWPerMSqPerDollar">PV!$Y$4</definedName>
    <definedName name="RebateRate">Main!$H$24</definedName>
    <definedName name="Rebates">Main!$I$24</definedName>
    <definedName name="RedActX">Dual!$D$2</definedName>
    <definedName name="RedActY">Dual!$D$3</definedName>
    <definedName name="RotaryChainForceLbs">Shadow!$H$16</definedName>
    <definedName name="RotaryFrictionFactor">Shadow!$H$11</definedName>
    <definedName name="RotaryMotorTorqueFtLbs">Shadow!$G$13</definedName>
    <definedName name="RotaryMotorTorqueInLbs">Shadow!$G$14</definedName>
    <definedName name="RotaryMotorTorqueInOz">Shadow!$G$15</definedName>
    <definedName name="RotaryPullyDiameterIn">Shadow!$H$13</definedName>
    <definedName name="RotaryReduction">Shadow!$G$10</definedName>
    <definedName name="RotarySpeedFactor">Shadow!$H$9</definedName>
    <definedName name="RowsOfMounts">Shadow!$C$10</definedName>
    <definedName name="SalesTax">Main!#REF!</definedName>
    <definedName name="SC">Inverters!$B$3</definedName>
    <definedName name="SelectInverter">Inverters!$R$26</definedName>
    <definedName name="SelectMainBeam">Materials!$A$36</definedName>
    <definedName name="SelectPanel">PV!$B$7</definedName>
    <definedName name="SelectPierBeam">Materials!$A$64</definedName>
    <definedName name="SerialCon">Main!$C$42</definedName>
    <definedName name="ShortestWidthMin">Main!#REF!</definedName>
    <definedName name="Shrink">Hook!#REF!</definedName>
    <definedName name="solver_adj" localSheetId="4" hidden="1">Dual!$D$3</definedName>
    <definedName name="solver_adj" localSheetId="6" hidden="1">Materials!$O$24</definedName>
    <definedName name="solver_adj" localSheetId="1" hidden="1">Shadow!$D$7</definedName>
    <definedName name="solver_cvg" localSheetId="4" hidden="1">0.0001</definedName>
    <definedName name="solver_cvg" localSheetId="6" hidden="1">0.0001</definedName>
    <definedName name="solver_cvg" localSheetId="1" hidden="1">0.0001</definedName>
    <definedName name="solver_drv" localSheetId="4" hidden="1">1</definedName>
    <definedName name="solver_drv" localSheetId="6" hidden="1">1</definedName>
    <definedName name="solver_drv" localSheetId="1" hidden="1">1</definedName>
    <definedName name="solver_est" localSheetId="4" hidden="1">1</definedName>
    <definedName name="solver_est" localSheetId="6" hidden="1">1</definedName>
    <definedName name="solver_est" localSheetId="1" hidden="1">1</definedName>
    <definedName name="solver_itr" localSheetId="4" hidden="1">100</definedName>
    <definedName name="solver_itr" localSheetId="6" hidden="1">100</definedName>
    <definedName name="solver_itr" localSheetId="1" hidden="1">100</definedName>
    <definedName name="solver_lin" localSheetId="4" hidden="1">2</definedName>
    <definedName name="solver_lin" localSheetId="6" hidden="1">2</definedName>
    <definedName name="solver_lin" localSheetId="1" hidden="1">2</definedName>
    <definedName name="solver_neg" localSheetId="4" hidden="1">2</definedName>
    <definedName name="solver_neg" localSheetId="6" hidden="1">2</definedName>
    <definedName name="solver_neg" localSheetId="1" hidden="1">2</definedName>
    <definedName name="solver_num" localSheetId="4" hidden="1">0</definedName>
    <definedName name="solver_num" localSheetId="6" hidden="1">0</definedName>
    <definedName name="solver_num" localSheetId="1" hidden="1">0</definedName>
    <definedName name="solver_nwt" localSheetId="4" hidden="1">1</definedName>
    <definedName name="solver_nwt" localSheetId="6" hidden="1">1</definedName>
    <definedName name="solver_nwt" localSheetId="1" hidden="1">1</definedName>
    <definedName name="solver_opt" localSheetId="4" hidden="1">Dual!$Q$5</definedName>
    <definedName name="solver_opt" localSheetId="6" hidden="1">Materials!$N$48</definedName>
    <definedName name="solver_opt" localSheetId="1" hidden="1">Shadow!$D$10</definedName>
    <definedName name="solver_pre" localSheetId="4" hidden="1">0.000001</definedName>
    <definedName name="solver_pre" localSheetId="6" hidden="1">0.000001</definedName>
    <definedName name="solver_pre" localSheetId="1" hidden="1">0.000001</definedName>
    <definedName name="solver_scl" localSheetId="4" hidden="1">2</definedName>
    <definedName name="solver_scl" localSheetId="6" hidden="1">2</definedName>
    <definedName name="solver_scl" localSheetId="1" hidden="1">2</definedName>
    <definedName name="solver_sho" localSheetId="4" hidden="1">2</definedName>
    <definedName name="solver_sho" localSheetId="6" hidden="1">2</definedName>
    <definedName name="solver_sho" localSheetId="1" hidden="1">2</definedName>
    <definedName name="solver_tim" localSheetId="4" hidden="1">100</definedName>
    <definedName name="solver_tim" localSheetId="6" hidden="1">100</definedName>
    <definedName name="solver_tim" localSheetId="1" hidden="1">100</definedName>
    <definedName name="solver_tol" localSheetId="4" hidden="1">0.05</definedName>
    <definedName name="solver_tol" localSheetId="6" hidden="1">0.05</definedName>
    <definedName name="solver_tol" localSheetId="1" hidden="1">0.05</definedName>
    <definedName name="solver_typ" localSheetId="4" hidden="1">1</definedName>
    <definedName name="solver_typ" localSheetId="6" hidden="1">3</definedName>
    <definedName name="solver_typ" localSheetId="1" hidden="1">3</definedName>
    <definedName name="solver_val" localSheetId="4" hidden="1">45</definedName>
    <definedName name="solver_val" localSheetId="6" hidden="1">27.73</definedName>
    <definedName name="solver_val" localSheetId="1" hidden="1">330</definedName>
    <definedName name="Spacing">PV!$D$40</definedName>
    <definedName name="StartAng">Dual!$D$11</definedName>
    <definedName name="StepAng">Dual!$D$14</definedName>
    <definedName name="StopAng">Dual!$D$12</definedName>
    <definedName name="StraightLineWind">Main!$C$48</definedName>
    <definedName name="StraightLineWindMetric">Main!$C$49</definedName>
    <definedName name="Summer_Support_Angle">Main!$B$35</definedName>
    <definedName name="SunHoursPerDay">Main!$G$21</definedName>
    <definedName name="SupAngHighEnd">Main!$C$36</definedName>
    <definedName name="SupLenHighEnd">Main!$C$26</definedName>
    <definedName name="Support_Angle_High_End">Main!$B$36</definedName>
    <definedName name="SystemACAmpRating">Main!$J$20</definedName>
    <definedName name="SystemPower">Main!$I$19</definedName>
    <definedName name="T0xHorizontal">Data!$P$14</definedName>
    <definedName name="T0xLat">Data!$P$20</definedName>
    <definedName name="T0xLatMinus15">Data!$P$17</definedName>
    <definedName name="T0xLatPlus15">Data!$P$23</definedName>
    <definedName name="T0xVertical">Data!$P$26</definedName>
    <definedName name="T1xHorizontal">Data!$P$31</definedName>
    <definedName name="T1xLat">Data!$P$37</definedName>
    <definedName name="T1xLatMinus15">Data!$P$34</definedName>
    <definedName name="T1xLatPlus15">Data!$P$40</definedName>
    <definedName name="T2x">Data!$P$45</definedName>
    <definedName name="T2xFourPerYear">Data!$R$36</definedName>
    <definedName name="T2xTwoPerYear">Data!$Q$36</definedName>
    <definedName name="TEST">Main!$G$85</definedName>
    <definedName name="TestPanel">PV!$B$37</definedName>
    <definedName name="TotalEWRotation">Shadow!$E$7</definedName>
    <definedName name="TotalMountCost">Main!$F$23</definedName>
    <definedName name="TotalPanelCost">Main!$J$19</definedName>
    <definedName name="TotalSystemCost">Main!$I$23</definedName>
    <definedName name="TrapArea">Main!#REF!</definedName>
    <definedName name="TreeAndStumpRemoval">Main!$F$22</definedName>
    <definedName name="TriangleAngle">Main!$C$41</definedName>
    <definedName name="TriangleLength">Main!$C$40</definedName>
    <definedName name="TripodCalcs" localSheetId="10">Data!$A$2:$O$70</definedName>
    <definedName name="UtilityMonthlyElectricUsage">Main!$E$19</definedName>
    <definedName name="WheelEndDeg">Wheel!$K$10</definedName>
    <definedName name="WheelStartDeg">Wheel!$K$9</definedName>
    <definedName name="WheelSteepsDeg">Wheel!$L$9</definedName>
    <definedName name="WindFactor">Dual!$D$16</definedName>
    <definedName name="WindForce">Main!$C$50</definedName>
    <definedName name="WindForceMetric">Main!$C$51</definedName>
    <definedName name="WindTorque">Main!$C$52</definedName>
    <definedName name="WindTorqueCentroid">Main!#REF!</definedName>
    <definedName name="WindTorqueMetric">Main!$C$53</definedName>
    <definedName name="Winter_Support_Angle">Main!$B$33</definedName>
    <definedName name="XOffset">Shadow!$U$2</definedName>
    <definedName name="YOffset">Shadow!$V$2</definedName>
  </definedNames>
  <calcPr calcId="125725" iterate="1" iterateDelta="1.0000000000000001E-5"/>
</workbook>
</file>

<file path=xl/calcChain.xml><?xml version="1.0" encoding="utf-8"?>
<calcChain xmlns="http://schemas.openxmlformats.org/spreadsheetml/2006/main">
  <c r="Y35" i="2"/>
  <c r="Y34"/>
  <c r="Y32"/>
  <c r="Y31"/>
  <c r="V35"/>
  <c r="V34"/>
  <c r="P79" i="8"/>
  <c r="P53"/>
  <c r="L24"/>
  <c r="L53" s="1"/>
  <c r="M53" s="1"/>
  <c r="N53" s="1"/>
  <c r="H35" i="2"/>
  <c r="H34"/>
  <c r="Z34"/>
  <c r="Z35"/>
  <c r="X35"/>
  <c r="X34"/>
  <c r="O35"/>
  <c r="O34"/>
  <c r="N35"/>
  <c r="N34"/>
  <c r="L35"/>
  <c r="K35"/>
  <c r="J35"/>
  <c r="K34"/>
  <c r="J34"/>
  <c r="G35"/>
  <c r="F35"/>
  <c r="F34"/>
  <c r="G34" s="1"/>
  <c r="L34" s="1"/>
  <c r="O53" i="8"/>
  <c r="O52"/>
  <c r="O50"/>
  <c r="O49"/>
  <c r="O48"/>
  <c r="O47"/>
  <c r="O46"/>
  <c r="O45"/>
  <c r="O43"/>
  <c r="O42"/>
  <c r="O41"/>
  <c r="O40"/>
  <c r="O39"/>
  <c r="O38"/>
  <c r="O37"/>
  <c r="O36"/>
  <c r="O35"/>
  <c r="O34"/>
  <c r="O33"/>
  <c r="O32"/>
  <c r="O31"/>
  <c r="O30"/>
  <c r="O29"/>
  <c r="O79"/>
  <c r="O78"/>
  <c r="O75"/>
  <c r="O74"/>
  <c r="O73"/>
  <c r="O72"/>
  <c r="O71"/>
  <c r="O70"/>
  <c r="O69"/>
  <c r="O68"/>
  <c r="O67"/>
  <c r="O66"/>
  <c r="O65"/>
  <c r="O64"/>
  <c r="O63"/>
  <c r="O62"/>
  <c r="O61"/>
  <c r="K65"/>
  <c r="I65"/>
  <c r="H65" s="1"/>
  <c r="K30"/>
  <c r="K29"/>
  <c r="H34"/>
  <c r="K34" s="1"/>
  <c r="I34"/>
  <c r="H29"/>
  <c r="H30"/>
  <c r="O37" i="2"/>
  <c r="C43"/>
  <c r="K62" i="8"/>
  <c r="D62"/>
  <c r="Q62"/>
  <c r="G62"/>
  <c r="E62" s="1"/>
  <c r="G73"/>
  <c r="D73" s="1"/>
  <c r="I73"/>
  <c r="K73" s="1"/>
  <c r="Q73"/>
  <c r="Q65"/>
  <c r="G65"/>
  <c r="E65" s="1"/>
  <c r="D65"/>
  <c r="J61"/>
  <c r="J63"/>
  <c r="Q61"/>
  <c r="G61"/>
  <c r="E61" s="1"/>
  <c r="D61"/>
  <c r="Q66"/>
  <c r="J66"/>
  <c r="K66" s="1"/>
  <c r="G66"/>
  <c r="E66" s="1"/>
  <c r="D66"/>
  <c r="D63"/>
  <c r="Q64"/>
  <c r="J64"/>
  <c r="G64"/>
  <c r="E64" s="1"/>
  <c r="D64"/>
  <c r="Q63"/>
  <c r="G63"/>
  <c r="E63" s="1"/>
  <c r="L56"/>
  <c r="L79" s="1"/>
  <c r="M79" s="1"/>
  <c r="N79" s="1"/>
  <c r="D20" i="11"/>
  <c r="A4" i="2"/>
  <c r="E18" i="1" s="1"/>
  <c r="B28" i="8"/>
  <c r="B27" s="1"/>
  <c r="C59"/>
  <c r="A60"/>
  <c r="B60" s="1"/>
  <c r="Q39" i="4"/>
  <c r="P30" i="9"/>
  <c r="AH8" i="12"/>
  <c r="M75"/>
  <c r="M27"/>
  <c r="R54"/>
  <c r="R57"/>
  <c r="R53"/>
  <c r="P52"/>
  <c r="J19"/>
  <c r="J22" s="1"/>
  <c r="J20"/>
  <c r="J23" s="1"/>
  <c r="J26" s="1"/>
  <c r="J29" s="1"/>
  <c r="J21"/>
  <c r="J24" s="1"/>
  <c r="J27" s="1"/>
  <c r="M3"/>
  <c r="M99" s="1"/>
  <c r="G22"/>
  <c r="N111" s="1"/>
  <c r="N117" s="1"/>
  <c r="G19"/>
  <c r="G25"/>
  <c r="L14"/>
  <c r="L3"/>
  <c r="G89" i="8"/>
  <c r="Q89" s="1"/>
  <c r="G88"/>
  <c r="Q88" s="1"/>
  <c r="H85"/>
  <c r="T4" i="12"/>
  <c r="T5" s="1"/>
  <c r="T6" s="1"/>
  <c r="T7" s="1"/>
  <c r="T8" s="1"/>
  <c r="T9" s="1"/>
  <c r="T10" s="1"/>
  <c r="T11" s="1"/>
  <c r="T12" s="1"/>
  <c r="T13" s="1"/>
  <c r="T14" s="1"/>
  <c r="T15" s="1"/>
  <c r="T16" s="1"/>
  <c r="T17" s="1"/>
  <c r="T18" s="1"/>
  <c r="T19" s="1"/>
  <c r="T20" s="1"/>
  <c r="T21" s="1"/>
  <c r="T22" s="1"/>
  <c r="T23" s="1"/>
  <c r="T24" s="1"/>
  <c r="T25" s="1"/>
  <c r="T26" s="1"/>
  <c r="T27" s="1"/>
  <c r="T28" s="1"/>
  <c r="T29" s="1"/>
  <c r="T30" s="1"/>
  <c r="T31" s="1"/>
  <c r="T32" s="1"/>
  <c r="T33" s="1"/>
  <c r="T34" s="1"/>
  <c r="T35" s="1"/>
  <c r="T36" s="1"/>
  <c r="T37" s="1"/>
  <c r="T38" s="1"/>
  <c r="T39" s="1"/>
  <c r="T40" s="1"/>
  <c r="T41" s="1"/>
  <c r="T42" s="1"/>
  <c r="T43" s="1"/>
  <c r="T44" s="1"/>
  <c r="T45" s="1"/>
  <c r="T46" s="1"/>
  <c r="T47" s="1"/>
  <c r="T48" s="1"/>
  <c r="T49" s="1"/>
  <c r="T50" s="1"/>
  <c r="T51" s="1"/>
  <c r="T52" s="1"/>
  <c r="T53" s="1"/>
  <c r="T54" s="1"/>
  <c r="T55" s="1"/>
  <c r="T56" s="1"/>
  <c r="T57" s="1"/>
  <c r="T58" s="1"/>
  <c r="T59" s="1"/>
  <c r="T60" s="1"/>
  <c r="T61" s="1"/>
  <c r="T62" s="1"/>
  <c r="T63" s="1"/>
  <c r="T64" s="1"/>
  <c r="T65" s="1"/>
  <c r="T66" s="1"/>
  <c r="T67" s="1"/>
  <c r="T68" s="1"/>
  <c r="T69" s="1"/>
  <c r="T70" s="1"/>
  <c r="T71" s="1"/>
  <c r="T72" s="1"/>
  <c r="T73" s="1"/>
  <c r="T74" s="1"/>
  <c r="T75" s="1"/>
  <c r="V32" i="2"/>
  <c r="V31"/>
  <c r="X32"/>
  <c r="O32" s="1"/>
  <c r="N32"/>
  <c r="K32"/>
  <c r="J32"/>
  <c r="F32"/>
  <c r="G32" s="1"/>
  <c r="X31"/>
  <c r="O31" s="1"/>
  <c r="N31"/>
  <c r="K31"/>
  <c r="J31"/>
  <c r="F31"/>
  <c r="G31" s="1"/>
  <c r="J37" i="8"/>
  <c r="J36"/>
  <c r="C32" i="1"/>
  <c r="C5" i="2"/>
  <c r="D5" s="1"/>
  <c r="E5" s="1"/>
  <c r="F5" s="1"/>
  <c r="G5" s="1"/>
  <c r="H5" s="1"/>
  <c r="I5" s="1"/>
  <c r="J5" s="1"/>
  <c r="K5" s="1"/>
  <c r="L5" s="1"/>
  <c r="M5" s="1"/>
  <c r="N5" s="1"/>
  <c r="O5" s="1"/>
  <c r="P5" s="1"/>
  <c r="Q5" s="1"/>
  <c r="R5" s="1"/>
  <c r="S5" s="1"/>
  <c r="T5" s="1"/>
  <c r="U5" s="1"/>
  <c r="V5" s="1"/>
  <c r="W5" s="1"/>
  <c r="X5" s="1"/>
  <c r="Y5" s="1"/>
  <c r="Z5" s="1"/>
  <c r="Z4" s="1"/>
  <c r="D6" i="8" s="1"/>
  <c r="H6" s="1"/>
  <c r="C38" i="2"/>
  <c r="D38" s="1"/>
  <c r="E38" s="1"/>
  <c r="F38" s="1"/>
  <c r="G38" s="1"/>
  <c r="H38" s="1"/>
  <c r="I38" s="1"/>
  <c r="J38" s="1"/>
  <c r="K38" s="1"/>
  <c r="L38" s="1"/>
  <c r="M38" s="1"/>
  <c r="N38" s="1"/>
  <c r="O38" s="1"/>
  <c r="P38" s="1"/>
  <c r="Q38" s="1"/>
  <c r="R38" s="1"/>
  <c r="S38" s="1"/>
  <c r="T38" s="1"/>
  <c r="U38" s="1"/>
  <c r="V38" s="1"/>
  <c r="W38" s="1"/>
  <c r="X38" s="1"/>
  <c r="Y38" s="1"/>
  <c r="Z38" s="1"/>
  <c r="K37"/>
  <c r="Q79" i="8"/>
  <c r="Q78"/>
  <c r="Q72"/>
  <c r="Q74"/>
  <c r="Q75"/>
  <c r="Q71"/>
  <c r="Q70"/>
  <c r="Q69"/>
  <c r="Q68"/>
  <c r="Q67"/>
  <c r="D68" i="6"/>
  <c r="E68" s="1"/>
  <c r="D67"/>
  <c r="E67" s="1"/>
  <c r="D66"/>
  <c r="E66" s="1"/>
  <c r="D65"/>
  <c r="E65" s="1"/>
  <c r="D64"/>
  <c r="E64" s="1"/>
  <c r="D63"/>
  <c r="E63" s="1"/>
  <c r="D62"/>
  <c r="E62" s="1"/>
  <c r="D61"/>
  <c r="E61" s="1"/>
  <c r="D60"/>
  <c r="E60" s="1"/>
  <c r="D59"/>
  <c r="E59" s="1"/>
  <c r="D53"/>
  <c r="E53" s="1"/>
  <c r="F53" s="1"/>
  <c r="G53" s="1"/>
  <c r="D54"/>
  <c r="E54" s="1"/>
  <c r="F54" s="1"/>
  <c r="G54" s="1"/>
  <c r="D55"/>
  <c r="E55" s="1"/>
  <c r="F55" s="1"/>
  <c r="G55" s="1"/>
  <c r="D56"/>
  <c r="E56" s="1"/>
  <c r="F56" s="1"/>
  <c r="G56" s="1"/>
  <c r="D57"/>
  <c r="E57" s="1"/>
  <c r="F57" s="1"/>
  <c r="G57" s="1"/>
  <c r="D58"/>
  <c r="E58" s="1"/>
  <c r="F58" s="1"/>
  <c r="G58" s="1"/>
  <c r="D48"/>
  <c r="E48" s="1"/>
  <c r="F48" s="1"/>
  <c r="G48" s="1"/>
  <c r="D49"/>
  <c r="E49" s="1"/>
  <c r="F49" s="1"/>
  <c r="G49" s="1"/>
  <c r="D50"/>
  <c r="E50" s="1"/>
  <c r="F50" s="1"/>
  <c r="G50" s="1"/>
  <c r="D51"/>
  <c r="E51" s="1"/>
  <c r="F51" s="1"/>
  <c r="G51" s="1"/>
  <c r="D52"/>
  <c r="E52" s="1"/>
  <c r="F52" s="1"/>
  <c r="G52" s="1"/>
  <c r="D46"/>
  <c r="E46" s="1"/>
  <c r="F46" s="1"/>
  <c r="G46" s="1"/>
  <c r="D47"/>
  <c r="E47" s="1"/>
  <c r="F47" s="1"/>
  <c r="G47" s="1"/>
  <c r="D40"/>
  <c r="E40" s="1"/>
  <c r="F40" s="1"/>
  <c r="G40" s="1"/>
  <c r="D41"/>
  <c r="E41" s="1"/>
  <c r="F41" s="1"/>
  <c r="G41" s="1"/>
  <c r="D42"/>
  <c r="E42" s="1"/>
  <c r="F42" s="1"/>
  <c r="G42" s="1"/>
  <c r="D43"/>
  <c r="E43" s="1"/>
  <c r="F43" s="1"/>
  <c r="G43" s="1"/>
  <c r="D44"/>
  <c r="E44" s="1"/>
  <c r="F44" s="1"/>
  <c r="G44" s="1"/>
  <c r="D45"/>
  <c r="E45" s="1"/>
  <c r="F45" s="1"/>
  <c r="G45" s="1"/>
  <c r="D39"/>
  <c r="E38"/>
  <c r="I8" i="11"/>
  <c r="H8"/>
  <c r="V30" i="2"/>
  <c r="M30"/>
  <c r="H30"/>
  <c r="G30"/>
  <c r="I30"/>
  <c r="K30" s="1"/>
  <c r="E30"/>
  <c r="I208" i="11"/>
  <c r="H208"/>
  <c r="I204"/>
  <c r="H204"/>
  <c r="I200"/>
  <c r="H200"/>
  <c r="I196"/>
  <c r="H196"/>
  <c r="I192"/>
  <c r="H192"/>
  <c r="I188"/>
  <c r="H188"/>
  <c r="I184"/>
  <c r="H184"/>
  <c r="I180"/>
  <c r="H180"/>
  <c r="I176"/>
  <c r="H176"/>
  <c r="I172"/>
  <c r="H172"/>
  <c r="I168"/>
  <c r="H168"/>
  <c r="I164"/>
  <c r="H164"/>
  <c r="I160"/>
  <c r="H160"/>
  <c r="I156"/>
  <c r="H156"/>
  <c r="I152"/>
  <c r="H152"/>
  <c r="I148"/>
  <c r="H148"/>
  <c r="I144"/>
  <c r="H144"/>
  <c r="I140"/>
  <c r="H140"/>
  <c r="I136"/>
  <c r="H136"/>
  <c r="I132"/>
  <c r="H132"/>
  <c r="I128"/>
  <c r="H128"/>
  <c r="I124"/>
  <c r="H124"/>
  <c r="I120"/>
  <c r="H120"/>
  <c r="I116"/>
  <c r="H116"/>
  <c r="I112"/>
  <c r="H112"/>
  <c r="I108"/>
  <c r="H108"/>
  <c r="I104"/>
  <c r="H104"/>
  <c r="I100"/>
  <c r="H100"/>
  <c r="I96"/>
  <c r="H96"/>
  <c r="I92"/>
  <c r="H92"/>
  <c r="I88"/>
  <c r="H88"/>
  <c r="I84"/>
  <c r="H84"/>
  <c r="I80"/>
  <c r="H80"/>
  <c r="I76"/>
  <c r="H76"/>
  <c r="I72"/>
  <c r="H72"/>
  <c r="I68"/>
  <c r="H68"/>
  <c r="I64"/>
  <c r="H64"/>
  <c r="I60"/>
  <c r="H60"/>
  <c r="I56"/>
  <c r="H56"/>
  <c r="I52"/>
  <c r="H52"/>
  <c r="I48"/>
  <c r="H48"/>
  <c r="I44"/>
  <c r="H44"/>
  <c r="I40"/>
  <c r="H40"/>
  <c r="I36"/>
  <c r="H36"/>
  <c r="I32"/>
  <c r="H32"/>
  <c r="I28"/>
  <c r="H28"/>
  <c r="I24"/>
  <c r="H24"/>
  <c r="I20"/>
  <c r="H20"/>
  <c r="I16"/>
  <c r="H16"/>
  <c r="I12"/>
  <c r="H12"/>
  <c r="X11" i="2"/>
  <c r="Y11" s="1"/>
  <c r="V11"/>
  <c r="O11"/>
  <c r="N11"/>
  <c r="K11"/>
  <c r="J11"/>
  <c r="F11"/>
  <c r="G11" s="1"/>
  <c r="L11" s="1"/>
  <c r="D110" i="8"/>
  <c r="F110" s="1"/>
  <c r="G19" i="1"/>
  <c r="V6" i="2"/>
  <c r="V29"/>
  <c r="V28"/>
  <c r="V27"/>
  <c r="V26"/>
  <c r="V25"/>
  <c r="V24"/>
  <c r="V23"/>
  <c r="V22"/>
  <c r="V21"/>
  <c r="V20"/>
  <c r="V19"/>
  <c r="V17"/>
  <c r="V15"/>
  <c r="V13"/>
  <c r="V12"/>
  <c r="V10"/>
  <c r="V9"/>
  <c r="V7"/>
  <c r="X29"/>
  <c r="X28"/>
  <c r="X27"/>
  <c r="X25"/>
  <c r="X24"/>
  <c r="X23"/>
  <c r="X19"/>
  <c r="X15"/>
  <c r="X10"/>
  <c r="X8"/>
  <c r="X7"/>
  <c r="F22" i="1"/>
  <c r="E5" i="11"/>
  <c r="E4"/>
  <c r="A15" i="9"/>
  <c r="A18"/>
  <c r="A21"/>
  <c r="I72" i="8"/>
  <c r="K72" s="1"/>
  <c r="D106" i="2"/>
  <c r="C110"/>
  <c r="C109"/>
  <c r="S26" i="4"/>
  <c r="E11" i="11"/>
  <c r="E15" s="1"/>
  <c r="G72" i="8"/>
  <c r="E72" s="1"/>
  <c r="I74"/>
  <c r="G74"/>
  <c r="E74" s="1"/>
  <c r="C49"/>
  <c r="J49"/>
  <c r="I49"/>
  <c r="K49" s="1"/>
  <c r="D111"/>
  <c r="F111" s="1"/>
  <c r="D104"/>
  <c r="N10" i="2"/>
  <c r="J10"/>
  <c r="K10" s="1"/>
  <c r="F10"/>
  <c r="G10" s="1"/>
  <c r="M7"/>
  <c r="N7" s="1"/>
  <c r="J7"/>
  <c r="K7" s="1"/>
  <c r="F7"/>
  <c r="G7" s="1"/>
  <c r="D19" i="11"/>
  <c r="F117" i="8"/>
  <c r="F116"/>
  <c r="F115"/>
  <c r="F114"/>
  <c r="F113"/>
  <c r="F112"/>
  <c r="F118"/>
  <c r="F109"/>
  <c r="E124"/>
  <c r="F130"/>
  <c r="F129"/>
  <c r="F128"/>
  <c r="F127"/>
  <c r="F126"/>
  <c r="F125"/>
  <c r="F124"/>
  <c r="F123"/>
  <c r="F122"/>
  <c r="F121"/>
  <c r="F120"/>
  <c r="F135"/>
  <c r="F134"/>
  <c r="F133"/>
  <c r="F132"/>
  <c r="F108"/>
  <c r="F106"/>
  <c r="F119"/>
  <c r="F131"/>
  <c r="F107"/>
  <c r="F105"/>
  <c r="D5" i="11"/>
  <c r="K208" s="1"/>
  <c r="H28" i="2"/>
  <c r="H27"/>
  <c r="H26"/>
  <c r="H25"/>
  <c r="H22"/>
  <c r="H21"/>
  <c r="H20"/>
  <c r="H18"/>
  <c r="H17"/>
  <c r="H16"/>
  <c r="H14"/>
  <c r="H13"/>
  <c r="H12"/>
  <c r="H9"/>
  <c r="H6"/>
  <c r="M9" i="10"/>
  <c r="P6"/>
  <c r="R7" s="1"/>
  <c r="X7" s="1"/>
  <c r="R315"/>
  <c r="X315" s="1"/>
  <c r="Q315"/>
  <c r="W315" s="1"/>
  <c r="V313"/>
  <c r="S313"/>
  <c r="R312"/>
  <c r="X312" s="1"/>
  <c r="Q312"/>
  <c r="W312" s="1"/>
  <c r="R309"/>
  <c r="X309" s="1"/>
  <c r="Q309"/>
  <c r="W309" s="1"/>
  <c r="V307"/>
  <c r="S307"/>
  <c r="R306"/>
  <c r="X306" s="1"/>
  <c r="Q306"/>
  <c r="W306" s="1"/>
  <c r="R303"/>
  <c r="X303" s="1"/>
  <c r="Q303"/>
  <c r="W303" s="1"/>
  <c r="V301"/>
  <c r="S301"/>
  <c r="R300"/>
  <c r="X300" s="1"/>
  <c r="Q300"/>
  <c r="W300" s="1"/>
  <c r="R297"/>
  <c r="X297" s="1"/>
  <c r="Q297"/>
  <c r="W297" s="1"/>
  <c r="V295"/>
  <c r="S295"/>
  <c r="R294"/>
  <c r="X294" s="1"/>
  <c r="Q294"/>
  <c r="W294" s="1"/>
  <c r="R291"/>
  <c r="X291" s="1"/>
  <c r="Q291"/>
  <c r="W291" s="1"/>
  <c r="V289"/>
  <c r="S289"/>
  <c r="R288"/>
  <c r="X288" s="1"/>
  <c r="Q288"/>
  <c r="W288" s="1"/>
  <c r="R285"/>
  <c r="X285" s="1"/>
  <c r="Q285"/>
  <c r="W285" s="1"/>
  <c r="V283"/>
  <c r="S283"/>
  <c r="R282"/>
  <c r="X282" s="1"/>
  <c r="Q282"/>
  <c r="W282" s="1"/>
  <c r="R279"/>
  <c r="X279" s="1"/>
  <c r="Q279"/>
  <c r="W279" s="1"/>
  <c r="V277"/>
  <c r="S277"/>
  <c r="R276"/>
  <c r="X276" s="1"/>
  <c r="Q276"/>
  <c r="W276" s="1"/>
  <c r="R273"/>
  <c r="X273" s="1"/>
  <c r="Q273"/>
  <c r="W273" s="1"/>
  <c r="V271"/>
  <c r="S271"/>
  <c r="R270"/>
  <c r="X270" s="1"/>
  <c r="Q270"/>
  <c r="W270" s="1"/>
  <c r="R267"/>
  <c r="X267" s="1"/>
  <c r="Q267"/>
  <c r="W267" s="1"/>
  <c r="V265"/>
  <c r="S265"/>
  <c r="R264"/>
  <c r="X264" s="1"/>
  <c r="Q264"/>
  <c r="W264" s="1"/>
  <c r="R261"/>
  <c r="X261" s="1"/>
  <c r="Q261"/>
  <c r="W261" s="1"/>
  <c r="V259"/>
  <c r="S259"/>
  <c r="R258"/>
  <c r="X258" s="1"/>
  <c r="Q258"/>
  <c r="W258" s="1"/>
  <c r="R255"/>
  <c r="X255" s="1"/>
  <c r="Q255"/>
  <c r="W255" s="1"/>
  <c r="V253"/>
  <c r="S253"/>
  <c r="R252"/>
  <c r="X252" s="1"/>
  <c r="Q252"/>
  <c r="W252" s="1"/>
  <c r="R249"/>
  <c r="X249" s="1"/>
  <c r="Q249"/>
  <c r="W249" s="1"/>
  <c r="V247"/>
  <c r="S247"/>
  <c r="R246"/>
  <c r="X246" s="1"/>
  <c r="Q246"/>
  <c r="W246" s="1"/>
  <c r="R243"/>
  <c r="X243" s="1"/>
  <c r="Q243"/>
  <c r="W243" s="1"/>
  <c r="V241"/>
  <c r="S241"/>
  <c r="R240"/>
  <c r="X240" s="1"/>
  <c r="Q240"/>
  <c r="W240" s="1"/>
  <c r="R237"/>
  <c r="X237" s="1"/>
  <c r="Q237"/>
  <c r="W237" s="1"/>
  <c r="V235"/>
  <c r="S235"/>
  <c r="R234"/>
  <c r="X234" s="1"/>
  <c r="Q234"/>
  <c r="W234" s="1"/>
  <c r="R231"/>
  <c r="X231" s="1"/>
  <c r="Q231"/>
  <c r="W231" s="1"/>
  <c r="V229"/>
  <c r="S229"/>
  <c r="R228"/>
  <c r="X228" s="1"/>
  <c r="Q228"/>
  <c r="W228" s="1"/>
  <c r="R225"/>
  <c r="X225" s="1"/>
  <c r="Q225"/>
  <c r="W225" s="1"/>
  <c r="V223"/>
  <c r="S223"/>
  <c r="R222"/>
  <c r="X222" s="1"/>
  <c r="Q222"/>
  <c r="W222" s="1"/>
  <c r="R219"/>
  <c r="X219" s="1"/>
  <c r="Q219"/>
  <c r="V217"/>
  <c r="S217"/>
  <c r="R216"/>
  <c r="X216" s="1"/>
  <c r="Q216"/>
  <c r="W216" s="1"/>
  <c r="R213"/>
  <c r="X213" s="1"/>
  <c r="Q213"/>
  <c r="W213" s="1"/>
  <c r="V211"/>
  <c r="S211"/>
  <c r="R210"/>
  <c r="X210" s="1"/>
  <c r="Q210"/>
  <c r="W210" s="1"/>
  <c r="R207"/>
  <c r="X207" s="1"/>
  <c r="Q207"/>
  <c r="V205"/>
  <c r="S205"/>
  <c r="R204"/>
  <c r="X204" s="1"/>
  <c r="Q204"/>
  <c r="W204" s="1"/>
  <c r="R201"/>
  <c r="X201" s="1"/>
  <c r="Q201"/>
  <c r="W201" s="1"/>
  <c r="V199"/>
  <c r="S199"/>
  <c r="R198"/>
  <c r="X198" s="1"/>
  <c r="Q198"/>
  <c r="W198" s="1"/>
  <c r="R195"/>
  <c r="X195" s="1"/>
  <c r="Q195"/>
  <c r="W195" s="1"/>
  <c r="V193"/>
  <c r="S193"/>
  <c r="R192"/>
  <c r="X192" s="1"/>
  <c r="Q192"/>
  <c r="W192" s="1"/>
  <c r="R189"/>
  <c r="X189" s="1"/>
  <c r="Q189"/>
  <c r="W189" s="1"/>
  <c r="V187"/>
  <c r="S187"/>
  <c r="R186"/>
  <c r="X186" s="1"/>
  <c r="Q186"/>
  <c r="W186" s="1"/>
  <c r="R183"/>
  <c r="X183" s="1"/>
  <c r="Q183"/>
  <c r="W183" s="1"/>
  <c r="V181"/>
  <c r="S181"/>
  <c r="R180"/>
  <c r="X180" s="1"/>
  <c r="Q180"/>
  <c r="W180" s="1"/>
  <c r="R177"/>
  <c r="X177" s="1"/>
  <c r="Q177"/>
  <c r="W177" s="1"/>
  <c r="V175"/>
  <c r="S175"/>
  <c r="R174"/>
  <c r="X174" s="1"/>
  <c r="Q174"/>
  <c r="W174" s="1"/>
  <c r="R171"/>
  <c r="X171" s="1"/>
  <c r="Q171"/>
  <c r="W171" s="1"/>
  <c r="V169"/>
  <c r="S169"/>
  <c r="R168"/>
  <c r="X168" s="1"/>
  <c r="Q168"/>
  <c r="W168" s="1"/>
  <c r="R165"/>
  <c r="X165" s="1"/>
  <c r="Q165"/>
  <c r="W165" s="1"/>
  <c r="V163"/>
  <c r="S163"/>
  <c r="R162"/>
  <c r="X162" s="1"/>
  <c r="Q162"/>
  <c r="W162" s="1"/>
  <c r="R159"/>
  <c r="X159" s="1"/>
  <c r="Q159"/>
  <c r="W159" s="1"/>
  <c r="V157"/>
  <c r="S157"/>
  <c r="R156"/>
  <c r="X156" s="1"/>
  <c r="Q156"/>
  <c r="W156" s="1"/>
  <c r="R153"/>
  <c r="X153" s="1"/>
  <c r="Q153"/>
  <c r="W153" s="1"/>
  <c r="V151"/>
  <c r="S151"/>
  <c r="R150"/>
  <c r="X150" s="1"/>
  <c r="Q150"/>
  <c r="W150" s="1"/>
  <c r="R147"/>
  <c r="X147" s="1"/>
  <c r="Q147"/>
  <c r="V145"/>
  <c r="S145"/>
  <c r="R144"/>
  <c r="X144" s="1"/>
  <c r="Q144"/>
  <c r="W144" s="1"/>
  <c r="R141"/>
  <c r="X141" s="1"/>
  <c r="Q141"/>
  <c r="W141" s="1"/>
  <c r="V139"/>
  <c r="S139"/>
  <c r="R138"/>
  <c r="X138" s="1"/>
  <c r="Q138"/>
  <c r="W138" s="1"/>
  <c r="R135"/>
  <c r="X135" s="1"/>
  <c r="Q135"/>
  <c r="V133"/>
  <c r="S133"/>
  <c r="R132"/>
  <c r="X132" s="1"/>
  <c r="Q132"/>
  <c r="W132" s="1"/>
  <c r="R129"/>
  <c r="X129" s="1"/>
  <c r="Q129"/>
  <c r="W129" s="1"/>
  <c r="V127"/>
  <c r="S127"/>
  <c r="R126"/>
  <c r="X126" s="1"/>
  <c r="Q126"/>
  <c r="W126" s="1"/>
  <c r="R123"/>
  <c r="X123" s="1"/>
  <c r="Q123"/>
  <c r="W123" s="1"/>
  <c r="V121"/>
  <c r="S121"/>
  <c r="R120"/>
  <c r="X120" s="1"/>
  <c r="Q120"/>
  <c r="W120" s="1"/>
  <c r="R117"/>
  <c r="X117" s="1"/>
  <c r="Q117"/>
  <c r="W117" s="1"/>
  <c r="V115"/>
  <c r="S115"/>
  <c r="R114"/>
  <c r="X114" s="1"/>
  <c r="Q114"/>
  <c r="W114" s="1"/>
  <c r="R111"/>
  <c r="X111" s="1"/>
  <c r="Q111"/>
  <c r="W111" s="1"/>
  <c r="V109"/>
  <c r="S109"/>
  <c r="R108"/>
  <c r="X108" s="1"/>
  <c r="Q108"/>
  <c r="W108" s="1"/>
  <c r="R105"/>
  <c r="X105" s="1"/>
  <c r="Q105"/>
  <c r="W105" s="1"/>
  <c r="V103"/>
  <c r="S103"/>
  <c r="R102"/>
  <c r="X102" s="1"/>
  <c r="Q102"/>
  <c r="W102" s="1"/>
  <c r="R99"/>
  <c r="X99" s="1"/>
  <c r="Q99"/>
  <c r="W99" s="1"/>
  <c r="V97"/>
  <c r="S97"/>
  <c r="R96"/>
  <c r="X96" s="1"/>
  <c r="Q96"/>
  <c r="W96" s="1"/>
  <c r="R93"/>
  <c r="X93" s="1"/>
  <c r="Q93"/>
  <c r="W93" s="1"/>
  <c r="V91"/>
  <c r="S91"/>
  <c r="R90"/>
  <c r="X90" s="1"/>
  <c r="Q90"/>
  <c r="W90" s="1"/>
  <c r="R87"/>
  <c r="X87" s="1"/>
  <c r="Q87"/>
  <c r="W87" s="1"/>
  <c r="V85"/>
  <c r="S85"/>
  <c r="R84"/>
  <c r="X84" s="1"/>
  <c r="Q84"/>
  <c r="W84" s="1"/>
  <c r="R81"/>
  <c r="X81" s="1"/>
  <c r="Q81"/>
  <c r="W81" s="1"/>
  <c r="V79"/>
  <c r="S79"/>
  <c r="R78"/>
  <c r="X78" s="1"/>
  <c r="Q78"/>
  <c r="W78" s="1"/>
  <c r="R75"/>
  <c r="X75" s="1"/>
  <c r="Q75"/>
  <c r="W75" s="1"/>
  <c r="V73"/>
  <c r="S73"/>
  <c r="R72"/>
  <c r="X72" s="1"/>
  <c r="Q72"/>
  <c r="W72" s="1"/>
  <c r="R69"/>
  <c r="X69" s="1"/>
  <c r="Q69"/>
  <c r="W69" s="1"/>
  <c r="V67"/>
  <c r="S67"/>
  <c r="R66"/>
  <c r="X66" s="1"/>
  <c r="Q66"/>
  <c r="W66" s="1"/>
  <c r="R63"/>
  <c r="X63" s="1"/>
  <c r="Q63"/>
  <c r="W63" s="1"/>
  <c r="V61"/>
  <c r="S61"/>
  <c r="R60"/>
  <c r="X60" s="1"/>
  <c r="Q60"/>
  <c r="W60" s="1"/>
  <c r="R57"/>
  <c r="X57" s="1"/>
  <c r="Q57"/>
  <c r="W57" s="1"/>
  <c r="V55"/>
  <c r="S55"/>
  <c r="R54"/>
  <c r="X54" s="1"/>
  <c r="Q54"/>
  <c r="W54" s="1"/>
  <c r="R51"/>
  <c r="X51" s="1"/>
  <c r="Q51"/>
  <c r="W51" s="1"/>
  <c r="V49"/>
  <c r="S49"/>
  <c r="R48"/>
  <c r="X48" s="1"/>
  <c r="Q48"/>
  <c r="W48" s="1"/>
  <c r="R45"/>
  <c r="X45" s="1"/>
  <c r="Q45"/>
  <c r="W45" s="1"/>
  <c r="V43"/>
  <c r="S43"/>
  <c r="R42"/>
  <c r="X42" s="1"/>
  <c r="Q42"/>
  <c r="W42" s="1"/>
  <c r="R39"/>
  <c r="X39" s="1"/>
  <c r="Q39"/>
  <c r="W39" s="1"/>
  <c r="V37"/>
  <c r="S37"/>
  <c r="R36"/>
  <c r="X36" s="1"/>
  <c r="Q36"/>
  <c r="W36" s="1"/>
  <c r="R33"/>
  <c r="X33" s="1"/>
  <c r="Q33"/>
  <c r="W33" s="1"/>
  <c r="V31"/>
  <c r="S31"/>
  <c r="R30"/>
  <c r="X30" s="1"/>
  <c r="Q30"/>
  <c r="W30" s="1"/>
  <c r="R27"/>
  <c r="X27" s="1"/>
  <c r="Q27"/>
  <c r="W27" s="1"/>
  <c r="V25"/>
  <c r="S25"/>
  <c r="R24"/>
  <c r="X24" s="1"/>
  <c r="Q24"/>
  <c r="W24" s="1"/>
  <c r="R21"/>
  <c r="X21" s="1"/>
  <c r="Q21"/>
  <c r="W21" s="1"/>
  <c r="V19"/>
  <c r="S19"/>
  <c r="R18"/>
  <c r="X18" s="1"/>
  <c r="Q18"/>
  <c r="W18" s="1"/>
  <c r="R15"/>
  <c r="X15" s="1"/>
  <c r="Q15"/>
  <c r="W15" s="1"/>
  <c r="V13"/>
  <c r="S13"/>
  <c r="S7"/>
  <c r="J7"/>
  <c r="J5"/>
  <c r="V7"/>
  <c r="R2"/>
  <c r="R12"/>
  <c r="X12" s="1"/>
  <c r="R6"/>
  <c r="X6" s="1"/>
  <c r="G22" i="1"/>
  <c r="Q9" i="10"/>
  <c r="W9" s="1"/>
  <c r="Q4"/>
  <c r="W4" s="1"/>
  <c r="X2"/>
  <c r="D37" i="8"/>
  <c r="G10" i="6"/>
  <c r="G11"/>
  <c r="B5" i="10"/>
  <c r="C70" i="8"/>
  <c r="C68"/>
  <c r="C46"/>
  <c r="C45"/>
  <c r="C67"/>
  <c r="K70"/>
  <c r="K68"/>
  <c r="K67"/>
  <c r="K45"/>
  <c r="C71"/>
  <c r="C48"/>
  <c r="J47"/>
  <c r="I47"/>
  <c r="K47" s="1"/>
  <c r="I69"/>
  <c r="K69" s="1"/>
  <c r="I71"/>
  <c r="I75"/>
  <c r="K75" s="1"/>
  <c r="J79"/>
  <c r="I78"/>
  <c r="K78" s="1"/>
  <c r="J31"/>
  <c r="K31" s="1"/>
  <c r="D31"/>
  <c r="D29"/>
  <c r="D34"/>
  <c r="D30"/>
  <c r="J33"/>
  <c r="K33" s="1"/>
  <c r="D33"/>
  <c r="V53"/>
  <c r="D36"/>
  <c r="J39"/>
  <c r="D39"/>
  <c r="J32"/>
  <c r="K32" s="1"/>
  <c r="D32"/>
  <c r="J38"/>
  <c r="K38" s="1"/>
  <c r="D38"/>
  <c r="J35"/>
  <c r="K35" s="1"/>
  <c r="J40"/>
  <c r="J41"/>
  <c r="J42"/>
  <c r="K42" s="1"/>
  <c r="J43"/>
  <c r="D42"/>
  <c r="D43"/>
  <c r="D41"/>
  <c r="D35"/>
  <c r="D40"/>
  <c r="I52"/>
  <c r="I50"/>
  <c r="I48"/>
  <c r="J53"/>
  <c r="J52"/>
  <c r="J50"/>
  <c r="J48"/>
  <c r="D53"/>
  <c r="F6"/>
  <c r="C6"/>
  <c r="G6" s="1"/>
  <c r="B42" i="1"/>
  <c r="B43"/>
  <c r="G21"/>
  <c r="K52" i="8" l="1"/>
  <c r="K48"/>
  <c r="K50"/>
  <c r="Z37" i="2"/>
  <c r="X30"/>
  <c r="C4"/>
  <c r="C816" s="1"/>
  <c r="E4"/>
  <c r="G4"/>
  <c r="J4"/>
  <c r="N4"/>
  <c r="P4"/>
  <c r="R4"/>
  <c r="T4"/>
  <c r="T37" s="1"/>
  <c r="V4"/>
  <c r="V37" s="1"/>
  <c r="X4"/>
  <c r="D4"/>
  <c r="C78" s="1"/>
  <c r="F4"/>
  <c r="I4"/>
  <c r="K4"/>
  <c r="M4"/>
  <c r="M37" s="1"/>
  <c r="Q4"/>
  <c r="C801" s="1"/>
  <c r="S4"/>
  <c r="U4"/>
  <c r="U37" s="1"/>
  <c r="W4"/>
  <c r="C830"/>
  <c r="E11" i="8"/>
  <c r="I11" s="1"/>
  <c r="E10"/>
  <c r="I10" s="1"/>
  <c r="E9"/>
  <c r="I9" s="1"/>
  <c r="E8"/>
  <c r="I8" s="1"/>
  <c r="E7"/>
  <c r="I7" s="1"/>
  <c r="E6"/>
  <c r="I6" s="1"/>
  <c r="D11"/>
  <c r="H11" s="1"/>
  <c r="D10"/>
  <c r="H10" s="1"/>
  <c r="D9"/>
  <c r="H9" s="1"/>
  <c r="D8"/>
  <c r="H8" s="1"/>
  <c r="D7"/>
  <c r="H7" s="1"/>
  <c r="C28"/>
  <c r="D28" s="1"/>
  <c r="E28" s="1"/>
  <c r="F28" s="1"/>
  <c r="G28" s="1"/>
  <c r="H28" s="1"/>
  <c r="I28" s="1"/>
  <c r="J28" s="1"/>
  <c r="K28" s="1"/>
  <c r="L28" s="1"/>
  <c r="M28" s="1"/>
  <c r="N28" s="1"/>
  <c r="O28" s="1"/>
  <c r="P28" s="1"/>
  <c r="Q28" s="1"/>
  <c r="R28" s="1"/>
  <c r="S28" s="1"/>
  <c r="T28" s="1"/>
  <c r="U28" s="1"/>
  <c r="V28" s="1"/>
  <c r="K61"/>
  <c r="E73"/>
  <c r="B59"/>
  <c r="C60"/>
  <c r="D60" s="1"/>
  <c r="E60" s="1"/>
  <c r="F60" s="1"/>
  <c r="G60" s="1"/>
  <c r="H60" s="1"/>
  <c r="C27"/>
  <c r="K64"/>
  <c r="H27"/>
  <c r="G4" i="12" s="1"/>
  <c r="G5" s="1"/>
  <c r="N51" s="1"/>
  <c r="N52" s="1"/>
  <c r="K63" i="8"/>
  <c r="D126" i="2"/>
  <c r="AG9" i="12"/>
  <c r="AG12" s="1"/>
  <c r="U3"/>
  <c r="Y75"/>
  <c r="AG3"/>
  <c r="AG10" s="1"/>
  <c r="AG11" s="1"/>
  <c r="N114"/>
  <c r="N120" s="1"/>
  <c r="R56"/>
  <c r="AH10" s="1"/>
  <c r="AH13" s="1"/>
  <c r="AG13"/>
  <c r="N112"/>
  <c r="N118" s="1"/>
  <c r="O51"/>
  <c r="P55"/>
  <c r="P54"/>
  <c r="P53"/>
  <c r="K17"/>
  <c r="Y30" i="2"/>
  <c r="O30"/>
  <c r="L31"/>
  <c r="L32"/>
  <c r="G24" i="12"/>
  <c r="K3"/>
  <c r="J25"/>
  <c r="J28" s="1"/>
  <c r="J30"/>
  <c r="K25"/>
  <c r="K23"/>
  <c r="K22"/>
  <c r="X62"/>
  <c r="X46"/>
  <c r="X48"/>
  <c r="K16"/>
  <c r="X68"/>
  <c r="X54"/>
  <c r="X71"/>
  <c r="K19"/>
  <c r="K20"/>
  <c r="I88" i="8"/>
  <c r="K4" i="12"/>
  <c r="X72"/>
  <c r="X64"/>
  <c r="X58"/>
  <c r="X50"/>
  <c r="X43"/>
  <c r="X56"/>
  <c r="K13"/>
  <c r="X70"/>
  <c r="X66"/>
  <c r="X63"/>
  <c r="X59"/>
  <c r="X55"/>
  <c r="X51"/>
  <c r="X47"/>
  <c r="X42"/>
  <c r="X67"/>
  <c r="X60"/>
  <c r="X52"/>
  <c r="X44"/>
  <c r="K71" i="8"/>
  <c r="K74"/>
  <c r="I85"/>
  <c r="K85" s="1"/>
  <c r="O85" s="1"/>
  <c r="K12" i="12"/>
  <c r="K14"/>
  <c r="W72"/>
  <c r="W70"/>
  <c r="W68"/>
  <c r="W66"/>
  <c r="W64"/>
  <c r="W63"/>
  <c r="W62"/>
  <c r="W59"/>
  <c r="W58"/>
  <c r="W55"/>
  <c r="W54"/>
  <c r="W51"/>
  <c r="W50"/>
  <c r="W47"/>
  <c r="W46"/>
  <c r="W42"/>
  <c r="W43"/>
  <c r="W67"/>
  <c r="W71"/>
  <c r="W60"/>
  <c r="W56"/>
  <c r="W52"/>
  <c r="W48"/>
  <c r="W44"/>
  <c r="Z40"/>
  <c r="Z41"/>
  <c r="Z42"/>
  <c r="Z43"/>
  <c r="Z44"/>
  <c r="Z45"/>
  <c r="Z46"/>
  <c r="Z47"/>
  <c r="Z48"/>
  <c r="Z49"/>
  <c r="Z50"/>
  <c r="Z51"/>
  <c r="Z52"/>
  <c r="Z53"/>
  <c r="Z54"/>
  <c r="Z55"/>
  <c r="Z56"/>
  <c r="Z57"/>
  <c r="Z58"/>
  <c r="Z59"/>
  <c r="Z60"/>
  <c r="Z61"/>
  <c r="Z62"/>
  <c r="Z63"/>
  <c r="Z64"/>
  <c r="Z65"/>
  <c r="Z66"/>
  <c r="Z67"/>
  <c r="Z68"/>
  <c r="Z69"/>
  <c r="Z70"/>
  <c r="Z71"/>
  <c r="Z72"/>
  <c r="Z73"/>
  <c r="Z74"/>
  <c r="Z75"/>
  <c r="I89" i="8"/>
  <c r="K89" s="1"/>
  <c r="O89" s="1"/>
  <c r="Y40" i="12"/>
  <c r="Y41"/>
  <c r="Y42"/>
  <c r="Y43"/>
  <c r="Y44"/>
  <c r="Y45"/>
  <c r="Y46"/>
  <c r="Y47"/>
  <c r="Y48"/>
  <c r="Y49"/>
  <c r="Y50"/>
  <c r="Y51"/>
  <c r="Y52"/>
  <c r="Y53"/>
  <c r="Y54"/>
  <c r="Y55"/>
  <c r="Y56"/>
  <c r="Y57"/>
  <c r="Y58"/>
  <c r="Y59"/>
  <c r="Y60"/>
  <c r="Y61"/>
  <c r="Y62"/>
  <c r="Y63"/>
  <c r="Y64"/>
  <c r="Y65"/>
  <c r="Y66"/>
  <c r="Y67"/>
  <c r="Y68"/>
  <c r="Y69"/>
  <c r="Y70"/>
  <c r="Y71"/>
  <c r="Y72"/>
  <c r="Y73"/>
  <c r="Y74"/>
  <c r="V3"/>
  <c r="U4"/>
  <c r="Y3"/>
  <c r="Z3"/>
  <c r="Y28"/>
  <c r="AB3"/>
  <c r="Y4"/>
  <c r="AB4"/>
  <c r="Y5"/>
  <c r="AB5"/>
  <c r="Y6"/>
  <c r="AB6"/>
  <c r="Z7"/>
  <c r="Z8"/>
  <c r="Z9"/>
  <c r="Z10"/>
  <c r="Z11"/>
  <c r="Z12"/>
  <c r="Z13"/>
  <c r="Z14"/>
  <c r="Z15"/>
  <c r="Z16"/>
  <c r="Z17"/>
  <c r="Z18"/>
  <c r="Z19"/>
  <c r="Z20"/>
  <c r="Z21"/>
  <c r="Z22"/>
  <c r="Z23"/>
  <c r="Z24"/>
  <c r="Z25"/>
  <c r="Z26"/>
  <c r="Z27"/>
  <c r="Z28"/>
  <c r="X4"/>
  <c r="Z4"/>
  <c r="X5"/>
  <c r="Z5"/>
  <c r="X6"/>
  <c r="Z6"/>
  <c r="Y7"/>
  <c r="Y8"/>
  <c r="Y9"/>
  <c r="Y10"/>
  <c r="Y11"/>
  <c r="Y12"/>
  <c r="Y13"/>
  <c r="Y14"/>
  <c r="Y15"/>
  <c r="Y16"/>
  <c r="Y17"/>
  <c r="Y18"/>
  <c r="Y19"/>
  <c r="Y20"/>
  <c r="Y21"/>
  <c r="Y22"/>
  <c r="Y23"/>
  <c r="Y24"/>
  <c r="Y25"/>
  <c r="Y26"/>
  <c r="Y27"/>
  <c r="X7"/>
  <c r="AB7"/>
  <c r="X8"/>
  <c r="AB8"/>
  <c r="X9"/>
  <c r="AB9"/>
  <c r="X10"/>
  <c r="AB10"/>
  <c r="X11"/>
  <c r="AB11"/>
  <c r="X12"/>
  <c r="AB12"/>
  <c r="X13"/>
  <c r="AB13"/>
  <c r="X14"/>
  <c r="AB14"/>
  <c r="X15"/>
  <c r="AB15"/>
  <c r="X16"/>
  <c r="AB16"/>
  <c r="X17"/>
  <c r="AB17"/>
  <c r="X18"/>
  <c r="AB18"/>
  <c r="X19"/>
  <c r="AB19"/>
  <c r="X20"/>
  <c r="AB20"/>
  <c r="X21"/>
  <c r="AB21"/>
  <c r="X22"/>
  <c r="AB22"/>
  <c r="X23"/>
  <c r="AB23"/>
  <c r="X24"/>
  <c r="AB24"/>
  <c r="X25"/>
  <c r="AB25"/>
  <c r="X26"/>
  <c r="AB26"/>
  <c r="X27"/>
  <c r="AB27"/>
  <c r="X28"/>
  <c r="AB28"/>
  <c r="X3"/>
  <c r="W3"/>
  <c r="AA3"/>
  <c r="W4"/>
  <c r="AA4"/>
  <c r="W5"/>
  <c r="AA5"/>
  <c r="W6"/>
  <c r="AA6"/>
  <c r="W7"/>
  <c r="AA7"/>
  <c r="W8"/>
  <c r="AA8"/>
  <c r="W9"/>
  <c r="AA9"/>
  <c r="W10"/>
  <c r="AA10"/>
  <c r="W11"/>
  <c r="AA11"/>
  <c r="W12"/>
  <c r="AA12"/>
  <c r="W13"/>
  <c r="AA13"/>
  <c r="W14"/>
  <c r="AA14"/>
  <c r="W15"/>
  <c r="AA15"/>
  <c r="W16"/>
  <c r="AA16"/>
  <c r="W17"/>
  <c r="AA17"/>
  <c r="W18"/>
  <c r="AA18"/>
  <c r="W19"/>
  <c r="AA19"/>
  <c r="W20"/>
  <c r="AA20"/>
  <c r="W21"/>
  <c r="AA21"/>
  <c r="W22"/>
  <c r="AA22"/>
  <c r="W23"/>
  <c r="AA23"/>
  <c r="W24"/>
  <c r="AA24"/>
  <c r="W25"/>
  <c r="AA25"/>
  <c r="W26"/>
  <c r="AA26"/>
  <c r="W27"/>
  <c r="AA27"/>
  <c r="W28"/>
  <c r="AA28"/>
  <c r="AB29"/>
  <c r="U28"/>
  <c r="V28"/>
  <c r="V4"/>
  <c r="U7"/>
  <c r="U11"/>
  <c r="U15"/>
  <c r="H32" i="2"/>
  <c r="H31"/>
  <c r="L30"/>
  <c r="G60" i="6"/>
  <c r="G64"/>
  <c r="G68"/>
  <c r="F60"/>
  <c r="F62"/>
  <c r="G62" s="1"/>
  <c r="F64"/>
  <c r="F66"/>
  <c r="G66" s="1"/>
  <c r="F68"/>
  <c r="G59"/>
  <c r="G63"/>
  <c r="G67"/>
  <c r="F59"/>
  <c r="F61"/>
  <c r="G61" s="1"/>
  <c r="F63"/>
  <c r="F65"/>
  <c r="G65" s="1"/>
  <c r="F67"/>
  <c r="E39"/>
  <c r="F39" s="1"/>
  <c r="G39" s="1"/>
  <c r="D4" i="11"/>
  <c r="J208" s="1"/>
  <c r="K12"/>
  <c r="K16"/>
  <c r="K20"/>
  <c r="K24"/>
  <c r="K28"/>
  <c r="K32"/>
  <c r="K36"/>
  <c r="K40"/>
  <c r="K44"/>
  <c r="K48"/>
  <c r="K52"/>
  <c r="K56"/>
  <c r="K60"/>
  <c r="K64"/>
  <c r="K68"/>
  <c r="K72"/>
  <c r="K76"/>
  <c r="K80"/>
  <c r="K84"/>
  <c r="K88"/>
  <c r="K92"/>
  <c r="K96"/>
  <c r="K100"/>
  <c r="K104"/>
  <c r="K108"/>
  <c r="K112"/>
  <c r="K116"/>
  <c r="K120"/>
  <c r="K124"/>
  <c r="K128"/>
  <c r="K132"/>
  <c r="K136"/>
  <c r="K140"/>
  <c r="K144"/>
  <c r="K148"/>
  <c r="K152"/>
  <c r="K156"/>
  <c r="K160"/>
  <c r="K164"/>
  <c r="K168"/>
  <c r="K172"/>
  <c r="K176"/>
  <c r="K180"/>
  <c r="K184"/>
  <c r="K188"/>
  <c r="K192"/>
  <c r="K196"/>
  <c r="K200"/>
  <c r="K204"/>
  <c r="J12"/>
  <c r="J28"/>
  <c r="J44"/>
  <c r="J60"/>
  <c r="J76"/>
  <c r="J92"/>
  <c r="J108"/>
  <c r="J124"/>
  <c r="J140"/>
  <c r="J156"/>
  <c r="J172"/>
  <c r="J188"/>
  <c r="J204"/>
  <c r="H11" i="2"/>
  <c r="F106"/>
  <c r="D72" i="8"/>
  <c r="E19" i="11"/>
  <c r="E23" s="1"/>
  <c r="K8"/>
  <c r="D74" i="8"/>
  <c r="L10" i="2"/>
  <c r="O10"/>
  <c r="Y10"/>
  <c r="H10"/>
  <c r="L7"/>
  <c r="L4" s="1"/>
  <c r="H7"/>
  <c r="H4" s="1"/>
  <c r="O7"/>
  <c r="Y7"/>
  <c r="Y4" s="1"/>
  <c r="W207" i="10"/>
  <c r="W219"/>
  <c r="W135"/>
  <c r="W147"/>
  <c r="R4"/>
  <c r="X4" s="1"/>
  <c r="R9"/>
  <c r="X9" s="1"/>
  <c r="P12"/>
  <c r="P18" s="1"/>
  <c r="P24" s="1"/>
  <c r="R25" s="1"/>
  <c r="X25" s="1"/>
  <c r="K37" i="8"/>
  <c r="K46"/>
  <c r="K79"/>
  <c r="K36"/>
  <c r="K41"/>
  <c r="K53"/>
  <c r="K39"/>
  <c r="K43"/>
  <c r="K40"/>
  <c r="S36" i="4"/>
  <c r="S33"/>
  <c r="S32"/>
  <c r="S29"/>
  <c r="S28"/>
  <c r="S27"/>
  <c r="S25"/>
  <c r="S24"/>
  <c r="S23"/>
  <c r="S22"/>
  <c r="S21"/>
  <c r="S20"/>
  <c r="S16"/>
  <c r="S15"/>
  <c r="S11"/>
  <c r="S10"/>
  <c r="M12" i="2"/>
  <c r="I12"/>
  <c r="K12" s="1"/>
  <c r="G12"/>
  <c r="E12"/>
  <c r="X12" s="1"/>
  <c r="D277"/>
  <c r="D275"/>
  <c r="D273"/>
  <c r="D272"/>
  <c r="S3" i="6"/>
  <c r="U16" i="2"/>
  <c r="V16" s="1"/>
  <c r="D135"/>
  <c r="F135" s="1"/>
  <c r="D134"/>
  <c r="F134" s="1"/>
  <c r="C131"/>
  <c r="C130"/>
  <c r="D127"/>
  <c r="F127" s="1"/>
  <c r="C88"/>
  <c r="D90"/>
  <c r="D91"/>
  <c r="F91" s="1"/>
  <c r="C89"/>
  <c r="D85"/>
  <c r="F85" s="1"/>
  <c r="C174"/>
  <c r="C173"/>
  <c r="D182"/>
  <c r="F182" s="1"/>
  <c r="D181"/>
  <c r="F181" s="1"/>
  <c r="D170"/>
  <c r="F170" s="1"/>
  <c r="M6"/>
  <c r="I6"/>
  <c r="K6" s="1"/>
  <c r="G6"/>
  <c r="E6"/>
  <c r="X6" s="1"/>
  <c r="D253"/>
  <c r="F253" s="1"/>
  <c r="D252"/>
  <c r="F252" s="1"/>
  <c r="D239"/>
  <c r="F239" s="1"/>
  <c r="D70"/>
  <c r="F70" s="1"/>
  <c r="C70"/>
  <c r="D69"/>
  <c r="F69" s="1"/>
  <c r="C69"/>
  <c r="D66"/>
  <c r="F66" s="1"/>
  <c r="Y29"/>
  <c r="F29"/>
  <c r="J29"/>
  <c r="K29"/>
  <c r="N29"/>
  <c r="P36" i="9"/>
  <c r="A38"/>
  <c r="A35"/>
  <c r="A32"/>
  <c r="N23" i="2"/>
  <c r="J23"/>
  <c r="K23" s="1"/>
  <c r="F23"/>
  <c r="D564"/>
  <c r="F564" s="1"/>
  <c r="F561"/>
  <c r="C49" i="1"/>
  <c r="D514" i="2"/>
  <c r="F514" s="1"/>
  <c r="F511"/>
  <c r="M16"/>
  <c r="K16"/>
  <c r="I16"/>
  <c r="G16"/>
  <c r="L16" s="1"/>
  <c r="E16"/>
  <c r="X16" s="1"/>
  <c r="D770"/>
  <c r="E746"/>
  <c r="G746" s="1"/>
  <c r="D743"/>
  <c r="E773"/>
  <c r="G773" s="1"/>
  <c r="E772"/>
  <c r="G772" s="1"/>
  <c r="D772"/>
  <c r="F772" s="1"/>
  <c r="D769"/>
  <c r="F769" s="1"/>
  <c r="C761"/>
  <c r="C760"/>
  <c r="D758"/>
  <c r="F758" s="1"/>
  <c r="E757"/>
  <c r="G757" s="1"/>
  <c r="D757"/>
  <c r="F757" s="1"/>
  <c r="E745"/>
  <c r="G745" s="1"/>
  <c r="D745"/>
  <c r="F745" s="1"/>
  <c r="F743"/>
  <c r="D742"/>
  <c r="F742" s="1"/>
  <c r="C734"/>
  <c r="C733"/>
  <c r="D731"/>
  <c r="F731" s="1"/>
  <c r="E730"/>
  <c r="G730" s="1"/>
  <c r="D730"/>
  <c r="F730" s="1"/>
  <c r="Q35" i="9"/>
  <c r="R35"/>
  <c r="P58"/>
  <c r="P55"/>
  <c r="P52"/>
  <c r="P49"/>
  <c r="P44"/>
  <c r="P56" s="1"/>
  <c r="P39"/>
  <c r="P33"/>
  <c r="P25"/>
  <c r="P26" s="1"/>
  <c r="P22"/>
  <c r="P19"/>
  <c r="P20" s="1"/>
  <c r="P16"/>
  <c r="P13"/>
  <c r="P14" s="1"/>
  <c r="E712" i="2"/>
  <c r="G712" s="1"/>
  <c r="E711"/>
  <c r="G711" s="1"/>
  <c r="D711"/>
  <c r="F711" s="1"/>
  <c r="D710"/>
  <c r="F710" s="1"/>
  <c r="C702"/>
  <c r="C701"/>
  <c r="D699"/>
  <c r="F699" s="1"/>
  <c r="E698"/>
  <c r="G698" s="1"/>
  <c r="D698"/>
  <c r="F698" s="1"/>
  <c r="E835"/>
  <c r="G835" s="1"/>
  <c r="E834"/>
  <c r="G834" s="1"/>
  <c r="D834"/>
  <c r="F834" s="1"/>
  <c r="D833"/>
  <c r="F833" s="1"/>
  <c r="D831"/>
  <c r="F831" s="1"/>
  <c r="C821"/>
  <c r="C820"/>
  <c r="D818"/>
  <c r="F818" s="1"/>
  <c r="E817"/>
  <c r="G817" s="1"/>
  <c r="D817"/>
  <c r="F817" s="1"/>
  <c r="D224"/>
  <c r="F224" s="1"/>
  <c r="C224"/>
  <c r="D223"/>
  <c r="F223" s="1"/>
  <c r="C223"/>
  <c r="D220"/>
  <c r="F220" s="1"/>
  <c r="C50"/>
  <c r="C51"/>
  <c r="D51"/>
  <c r="F51" s="1"/>
  <c r="D50"/>
  <c r="F50" s="1"/>
  <c r="D47"/>
  <c r="F47" s="1"/>
  <c r="E806"/>
  <c r="G806" s="1"/>
  <c r="E805"/>
  <c r="G805" s="1"/>
  <c r="D804"/>
  <c r="F804" s="1"/>
  <c r="D802"/>
  <c r="F802" s="1"/>
  <c r="D805"/>
  <c r="F805" s="1"/>
  <c r="C792"/>
  <c r="C791"/>
  <c r="D789"/>
  <c r="F789" s="1"/>
  <c r="E788"/>
  <c r="G788" s="1"/>
  <c r="D788"/>
  <c r="F788" s="1"/>
  <c r="C675"/>
  <c r="C674"/>
  <c r="E685"/>
  <c r="G685" s="1"/>
  <c r="E684"/>
  <c r="G684" s="1"/>
  <c r="D684"/>
  <c r="F684" s="1"/>
  <c r="D683"/>
  <c r="F683" s="1"/>
  <c r="D672"/>
  <c r="F672" s="1"/>
  <c r="E671"/>
  <c r="G671" s="1"/>
  <c r="D671"/>
  <c r="F671" s="1"/>
  <c r="C5" i="6"/>
  <c r="V3"/>
  <c r="U3"/>
  <c r="T4"/>
  <c r="U4" s="1"/>
  <c r="D315" i="2"/>
  <c r="F315" s="1"/>
  <c r="D388"/>
  <c r="D376"/>
  <c r="D375"/>
  <c r="E363"/>
  <c r="E360"/>
  <c r="E359"/>
  <c r="E356"/>
  <c r="D355"/>
  <c r="D352"/>
  <c r="E300"/>
  <c r="E295"/>
  <c r="E294"/>
  <c r="D314"/>
  <c r="D311"/>
  <c r="E299"/>
  <c r="E293"/>
  <c r="D293"/>
  <c r="D292"/>
  <c r="D289"/>
  <c r="D572"/>
  <c r="F572" s="1"/>
  <c r="D568"/>
  <c r="F568" s="1"/>
  <c r="E567"/>
  <c r="G567" s="1"/>
  <c r="D567"/>
  <c r="F567" s="1"/>
  <c r="C592"/>
  <c r="C591"/>
  <c r="C646"/>
  <c r="C645"/>
  <c r="D426"/>
  <c r="D395"/>
  <c r="F395" s="1"/>
  <c r="D423"/>
  <c r="D429"/>
  <c r="E396"/>
  <c r="E400"/>
  <c r="E399"/>
  <c r="D394"/>
  <c r="E403"/>
  <c r="D391"/>
  <c r="E335"/>
  <c r="E334"/>
  <c r="E330"/>
  <c r="E327"/>
  <c r="E326"/>
  <c r="E323"/>
  <c r="D322"/>
  <c r="F322" s="1"/>
  <c r="D321"/>
  <c r="D318"/>
  <c r="C152"/>
  <c r="C151"/>
  <c r="C571"/>
  <c r="C570"/>
  <c r="D40"/>
  <c r="E656"/>
  <c r="E655"/>
  <c r="G655" s="1"/>
  <c r="D655"/>
  <c r="F655" s="1"/>
  <c r="D654"/>
  <c r="F654" s="1"/>
  <c r="E642"/>
  <c r="G642" s="1"/>
  <c r="D643"/>
  <c r="F643" s="1"/>
  <c r="D642"/>
  <c r="F642" s="1"/>
  <c r="E619"/>
  <c r="G619" s="1"/>
  <c r="D628"/>
  <c r="F628" s="1"/>
  <c r="E629"/>
  <c r="G629" s="1"/>
  <c r="E628"/>
  <c r="G628" s="1"/>
  <c r="D627"/>
  <c r="F627" s="1"/>
  <c r="D619"/>
  <c r="F619" s="1"/>
  <c r="D620"/>
  <c r="F620" s="1"/>
  <c r="E573"/>
  <c r="G573" s="1"/>
  <c r="E572"/>
  <c r="G572" s="1"/>
  <c r="D571"/>
  <c r="F571" s="1"/>
  <c r="D577"/>
  <c r="F577" s="1"/>
  <c r="D576"/>
  <c r="F576" s="1"/>
  <c r="D158"/>
  <c r="F158" s="1"/>
  <c r="D157"/>
  <c r="F157" s="1"/>
  <c r="D148"/>
  <c r="F148" s="1"/>
  <c r="B41" i="1"/>
  <c r="B40"/>
  <c r="J8" i="11" l="1"/>
  <c r="J196"/>
  <c r="J180"/>
  <c r="J164"/>
  <c r="J148"/>
  <c r="J132"/>
  <c r="J116"/>
  <c r="J100"/>
  <c r="J84"/>
  <c r="J68"/>
  <c r="J52"/>
  <c r="J36"/>
  <c r="J20"/>
  <c r="C49" i="2"/>
  <c r="C47"/>
  <c r="D618"/>
  <c r="E566"/>
  <c r="E787"/>
  <c r="E264"/>
  <c r="D317"/>
  <c r="K27" i="8"/>
  <c r="E670" i="2"/>
  <c r="E390"/>
  <c r="E169"/>
  <c r="J27" i="8"/>
  <c r="G6" i="12" s="1"/>
  <c r="G7" s="1"/>
  <c r="N57" s="1"/>
  <c r="I27" i="8"/>
  <c r="G2" i="12" s="1"/>
  <c r="G3" s="1"/>
  <c r="AG4" s="1"/>
  <c r="D27" i="8"/>
  <c r="E101" s="1"/>
  <c r="C302" i="2"/>
  <c r="C119"/>
  <c r="C601"/>
  <c r="E65"/>
  <c r="C48"/>
  <c r="C207"/>
  <c r="C442"/>
  <c r="C711"/>
  <c r="S57" i="12"/>
  <c r="D729" i="2"/>
  <c r="D466"/>
  <c r="D219"/>
  <c r="D65"/>
  <c r="E84"/>
  <c r="E729"/>
  <c r="E618"/>
  <c r="E466"/>
  <c r="E317"/>
  <c r="E219"/>
  <c r="E126"/>
  <c r="B8" i="8"/>
  <c r="E46" i="2"/>
  <c r="C161"/>
  <c r="C252"/>
  <c r="C365"/>
  <c r="C530"/>
  <c r="C655"/>
  <c r="C770"/>
  <c r="E816"/>
  <c r="E756"/>
  <c r="E697"/>
  <c r="E641"/>
  <c r="E587"/>
  <c r="E516"/>
  <c r="E428"/>
  <c r="E351"/>
  <c r="E288"/>
  <c r="E238"/>
  <c r="E193"/>
  <c r="E147"/>
  <c r="E105"/>
  <c r="E109" s="1"/>
  <c r="B4" i="4"/>
  <c r="C8" i="8"/>
  <c r="C60" i="2"/>
  <c r="C98"/>
  <c r="C140"/>
  <c r="C183"/>
  <c r="C233"/>
  <c r="C278"/>
  <c r="C331"/>
  <c r="C404"/>
  <c r="C480"/>
  <c r="C580"/>
  <c r="C632"/>
  <c r="C684"/>
  <c r="C743"/>
  <c r="Q51" i="12"/>
  <c r="Q99" s="1"/>
  <c r="Q103" s="1"/>
  <c r="C62" i="2"/>
  <c r="S37"/>
  <c r="C831"/>
  <c r="R37"/>
  <c r="C79"/>
  <c r="Q37"/>
  <c r="F18" i="1"/>
  <c r="P37" i="2"/>
  <c r="AE4" i="11"/>
  <c r="N37" i="2"/>
  <c r="C756"/>
  <c r="C787"/>
  <c r="C697"/>
  <c r="C729"/>
  <c r="C641"/>
  <c r="C670"/>
  <c r="C587"/>
  <c r="C618"/>
  <c r="C516"/>
  <c r="C566"/>
  <c r="C428"/>
  <c r="C466"/>
  <c r="C351"/>
  <c r="C390"/>
  <c r="C288"/>
  <c r="C317"/>
  <c r="C238"/>
  <c r="C264"/>
  <c r="C193"/>
  <c r="C219"/>
  <c r="C147"/>
  <c r="C169"/>
  <c r="C105"/>
  <c r="C126"/>
  <c r="F17" i="1"/>
  <c r="C84" i="2"/>
  <c r="C804"/>
  <c r="C833"/>
  <c r="C746"/>
  <c r="C773"/>
  <c r="C687"/>
  <c r="C714"/>
  <c r="C364"/>
  <c r="C635"/>
  <c r="C658"/>
  <c r="D787"/>
  <c r="D670"/>
  <c r="D566"/>
  <c r="D390"/>
  <c r="D264"/>
  <c r="D169"/>
  <c r="B10" i="8"/>
  <c r="C9"/>
  <c r="C160" i="2"/>
  <c r="C654"/>
  <c r="D84"/>
  <c r="D816"/>
  <c r="D756"/>
  <c r="D697"/>
  <c r="D641"/>
  <c r="D587"/>
  <c r="D516"/>
  <c r="D428"/>
  <c r="D351"/>
  <c r="D288"/>
  <c r="D238"/>
  <c r="D193"/>
  <c r="D147"/>
  <c r="D105"/>
  <c r="D112" s="1"/>
  <c r="F112" s="1"/>
  <c r="B9" i="8"/>
  <c r="C10"/>
  <c r="C65" i="2"/>
  <c r="C251"/>
  <c r="C529"/>
  <c r="C742"/>
  <c r="C583"/>
  <c r="C604"/>
  <c r="C483"/>
  <c r="C533"/>
  <c r="C407"/>
  <c r="C445"/>
  <c r="C334"/>
  <c r="C368"/>
  <c r="C281"/>
  <c r="C305"/>
  <c r="C118"/>
  <c r="C206"/>
  <c r="C301"/>
  <c r="C441"/>
  <c r="C600"/>
  <c r="C683"/>
  <c r="C800"/>
  <c r="C236"/>
  <c r="C255"/>
  <c r="C186"/>
  <c r="C210"/>
  <c r="C143"/>
  <c r="C164"/>
  <c r="C101"/>
  <c r="C122"/>
  <c r="C5" i="4"/>
  <c r="C82" i="2"/>
  <c r="C803"/>
  <c r="C832"/>
  <c r="C745"/>
  <c r="C772"/>
  <c r="C686"/>
  <c r="C713"/>
  <c r="C634"/>
  <c r="C657"/>
  <c r="C582"/>
  <c r="C603"/>
  <c r="C482"/>
  <c r="C532"/>
  <c r="C406"/>
  <c r="C444"/>
  <c r="C333"/>
  <c r="C367"/>
  <c r="C280"/>
  <c r="C304"/>
  <c r="C235"/>
  <c r="C254"/>
  <c r="C185"/>
  <c r="C209"/>
  <c r="C142"/>
  <c r="C163"/>
  <c r="C100"/>
  <c r="C121"/>
  <c r="C4" i="4"/>
  <c r="C81" i="2"/>
  <c r="D46"/>
  <c r="C61"/>
  <c r="C63"/>
  <c r="C97"/>
  <c r="C139"/>
  <c r="C182"/>
  <c r="C232"/>
  <c r="C277"/>
  <c r="C330"/>
  <c r="C403"/>
  <c r="C479"/>
  <c r="C579"/>
  <c r="C631"/>
  <c r="J17" i="1"/>
  <c r="C710" i="2"/>
  <c r="C769"/>
  <c r="C829"/>
  <c r="C771"/>
  <c r="C802"/>
  <c r="C712"/>
  <c r="C744"/>
  <c r="C656"/>
  <c r="C685"/>
  <c r="C602"/>
  <c r="C633"/>
  <c r="C531"/>
  <c r="C581"/>
  <c r="C443"/>
  <c r="C481"/>
  <c r="C366"/>
  <c r="C405"/>
  <c r="C303"/>
  <c r="C332"/>
  <c r="C253"/>
  <c r="C279"/>
  <c r="C208"/>
  <c r="C234"/>
  <c r="C162"/>
  <c r="C184"/>
  <c r="C120"/>
  <c r="C141"/>
  <c r="C80"/>
  <c r="C99"/>
  <c r="B5" i="4"/>
  <c r="S56" i="12"/>
  <c r="AI5"/>
  <c r="O4" i="2"/>
  <c r="N53" i="12"/>
  <c r="N54" s="1"/>
  <c r="O27" i="8"/>
  <c r="N55" i="12"/>
  <c r="AF3"/>
  <c r="AF7" s="1"/>
  <c r="I60" i="8"/>
  <c r="H59"/>
  <c r="G13" i="12" s="1"/>
  <c r="AG6"/>
  <c r="S54"/>
  <c r="Q52"/>
  <c r="P100" s="1"/>
  <c r="Q53"/>
  <c r="Q101" s="1"/>
  <c r="AI12"/>
  <c r="N115"/>
  <c r="N121" s="1"/>
  <c r="O111"/>
  <c r="O117" s="1"/>
  <c r="N3"/>
  <c r="O55"/>
  <c r="AI3"/>
  <c r="AI8" s="1"/>
  <c r="J200" i="11"/>
  <c r="J192"/>
  <c r="J184"/>
  <c r="J176"/>
  <c r="J168"/>
  <c r="J160"/>
  <c r="J152"/>
  <c r="J144"/>
  <c r="J136"/>
  <c r="J128"/>
  <c r="J120"/>
  <c r="J112"/>
  <c r="J104"/>
  <c r="J96"/>
  <c r="J88"/>
  <c r="J80"/>
  <c r="J72"/>
  <c r="J64"/>
  <c r="J56"/>
  <c r="J48"/>
  <c r="J40"/>
  <c r="J32"/>
  <c r="J24"/>
  <c r="J16"/>
  <c r="M86" i="8"/>
  <c r="O3" i="12"/>
  <c r="O99"/>
  <c r="O103" s="1"/>
  <c r="O54"/>
  <c r="Q54"/>
  <c r="P102" s="1"/>
  <c r="N99"/>
  <c r="N103" s="1"/>
  <c r="O112"/>
  <c r="O118" s="1"/>
  <c r="AG7"/>
  <c r="AI4"/>
  <c r="O115"/>
  <c r="O121" s="1"/>
  <c r="O114"/>
  <c r="O120" s="1"/>
  <c r="S53"/>
  <c r="S51"/>
  <c r="S52"/>
  <c r="P99"/>
  <c r="P103" s="1"/>
  <c r="O57"/>
  <c r="K88" i="8"/>
  <c r="O88" s="1"/>
  <c r="K26" i="12"/>
  <c r="K28"/>
  <c r="K29"/>
  <c r="W29"/>
  <c r="Y29"/>
  <c r="Z29"/>
  <c r="AA29"/>
  <c r="X29"/>
  <c r="U29"/>
  <c r="V29"/>
  <c r="U13"/>
  <c r="U9"/>
  <c r="U5"/>
  <c r="V12"/>
  <c r="V16"/>
  <c r="V8"/>
  <c r="V14"/>
  <c r="V10"/>
  <c r="V6"/>
  <c r="U16"/>
  <c r="U14"/>
  <c r="U12"/>
  <c r="U10"/>
  <c r="U8"/>
  <c r="U6"/>
  <c r="V15"/>
  <c r="V13"/>
  <c r="V11"/>
  <c r="V9"/>
  <c r="V7"/>
  <c r="V5"/>
  <c r="G106" i="2"/>
  <c r="E27" i="11"/>
  <c r="G23" i="2"/>
  <c r="H23"/>
  <c r="G29"/>
  <c r="H29"/>
  <c r="Q19" i="10"/>
  <c r="W19" s="1"/>
  <c r="P30"/>
  <c r="P36" s="1"/>
  <c r="R19"/>
  <c r="X19" s="1"/>
  <c r="Q25"/>
  <c r="W25" s="1"/>
  <c r="R13"/>
  <c r="X13" s="1"/>
  <c r="Q13"/>
  <c r="T53" i="8"/>
  <c r="U53"/>
  <c r="R53"/>
  <c r="S53"/>
  <c r="Q53"/>
  <c r="L12" i="2"/>
  <c r="O12"/>
  <c r="C43" i="1"/>
  <c r="L6" i="2"/>
  <c r="O6"/>
  <c r="L29"/>
  <c r="O29"/>
  <c r="R36" i="9"/>
  <c r="P40"/>
  <c r="P45"/>
  <c r="P53"/>
  <c r="P59"/>
  <c r="Q36"/>
  <c r="P17"/>
  <c r="P23"/>
  <c r="P31"/>
  <c r="P37"/>
  <c r="P34"/>
  <c r="P50"/>
  <c r="L23" i="2"/>
  <c r="O23"/>
  <c r="Y23"/>
  <c r="O16"/>
  <c r="F770"/>
  <c r="V4" i="6"/>
  <c r="T5"/>
  <c r="G656" i="2"/>
  <c r="D208"/>
  <c r="D207"/>
  <c r="D194"/>
  <c r="F194" s="1"/>
  <c r="E608"/>
  <c r="D608"/>
  <c r="D606"/>
  <c r="F606" s="1"/>
  <c r="D588"/>
  <c r="F588" s="1"/>
  <c r="E441"/>
  <c r="E438"/>
  <c r="E437"/>
  <c r="E434"/>
  <c r="D464"/>
  <c r="F464" s="1"/>
  <c r="D461"/>
  <c r="D432"/>
  <c r="D607"/>
  <c r="F607" s="1"/>
  <c r="G608"/>
  <c r="F608"/>
  <c r="D593"/>
  <c r="F593" s="1"/>
  <c r="D589"/>
  <c r="F589" s="1"/>
  <c r="D592"/>
  <c r="F592" s="1"/>
  <c r="B43" i="7"/>
  <c r="B42"/>
  <c r="B41"/>
  <c r="B40"/>
  <c r="B39"/>
  <c r="B38"/>
  <c r="B31"/>
  <c r="B34"/>
  <c r="B36"/>
  <c r="B37"/>
  <c r="L29"/>
  <c r="A37"/>
  <c r="A42" s="1"/>
  <c r="F376" i="2"/>
  <c r="F375"/>
  <c r="B68" i="1"/>
  <c r="D433" i="2"/>
  <c r="F433" s="1"/>
  <c r="D108" l="1"/>
  <c r="C115"/>
  <c r="C113"/>
  <c r="C114" s="1"/>
  <c r="E108"/>
  <c r="G8" i="12"/>
  <c r="AG5"/>
  <c r="E107" i="2"/>
  <c r="C106"/>
  <c r="D109"/>
  <c r="C116"/>
  <c r="C108"/>
  <c r="Q55" i="12"/>
  <c r="Q3"/>
  <c r="P3"/>
  <c r="O53"/>
  <c r="N5" s="1"/>
  <c r="G10"/>
  <c r="M39" s="1"/>
  <c r="R45" s="1"/>
  <c r="O52"/>
  <c r="O58" s="1"/>
  <c r="O59" s="1"/>
  <c r="E110" i="2"/>
  <c r="C107"/>
  <c r="C59"/>
  <c r="C54"/>
  <c r="J37"/>
  <c r="I37"/>
  <c r="AI6" i="12"/>
  <c r="N6"/>
  <c r="Q5"/>
  <c r="AF4"/>
  <c r="AF5"/>
  <c r="AF6" s="1"/>
  <c r="J60" i="8"/>
  <c r="I59"/>
  <c r="G11" i="12" s="1"/>
  <c r="Q6"/>
  <c r="P101"/>
  <c r="P5"/>
  <c r="I17" i="1"/>
  <c r="I18"/>
  <c r="N102" i="12"/>
  <c r="O6"/>
  <c r="AI9"/>
  <c r="AI10" s="1"/>
  <c r="AI13" s="1"/>
  <c r="P6"/>
  <c r="Q102"/>
  <c r="O102"/>
  <c r="P4"/>
  <c r="Q100"/>
  <c r="Q4"/>
  <c r="AI7"/>
  <c r="R58"/>
  <c r="R51"/>
  <c r="R52" s="1"/>
  <c r="S58"/>
  <c r="R101"/>
  <c r="S101"/>
  <c r="S5"/>
  <c r="R5"/>
  <c r="R9"/>
  <c r="S105"/>
  <c r="R105"/>
  <c r="S9"/>
  <c r="S104"/>
  <c r="S8"/>
  <c r="R6"/>
  <c r="S102"/>
  <c r="R102"/>
  <c r="S6"/>
  <c r="R99"/>
  <c r="N105"/>
  <c r="N109" s="1"/>
  <c r="O105"/>
  <c r="O109" s="1"/>
  <c r="N9"/>
  <c r="O9"/>
  <c r="O60"/>
  <c r="O61"/>
  <c r="N58"/>
  <c r="N59"/>
  <c r="N61"/>
  <c r="Y30"/>
  <c r="Z30"/>
  <c r="X30"/>
  <c r="AA30"/>
  <c r="AB30"/>
  <c r="W30"/>
  <c r="U30"/>
  <c r="V30"/>
  <c r="Q31" i="10"/>
  <c r="E31" i="11"/>
  <c r="U19" i="10"/>
  <c r="T19" s="1"/>
  <c r="Q20" s="1"/>
  <c r="U25"/>
  <c r="T25" s="1"/>
  <c r="R26" s="1"/>
  <c r="X26" s="1"/>
  <c r="R31"/>
  <c r="X31" s="1"/>
  <c r="P42"/>
  <c r="R37"/>
  <c r="X37" s="1"/>
  <c r="Q37"/>
  <c r="W31"/>
  <c r="W13"/>
  <c r="U13"/>
  <c r="T13" s="1"/>
  <c r="Y12" i="2"/>
  <c r="Y16"/>
  <c r="U5" i="6"/>
  <c r="V5"/>
  <c r="T6"/>
  <c r="F208" i="2"/>
  <c r="F207"/>
  <c r="A39" i="7"/>
  <c r="A41"/>
  <c r="A43"/>
  <c r="A38"/>
  <c r="A40"/>
  <c r="G28" i="2"/>
  <c r="G27"/>
  <c r="G26"/>
  <c r="G25"/>
  <c r="G20"/>
  <c r="G17"/>
  <c r="G21"/>
  <c r="G22"/>
  <c r="G18"/>
  <c r="G14"/>
  <c r="G13"/>
  <c r="G9"/>
  <c r="C3" i="4"/>
  <c r="U8" i="2"/>
  <c r="V8" s="1"/>
  <c r="N8"/>
  <c r="K8"/>
  <c r="J8"/>
  <c r="F8"/>
  <c r="Y19"/>
  <c r="O19"/>
  <c r="N19"/>
  <c r="K19"/>
  <c r="J19"/>
  <c r="F19"/>
  <c r="M17"/>
  <c r="I17"/>
  <c r="K17" s="1"/>
  <c r="E17"/>
  <c r="X17" s="1"/>
  <c r="M21"/>
  <c r="I21"/>
  <c r="K21" s="1"/>
  <c r="E21"/>
  <c r="M9"/>
  <c r="I9"/>
  <c r="K9" s="1"/>
  <c r="E9"/>
  <c r="X9" s="1"/>
  <c r="F24" i="1"/>
  <c r="L7" i="4"/>
  <c r="C2"/>
  <c r="B2"/>
  <c r="U14" i="2"/>
  <c r="V14" s="1"/>
  <c r="M14"/>
  <c r="K14"/>
  <c r="I14"/>
  <c r="L14"/>
  <c r="E14"/>
  <c r="X14" s="1"/>
  <c r="K18"/>
  <c r="U18"/>
  <c r="V18" s="1"/>
  <c r="M18"/>
  <c r="I18"/>
  <c r="E18"/>
  <c r="F19" i="1"/>
  <c r="H19" s="1"/>
  <c r="M13" i="2"/>
  <c r="I13"/>
  <c r="K13" s="1"/>
  <c r="E13"/>
  <c r="A19" i="1"/>
  <c r="D12" i="6"/>
  <c r="G5" s="1"/>
  <c r="B5" i="7"/>
  <c r="B6" s="1"/>
  <c r="B7" s="1"/>
  <c r="C4"/>
  <c r="D4" s="1"/>
  <c r="O5" i="12" l="1"/>
  <c r="O101"/>
  <c r="C117" i="2"/>
  <c r="P39" i="12"/>
  <c r="P43" s="1"/>
  <c r="O45"/>
  <c r="O49" s="1"/>
  <c r="P41"/>
  <c r="O42"/>
  <c r="S45"/>
  <c r="Q41"/>
  <c r="Q40"/>
  <c r="O39"/>
  <c r="O43" s="1"/>
  <c r="N41"/>
  <c r="S42"/>
  <c r="R42"/>
  <c r="Q42"/>
  <c r="P42"/>
  <c r="P40"/>
  <c r="Q39"/>
  <c r="Q43" s="1"/>
  <c r="O41"/>
  <c r="N39"/>
  <c r="N43" s="1"/>
  <c r="N42"/>
  <c r="N45"/>
  <c r="S41"/>
  <c r="R41"/>
  <c r="O40"/>
  <c r="N40"/>
  <c r="N101"/>
  <c r="O4"/>
  <c r="AC3"/>
  <c r="M87"/>
  <c r="O88" s="1"/>
  <c r="AC75"/>
  <c r="AC4" s="1"/>
  <c r="AC5" s="1"/>
  <c r="AC6" s="1"/>
  <c r="AC7" s="1"/>
  <c r="AC8" s="1"/>
  <c r="AC9" s="1"/>
  <c r="AC10" s="1"/>
  <c r="AC11" s="1"/>
  <c r="AC12" s="1"/>
  <c r="AC13" s="1"/>
  <c r="AC14" s="1"/>
  <c r="AC15" s="1"/>
  <c r="AC16" s="1"/>
  <c r="AC17" s="1"/>
  <c r="AC18" s="1"/>
  <c r="AC19" s="1"/>
  <c r="AC20" s="1"/>
  <c r="AC21" s="1"/>
  <c r="AC22" s="1"/>
  <c r="AC23" s="1"/>
  <c r="AC24" s="1"/>
  <c r="AC25" s="1"/>
  <c r="AC26" s="1"/>
  <c r="AC27" s="1"/>
  <c r="AC28" s="1"/>
  <c r="AC29" s="1"/>
  <c r="AC30" s="1"/>
  <c r="AC31" s="1"/>
  <c r="AC32" s="1"/>
  <c r="AC33" s="1"/>
  <c r="AC34" s="1"/>
  <c r="AC35" s="1"/>
  <c r="AC36" s="1"/>
  <c r="AC37" s="1"/>
  <c r="AC38" s="1"/>
  <c r="AC39" s="1"/>
  <c r="AC40" s="1"/>
  <c r="AC41" s="1"/>
  <c r="AC42" s="1"/>
  <c r="AC43" s="1"/>
  <c r="AC44" s="1"/>
  <c r="AC45" s="1"/>
  <c r="AC46" s="1"/>
  <c r="AC47" s="1"/>
  <c r="AC48" s="1"/>
  <c r="AC49" s="1"/>
  <c r="AC50" s="1"/>
  <c r="AC51" s="1"/>
  <c r="AC52" s="1"/>
  <c r="AC53" s="1"/>
  <c r="AC54" s="1"/>
  <c r="AC55" s="1"/>
  <c r="AC56" s="1"/>
  <c r="AC57" s="1"/>
  <c r="AC58" s="1"/>
  <c r="AC59" s="1"/>
  <c r="AC60" s="1"/>
  <c r="AC61" s="1"/>
  <c r="AC62" s="1"/>
  <c r="AC63" s="1"/>
  <c r="AC64" s="1"/>
  <c r="AC65" s="1"/>
  <c r="AC66" s="1"/>
  <c r="AC67" s="1"/>
  <c r="AC68" s="1"/>
  <c r="AC69" s="1"/>
  <c r="AC70" s="1"/>
  <c r="AC71" s="1"/>
  <c r="AC72" s="1"/>
  <c r="AC73" s="1"/>
  <c r="AC74" s="1"/>
  <c r="M15"/>
  <c r="R21" s="1"/>
  <c r="M63"/>
  <c r="O66" s="1"/>
  <c r="N4"/>
  <c r="N100"/>
  <c r="O100"/>
  <c r="S39"/>
  <c r="R39"/>
  <c r="R93"/>
  <c r="O87"/>
  <c r="O91" s="1"/>
  <c r="K60" i="8"/>
  <c r="J59"/>
  <c r="G15" i="12" s="1"/>
  <c r="S99"/>
  <c r="S3"/>
  <c r="R3"/>
  <c r="R4"/>
  <c r="S100"/>
  <c r="R40"/>
  <c r="S4"/>
  <c r="R100"/>
  <c r="S40"/>
  <c r="S44"/>
  <c r="R44"/>
  <c r="R8"/>
  <c r="R104"/>
  <c r="R46"/>
  <c r="S46"/>
  <c r="R10"/>
  <c r="S106"/>
  <c r="R106"/>
  <c r="S10"/>
  <c r="N81"/>
  <c r="N85" s="1"/>
  <c r="R82"/>
  <c r="R81"/>
  <c r="R80"/>
  <c r="R78"/>
  <c r="R77"/>
  <c r="R76"/>
  <c r="R75"/>
  <c r="S82"/>
  <c r="S81"/>
  <c r="S80"/>
  <c r="S78"/>
  <c r="S77"/>
  <c r="S76"/>
  <c r="S75"/>
  <c r="R34"/>
  <c r="R33"/>
  <c r="R32"/>
  <c r="R30"/>
  <c r="R29"/>
  <c r="R28"/>
  <c r="R27"/>
  <c r="S34"/>
  <c r="S33"/>
  <c r="S32"/>
  <c r="S30"/>
  <c r="S29"/>
  <c r="S28"/>
  <c r="S27"/>
  <c r="N106"/>
  <c r="N82"/>
  <c r="O106"/>
  <c r="O82"/>
  <c r="N107"/>
  <c r="N83"/>
  <c r="O107"/>
  <c r="O83"/>
  <c r="N78"/>
  <c r="N77"/>
  <c r="N76"/>
  <c r="N75"/>
  <c r="N79" s="1"/>
  <c r="O78"/>
  <c r="O77"/>
  <c r="O76"/>
  <c r="O75"/>
  <c r="O79" s="1"/>
  <c r="O81"/>
  <c r="O85" s="1"/>
  <c r="P78"/>
  <c r="P77"/>
  <c r="P76"/>
  <c r="P75"/>
  <c r="P79" s="1"/>
  <c r="Q78"/>
  <c r="Q77"/>
  <c r="Q76"/>
  <c r="Q75"/>
  <c r="Q79" s="1"/>
  <c r="O33"/>
  <c r="O37" s="1"/>
  <c r="N49"/>
  <c r="N46"/>
  <c r="N34"/>
  <c r="O46"/>
  <c r="O34"/>
  <c r="O11"/>
  <c r="N47"/>
  <c r="N35"/>
  <c r="O47"/>
  <c r="O35"/>
  <c r="N30"/>
  <c r="N29"/>
  <c r="N28"/>
  <c r="N27"/>
  <c r="N31" s="1"/>
  <c r="O30"/>
  <c r="O29"/>
  <c r="O28"/>
  <c r="O27"/>
  <c r="O31" s="1"/>
  <c r="N33"/>
  <c r="N37" s="1"/>
  <c r="N60"/>
  <c r="N11"/>
  <c r="N10"/>
  <c r="O10"/>
  <c r="Q27"/>
  <c r="Q31" s="1"/>
  <c r="P27"/>
  <c r="P31" s="1"/>
  <c r="P28"/>
  <c r="Q28"/>
  <c r="Q29"/>
  <c r="Q30"/>
  <c r="P29"/>
  <c r="P30"/>
  <c r="X18" i="2"/>
  <c r="D23" i="11"/>
  <c r="D11" s="1"/>
  <c r="G9" i="12"/>
  <c r="Y31"/>
  <c r="Z31"/>
  <c r="X31"/>
  <c r="AA31"/>
  <c r="AB31"/>
  <c r="W31"/>
  <c r="U31"/>
  <c r="V31"/>
  <c r="U17"/>
  <c r="V17"/>
  <c r="D12" i="11"/>
  <c r="X13" i="2"/>
  <c r="X21"/>
  <c r="O21" s="1"/>
  <c r="R20" i="10"/>
  <c r="X20" s="1"/>
  <c r="E35" i="11"/>
  <c r="G19" i="2"/>
  <c r="L19" s="1"/>
  <c r="H19"/>
  <c r="G8"/>
  <c r="L8" s="1"/>
  <c r="H8"/>
  <c r="U31" i="10"/>
  <c r="T31" s="1"/>
  <c r="R32" s="1"/>
  <c r="X32" s="1"/>
  <c r="E7" i="6"/>
  <c r="J8" i="10" s="1"/>
  <c r="Q26"/>
  <c r="W26" s="1"/>
  <c r="U37"/>
  <c r="T37" s="1"/>
  <c r="W37"/>
  <c r="R43"/>
  <c r="X43" s="1"/>
  <c r="P48"/>
  <c r="Q43"/>
  <c r="Y25"/>
  <c r="W20"/>
  <c r="Y19"/>
  <c r="R14"/>
  <c r="X14" s="1"/>
  <c r="Q14"/>
  <c r="C87" i="2"/>
  <c r="F90"/>
  <c r="C827"/>
  <c r="C797"/>
  <c r="C767"/>
  <c r="C739"/>
  <c r="C708"/>
  <c r="C680"/>
  <c r="C652"/>
  <c r="C628"/>
  <c r="C597"/>
  <c r="C576"/>
  <c r="U6" i="6"/>
  <c r="V6"/>
  <c r="T7"/>
  <c r="Y8" i="2"/>
  <c r="I4" i="7"/>
  <c r="K4"/>
  <c r="J4"/>
  <c r="C5"/>
  <c r="D5" s="1"/>
  <c r="D2" i="4"/>
  <c r="O8" i="2"/>
  <c r="Y9"/>
  <c r="O17"/>
  <c r="L21"/>
  <c r="L17"/>
  <c r="L9"/>
  <c r="O14"/>
  <c r="O18"/>
  <c r="L18"/>
  <c r="O13"/>
  <c r="L13"/>
  <c r="B8" i="7"/>
  <c r="C7"/>
  <c r="D7" s="1"/>
  <c r="C6"/>
  <c r="D6" s="1"/>
  <c r="F461" i="2"/>
  <c r="G441"/>
  <c r="G438"/>
  <c r="G437"/>
  <c r="G434"/>
  <c r="F432"/>
  <c r="F429"/>
  <c r="F15"/>
  <c r="J15"/>
  <c r="K15" s="1"/>
  <c r="N15"/>
  <c r="M22"/>
  <c r="I22"/>
  <c r="K22" s="1"/>
  <c r="E22"/>
  <c r="F426"/>
  <c r="F423"/>
  <c r="G403"/>
  <c r="G400"/>
  <c r="G399"/>
  <c r="G396"/>
  <c r="F394"/>
  <c r="F391"/>
  <c r="G334"/>
  <c r="F346"/>
  <c r="G356"/>
  <c r="G359"/>
  <c r="G360"/>
  <c r="G363"/>
  <c r="F385"/>
  <c r="F388"/>
  <c r="F349"/>
  <c r="G335"/>
  <c r="G330"/>
  <c r="G327"/>
  <c r="G326"/>
  <c r="G323"/>
  <c r="M20"/>
  <c r="I20"/>
  <c r="K20" s="1"/>
  <c r="E20"/>
  <c r="M26"/>
  <c r="I26"/>
  <c r="K26" s="1"/>
  <c r="E26"/>
  <c r="J24"/>
  <c r="K24" s="1"/>
  <c r="F24"/>
  <c r="N24"/>
  <c r="N25"/>
  <c r="G295"/>
  <c r="F292"/>
  <c r="F314"/>
  <c r="F311"/>
  <c r="G300"/>
  <c r="G299"/>
  <c r="G294"/>
  <c r="F289"/>
  <c r="K27"/>
  <c r="K28"/>
  <c r="K25"/>
  <c r="C74" i="1"/>
  <c r="F74" s="1"/>
  <c r="E68"/>
  <c r="F67"/>
  <c r="E67"/>
  <c r="O71" i="12" l="1"/>
  <c r="R16"/>
  <c r="S21"/>
  <c r="O15"/>
  <c r="O19" s="1"/>
  <c r="P16"/>
  <c r="O95"/>
  <c r="R15"/>
  <c r="S87"/>
  <c r="O93"/>
  <c r="O97" s="1"/>
  <c r="Q87"/>
  <c r="Q91" s="1"/>
  <c r="Q16"/>
  <c r="N90"/>
  <c r="O18"/>
  <c r="O70"/>
  <c r="N23"/>
  <c r="O22"/>
  <c r="O94"/>
  <c r="R22"/>
  <c r="S22"/>
  <c r="S94"/>
  <c r="R88"/>
  <c r="S90"/>
  <c r="S15"/>
  <c r="N87"/>
  <c r="N91" s="1"/>
  <c r="P87"/>
  <c r="P91" s="1"/>
  <c r="N15"/>
  <c r="N19" s="1"/>
  <c r="O21"/>
  <c r="O25" s="1"/>
  <c r="Q17"/>
  <c r="R20"/>
  <c r="P88"/>
  <c r="N88"/>
  <c r="P90"/>
  <c r="S68"/>
  <c r="P63"/>
  <c r="O65"/>
  <c r="O23"/>
  <c r="N22"/>
  <c r="N95"/>
  <c r="N94"/>
  <c r="R94"/>
  <c r="R92"/>
  <c r="S16"/>
  <c r="S88"/>
  <c r="R87"/>
  <c r="S93"/>
  <c r="R18"/>
  <c r="S18"/>
  <c r="N93"/>
  <c r="N97" s="1"/>
  <c r="N89"/>
  <c r="O89"/>
  <c r="P89"/>
  <c r="Q89"/>
  <c r="N17"/>
  <c r="O17"/>
  <c r="N21"/>
  <c r="N25" s="1"/>
  <c r="P15"/>
  <c r="P19" s="1"/>
  <c r="P17"/>
  <c r="S92"/>
  <c r="S20"/>
  <c r="O90"/>
  <c r="Q88"/>
  <c r="R89"/>
  <c r="Q90"/>
  <c r="S70"/>
  <c r="R63"/>
  <c r="N69"/>
  <c r="R65"/>
  <c r="N66"/>
  <c r="N70"/>
  <c r="N71"/>
  <c r="R68"/>
  <c r="R70"/>
  <c r="S64"/>
  <c r="R64"/>
  <c r="S63"/>
  <c r="S66"/>
  <c r="P66"/>
  <c r="P65"/>
  <c r="N65"/>
  <c r="P64"/>
  <c r="O64"/>
  <c r="N64"/>
  <c r="R66"/>
  <c r="Q65"/>
  <c r="O69"/>
  <c r="O63"/>
  <c r="S65"/>
  <c r="Q66"/>
  <c r="Q64"/>
  <c r="S69"/>
  <c r="N63"/>
  <c r="R90"/>
  <c r="S89"/>
  <c r="N16"/>
  <c r="S17"/>
  <c r="Q15"/>
  <c r="Q19" s="1"/>
  <c r="O16"/>
  <c r="Q18"/>
  <c r="R17"/>
  <c r="P18"/>
  <c r="N18"/>
  <c r="R69"/>
  <c r="Q63"/>
  <c r="L60" i="8"/>
  <c r="M60" s="1"/>
  <c r="N60" s="1"/>
  <c r="O60" s="1"/>
  <c r="K59"/>
  <c r="N108" i="12"/>
  <c r="N96"/>
  <c r="N84"/>
  <c r="O108"/>
  <c r="O96"/>
  <c r="O84"/>
  <c r="O72"/>
  <c r="N72"/>
  <c r="N48"/>
  <c r="N36"/>
  <c r="N24"/>
  <c r="O48"/>
  <c r="O36"/>
  <c r="O24"/>
  <c r="N12"/>
  <c r="O12"/>
  <c r="Y32"/>
  <c r="Z32"/>
  <c r="X32"/>
  <c r="AA32"/>
  <c r="AB32"/>
  <c r="W32"/>
  <c r="U32"/>
  <c r="V32"/>
  <c r="V18"/>
  <c r="U18"/>
  <c r="C67" i="2"/>
  <c r="C68"/>
  <c r="Q32" i="10"/>
  <c r="W32" s="1"/>
  <c r="X26" i="2"/>
  <c r="X22"/>
  <c r="X20"/>
  <c r="O20" s="1"/>
  <c r="G112"/>
  <c r="G108"/>
  <c r="G111"/>
  <c r="G110"/>
  <c r="G109"/>
  <c r="G107"/>
  <c r="E113"/>
  <c r="E39" i="11"/>
  <c r="G24" i="2"/>
  <c r="H24"/>
  <c r="G15"/>
  <c r="H15"/>
  <c r="W43" i="10"/>
  <c r="U43"/>
  <c r="T43" s="1"/>
  <c r="R38"/>
  <c r="X38" s="1"/>
  <c r="Q38"/>
  <c r="P54"/>
  <c r="Q49"/>
  <c r="R49"/>
  <c r="X49" s="1"/>
  <c r="Y31"/>
  <c r="W14"/>
  <c r="Y13"/>
  <c r="C95" i="2"/>
  <c r="C430"/>
  <c r="D269"/>
  <c r="F269" s="1"/>
  <c r="D265"/>
  <c r="F265" s="1"/>
  <c r="E276"/>
  <c r="G276" s="1"/>
  <c r="E266"/>
  <c r="G266" s="1"/>
  <c r="E268"/>
  <c r="G268" s="1"/>
  <c r="E270"/>
  <c r="G270" s="1"/>
  <c r="D276"/>
  <c r="F276" s="1"/>
  <c r="C266"/>
  <c r="D274"/>
  <c r="F274" s="1"/>
  <c r="E267"/>
  <c r="G267" s="1"/>
  <c r="D266"/>
  <c r="F266" s="1"/>
  <c r="D270"/>
  <c r="F270" s="1"/>
  <c r="E269"/>
  <c r="G269" s="1"/>
  <c r="D271"/>
  <c r="F271" s="1"/>
  <c r="D278"/>
  <c r="F278" s="1"/>
  <c r="E278"/>
  <c r="G278" s="1"/>
  <c r="C66"/>
  <c r="C155"/>
  <c r="C325"/>
  <c r="C326" s="1"/>
  <c r="E365"/>
  <c r="C439"/>
  <c r="C201"/>
  <c r="C202" s="1"/>
  <c r="C681"/>
  <c r="C471"/>
  <c r="C470" s="1"/>
  <c r="E221"/>
  <c r="G221" s="1"/>
  <c r="C299"/>
  <c r="D180"/>
  <c r="F180" s="1"/>
  <c r="C400"/>
  <c r="E240"/>
  <c r="G240" s="1"/>
  <c r="C707"/>
  <c r="D517"/>
  <c r="F517" s="1"/>
  <c r="E86"/>
  <c r="G86" s="1"/>
  <c r="E90"/>
  <c r="G90" s="1"/>
  <c r="E91"/>
  <c r="G91" s="1"/>
  <c r="F277"/>
  <c r="F275"/>
  <c r="F273"/>
  <c r="F272"/>
  <c r="E89"/>
  <c r="G89" s="1"/>
  <c r="E88"/>
  <c r="G88" s="1"/>
  <c r="E87"/>
  <c r="G87" s="1"/>
  <c r="E85"/>
  <c r="G85" s="1"/>
  <c r="C86"/>
  <c r="E92"/>
  <c r="G92" s="1"/>
  <c r="C128"/>
  <c r="E135"/>
  <c r="G135" s="1"/>
  <c r="E133"/>
  <c r="G133" s="1"/>
  <c r="E131"/>
  <c r="G131" s="1"/>
  <c r="E129"/>
  <c r="G129" s="1"/>
  <c r="E127"/>
  <c r="G127" s="1"/>
  <c r="C129"/>
  <c r="E136"/>
  <c r="G136" s="1"/>
  <c r="E134"/>
  <c r="G134" s="1"/>
  <c r="E132"/>
  <c r="G132" s="1"/>
  <c r="E130"/>
  <c r="G130" s="1"/>
  <c r="E128"/>
  <c r="G128" s="1"/>
  <c r="C137"/>
  <c r="E68"/>
  <c r="G68" s="1"/>
  <c r="C76"/>
  <c r="E70"/>
  <c r="G70" s="1"/>
  <c r="E67"/>
  <c r="G67" s="1"/>
  <c r="E66"/>
  <c r="G66" s="1"/>
  <c r="E69"/>
  <c r="G69" s="1"/>
  <c r="C150"/>
  <c r="C158"/>
  <c r="E148"/>
  <c r="G148" s="1"/>
  <c r="E154"/>
  <c r="G154" s="1"/>
  <c r="E150"/>
  <c r="G150" s="1"/>
  <c r="E149"/>
  <c r="G149" s="1"/>
  <c r="E157"/>
  <c r="G157" s="1"/>
  <c r="E155"/>
  <c r="G155" s="1"/>
  <c r="E156"/>
  <c r="G156" s="1"/>
  <c r="E152"/>
  <c r="G152" s="1"/>
  <c r="E158"/>
  <c r="G158" s="1"/>
  <c r="C149"/>
  <c r="E153"/>
  <c r="G153" s="1"/>
  <c r="E151"/>
  <c r="G151" s="1"/>
  <c r="E159"/>
  <c r="G159" s="1"/>
  <c r="E319"/>
  <c r="E347"/>
  <c r="E333"/>
  <c r="G333" s="1"/>
  <c r="C320"/>
  <c r="E322"/>
  <c r="G322" s="1"/>
  <c r="E348"/>
  <c r="C361"/>
  <c r="D363"/>
  <c r="D367"/>
  <c r="D365"/>
  <c r="D372"/>
  <c r="D362"/>
  <c r="D368"/>
  <c r="D366"/>
  <c r="D374"/>
  <c r="D369"/>
  <c r="D386"/>
  <c r="D359"/>
  <c r="D373"/>
  <c r="D358"/>
  <c r="D364"/>
  <c r="D371"/>
  <c r="D370"/>
  <c r="D387"/>
  <c r="C352"/>
  <c r="C204"/>
  <c r="C196"/>
  <c r="E194"/>
  <c r="G194" s="1"/>
  <c r="E200"/>
  <c r="G200" s="1"/>
  <c r="E208"/>
  <c r="G208" s="1"/>
  <c r="E202"/>
  <c r="G202" s="1"/>
  <c r="E201"/>
  <c r="G201" s="1"/>
  <c r="E209"/>
  <c r="G209" s="1"/>
  <c r="E203"/>
  <c r="G203" s="1"/>
  <c r="E195"/>
  <c r="G195" s="1"/>
  <c r="E204"/>
  <c r="G204" s="1"/>
  <c r="E198"/>
  <c r="G198" s="1"/>
  <c r="E206"/>
  <c r="G206" s="1"/>
  <c r="C195"/>
  <c r="E196"/>
  <c r="G196" s="1"/>
  <c r="E197"/>
  <c r="G197" s="1"/>
  <c r="E205"/>
  <c r="G205" s="1"/>
  <c r="E199"/>
  <c r="G199" s="1"/>
  <c r="E207"/>
  <c r="G207" s="1"/>
  <c r="D687"/>
  <c r="F687" s="1"/>
  <c r="D674"/>
  <c r="F674" s="1"/>
  <c r="D678"/>
  <c r="F678" s="1"/>
  <c r="D680"/>
  <c r="F680" s="1"/>
  <c r="D673"/>
  <c r="F673" s="1"/>
  <c r="D677"/>
  <c r="F677" s="1"/>
  <c r="D679"/>
  <c r="F679" s="1"/>
  <c r="D682"/>
  <c r="F682" s="1"/>
  <c r="D686"/>
  <c r="F686" s="1"/>
  <c r="D676"/>
  <c r="F676" s="1"/>
  <c r="D675"/>
  <c r="F675" s="1"/>
  <c r="D681"/>
  <c r="F681" s="1"/>
  <c r="D685"/>
  <c r="F685" s="1"/>
  <c r="C671"/>
  <c r="D512"/>
  <c r="D501"/>
  <c r="F501" s="1"/>
  <c r="D467"/>
  <c r="F467" s="1"/>
  <c r="D470"/>
  <c r="F470" s="1"/>
  <c r="D476"/>
  <c r="F476" s="1"/>
  <c r="D481"/>
  <c r="F481" s="1"/>
  <c r="D484"/>
  <c r="F484" s="1"/>
  <c r="D497"/>
  <c r="F497" s="1"/>
  <c r="D499"/>
  <c r="F499" s="1"/>
  <c r="D469"/>
  <c r="F469" s="1"/>
  <c r="D473"/>
  <c r="F473" s="1"/>
  <c r="D480"/>
  <c r="F480" s="1"/>
  <c r="D483"/>
  <c r="F483" s="1"/>
  <c r="D485"/>
  <c r="F485" s="1"/>
  <c r="D487"/>
  <c r="F487" s="1"/>
  <c r="D489"/>
  <c r="F489" s="1"/>
  <c r="D491"/>
  <c r="F491" s="1"/>
  <c r="D493"/>
  <c r="F493" s="1"/>
  <c r="D495"/>
  <c r="F495" s="1"/>
  <c r="C476"/>
  <c r="D502"/>
  <c r="F502" s="1"/>
  <c r="C467"/>
  <c r="D468"/>
  <c r="F468" s="1"/>
  <c r="D472"/>
  <c r="F472" s="1"/>
  <c r="D475"/>
  <c r="F475" s="1"/>
  <c r="D479"/>
  <c r="F479" s="1"/>
  <c r="D486"/>
  <c r="F486" s="1"/>
  <c r="D488"/>
  <c r="F488" s="1"/>
  <c r="D490"/>
  <c r="F490" s="1"/>
  <c r="D492"/>
  <c r="F492" s="1"/>
  <c r="D496"/>
  <c r="F496" s="1"/>
  <c r="D498"/>
  <c r="F498" s="1"/>
  <c r="D500"/>
  <c r="F500" s="1"/>
  <c r="D482"/>
  <c r="F482" s="1"/>
  <c r="D471"/>
  <c r="F471" s="1"/>
  <c r="D474"/>
  <c r="F474" s="1"/>
  <c r="D478"/>
  <c r="F478" s="1"/>
  <c r="D477"/>
  <c r="F477" s="1"/>
  <c r="D494"/>
  <c r="F494" s="1"/>
  <c r="D629"/>
  <c r="F629" s="1"/>
  <c r="D622"/>
  <c r="F622" s="1"/>
  <c r="D623"/>
  <c r="F623" s="1"/>
  <c r="D625"/>
  <c r="F625" s="1"/>
  <c r="D624"/>
  <c r="F624" s="1"/>
  <c r="D630"/>
  <c r="F630" s="1"/>
  <c r="D631"/>
  <c r="F631" s="1"/>
  <c r="C619"/>
  <c r="D621"/>
  <c r="F621" s="1"/>
  <c r="D626"/>
  <c r="F626" s="1"/>
  <c r="E704"/>
  <c r="G704" s="1"/>
  <c r="E714"/>
  <c r="G714" s="1"/>
  <c r="E706"/>
  <c r="G706" s="1"/>
  <c r="E703"/>
  <c r="G703" s="1"/>
  <c r="E713"/>
  <c r="G713" s="1"/>
  <c r="E705"/>
  <c r="G705" s="1"/>
  <c r="E700"/>
  <c r="G700" s="1"/>
  <c r="E708"/>
  <c r="G708" s="1"/>
  <c r="E702"/>
  <c r="G702" s="1"/>
  <c r="E710"/>
  <c r="G710" s="1"/>
  <c r="C700"/>
  <c r="E699"/>
  <c r="G699" s="1"/>
  <c r="E707"/>
  <c r="G707" s="1"/>
  <c r="E701"/>
  <c r="G701" s="1"/>
  <c r="E709"/>
  <c r="G709" s="1"/>
  <c r="C699"/>
  <c r="C527"/>
  <c r="E517"/>
  <c r="G517" s="1"/>
  <c r="E519"/>
  <c r="G519" s="1"/>
  <c r="E530"/>
  <c r="G530" s="1"/>
  <c r="E539"/>
  <c r="G539" s="1"/>
  <c r="E528"/>
  <c r="G528" s="1"/>
  <c r="E548"/>
  <c r="G548" s="1"/>
  <c r="E538"/>
  <c r="G538" s="1"/>
  <c r="E535"/>
  <c r="G535" s="1"/>
  <c r="E562"/>
  <c r="C519"/>
  <c r="D524"/>
  <c r="F524" s="1"/>
  <c r="E532"/>
  <c r="G532" s="1"/>
  <c r="E529"/>
  <c r="G529" s="1"/>
  <c r="E522"/>
  <c r="G522" s="1"/>
  <c r="E527"/>
  <c r="G527" s="1"/>
  <c r="E544"/>
  <c r="G544" s="1"/>
  <c r="E537"/>
  <c r="G537" s="1"/>
  <c r="E526"/>
  <c r="G526" s="1"/>
  <c r="E518"/>
  <c r="G518" s="1"/>
  <c r="E561"/>
  <c r="D525"/>
  <c r="F525" s="1"/>
  <c r="E531"/>
  <c r="G531" s="1"/>
  <c r="E545"/>
  <c r="G545" s="1"/>
  <c r="E521"/>
  <c r="G521" s="1"/>
  <c r="E547"/>
  <c r="G547" s="1"/>
  <c r="E534"/>
  <c r="G534" s="1"/>
  <c r="E524"/>
  <c r="G524" s="1"/>
  <c r="E525"/>
  <c r="G525" s="1"/>
  <c r="E550"/>
  <c r="G550" s="1"/>
  <c r="E543"/>
  <c r="G543" s="1"/>
  <c r="E520"/>
  <c r="G520" s="1"/>
  <c r="E546"/>
  <c r="G546" s="1"/>
  <c r="E540"/>
  <c r="G540" s="1"/>
  <c r="E533"/>
  <c r="G533" s="1"/>
  <c r="E523"/>
  <c r="G523" s="1"/>
  <c r="E549"/>
  <c r="G549" s="1"/>
  <c r="E536"/>
  <c r="G536" s="1"/>
  <c r="C518"/>
  <c r="C220"/>
  <c r="D222"/>
  <c r="F222" s="1"/>
  <c r="C229"/>
  <c r="D301"/>
  <c r="E297"/>
  <c r="C291"/>
  <c r="E298"/>
  <c r="D300"/>
  <c r="D575"/>
  <c r="F575" s="1"/>
  <c r="D573"/>
  <c r="F573" s="1"/>
  <c r="C567"/>
  <c r="D569"/>
  <c r="F569" s="1"/>
  <c r="D574"/>
  <c r="F574" s="1"/>
  <c r="D570"/>
  <c r="F570" s="1"/>
  <c r="E182"/>
  <c r="G182" s="1"/>
  <c r="C180"/>
  <c r="E183"/>
  <c r="G183" s="1"/>
  <c r="E174"/>
  <c r="G174" s="1"/>
  <c r="E173"/>
  <c r="G173" s="1"/>
  <c r="E171"/>
  <c r="G171" s="1"/>
  <c r="E179"/>
  <c r="G179" s="1"/>
  <c r="E176"/>
  <c r="G176" s="1"/>
  <c r="C172"/>
  <c r="C171"/>
  <c r="E181"/>
  <c r="G181" s="1"/>
  <c r="E170"/>
  <c r="G170" s="1"/>
  <c r="E178"/>
  <c r="G178" s="1"/>
  <c r="E177"/>
  <c r="G177" s="1"/>
  <c r="E175"/>
  <c r="G175" s="1"/>
  <c r="E172"/>
  <c r="G172" s="1"/>
  <c r="E180"/>
  <c r="G180" s="1"/>
  <c r="E409"/>
  <c r="C401"/>
  <c r="E391"/>
  <c r="E413"/>
  <c r="E408"/>
  <c r="E393"/>
  <c r="E401"/>
  <c r="E410"/>
  <c r="E412"/>
  <c r="E414"/>
  <c r="E397"/>
  <c r="E402"/>
  <c r="E424"/>
  <c r="E411"/>
  <c r="E398"/>
  <c r="E425"/>
  <c r="G425" s="1"/>
  <c r="C392"/>
  <c r="E392"/>
  <c r="E426"/>
  <c r="E406"/>
  <c r="E407"/>
  <c r="G407" s="1"/>
  <c r="E395"/>
  <c r="G395" s="1"/>
  <c r="E394"/>
  <c r="E423"/>
  <c r="E404"/>
  <c r="E405"/>
  <c r="C393"/>
  <c r="E645"/>
  <c r="G645" s="1"/>
  <c r="E649"/>
  <c r="G649" s="1"/>
  <c r="E651"/>
  <c r="G651" s="1"/>
  <c r="E654"/>
  <c r="G654" s="1"/>
  <c r="C643"/>
  <c r="E646"/>
  <c r="G646" s="1"/>
  <c r="E652"/>
  <c r="G652" s="1"/>
  <c r="E643"/>
  <c r="G643" s="1"/>
  <c r="E647"/>
  <c r="G647" s="1"/>
  <c r="E650"/>
  <c r="G650" s="1"/>
  <c r="E653"/>
  <c r="G653" s="1"/>
  <c r="C644"/>
  <c r="E644"/>
  <c r="G644" s="1"/>
  <c r="E648"/>
  <c r="G648" s="1"/>
  <c r="D744"/>
  <c r="F744" s="1"/>
  <c r="D733"/>
  <c r="F733" s="1"/>
  <c r="D737"/>
  <c r="F737" s="1"/>
  <c r="D741"/>
  <c r="F741" s="1"/>
  <c r="D734"/>
  <c r="F734" s="1"/>
  <c r="D738"/>
  <c r="F738" s="1"/>
  <c r="C730"/>
  <c r="D735"/>
  <c r="F735" s="1"/>
  <c r="D739"/>
  <c r="F739" s="1"/>
  <c r="D746"/>
  <c r="F746" s="1"/>
  <c r="D732"/>
  <c r="F732" s="1"/>
  <c r="D736"/>
  <c r="F736" s="1"/>
  <c r="D740"/>
  <c r="F740" s="1"/>
  <c r="D790"/>
  <c r="F790" s="1"/>
  <c r="D794"/>
  <c r="F794" s="1"/>
  <c r="D798"/>
  <c r="F798" s="1"/>
  <c r="D793"/>
  <c r="F793" s="1"/>
  <c r="D792"/>
  <c r="F792" s="1"/>
  <c r="D796"/>
  <c r="F796" s="1"/>
  <c r="D800"/>
  <c r="F800" s="1"/>
  <c r="D803"/>
  <c r="F803" s="1"/>
  <c r="D791"/>
  <c r="F791" s="1"/>
  <c r="D795"/>
  <c r="F795" s="1"/>
  <c r="D797"/>
  <c r="F797" s="1"/>
  <c r="D801"/>
  <c r="F801" s="1"/>
  <c r="D799"/>
  <c r="F799" s="1"/>
  <c r="D806"/>
  <c r="F806" s="1"/>
  <c r="C788"/>
  <c r="D604"/>
  <c r="F604" s="1"/>
  <c r="D596"/>
  <c r="F596" s="1"/>
  <c r="D600"/>
  <c r="F600" s="1"/>
  <c r="D597"/>
  <c r="F597" s="1"/>
  <c r="D603"/>
  <c r="F603" s="1"/>
  <c r="D601"/>
  <c r="F601" s="1"/>
  <c r="C588"/>
  <c r="D591"/>
  <c r="F591" s="1"/>
  <c r="D595"/>
  <c r="F595" s="1"/>
  <c r="D602"/>
  <c r="F602" s="1"/>
  <c r="D598"/>
  <c r="F598" s="1"/>
  <c r="D594"/>
  <c r="F594" s="1"/>
  <c r="D599"/>
  <c r="F599" s="1"/>
  <c r="D605"/>
  <c r="F605" s="1"/>
  <c r="D590"/>
  <c r="F590" s="1"/>
  <c r="C248"/>
  <c r="C239"/>
  <c r="D243"/>
  <c r="F243" s="1"/>
  <c r="D251"/>
  <c r="F251" s="1"/>
  <c r="D245"/>
  <c r="F245" s="1"/>
  <c r="D240"/>
  <c r="F240" s="1"/>
  <c r="D244"/>
  <c r="F244" s="1"/>
  <c r="D248"/>
  <c r="F248" s="1"/>
  <c r="D254"/>
  <c r="F254" s="1"/>
  <c r="D247"/>
  <c r="F247" s="1"/>
  <c r="D241"/>
  <c r="F241" s="1"/>
  <c r="D249"/>
  <c r="F249" s="1"/>
  <c r="D242"/>
  <c r="F242" s="1"/>
  <c r="D246"/>
  <c r="F246" s="1"/>
  <c r="D250"/>
  <c r="F250" s="1"/>
  <c r="E769"/>
  <c r="G769" s="1"/>
  <c r="E758"/>
  <c r="G758" s="1"/>
  <c r="E766"/>
  <c r="G766" s="1"/>
  <c r="E764"/>
  <c r="G764" s="1"/>
  <c r="E771"/>
  <c r="G771" s="1"/>
  <c r="E759"/>
  <c r="G759" s="1"/>
  <c r="E767"/>
  <c r="G767" s="1"/>
  <c r="E765"/>
  <c r="G765" s="1"/>
  <c r="C758"/>
  <c r="E762"/>
  <c r="G762" s="1"/>
  <c r="E760"/>
  <c r="G760" s="1"/>
  <c r="E768"/>
  <c r="G768" s="1"/>
  <c r="E770"/>
  <c r="G770" s="1"/>
  <c r="E763"/>
  <c r="G763" s="1"/>
  <c r="E761"/>
  <c r="G761" s="1"/>
  <c r="C759"/>
  <c r="E827"/>
  <c r="G827" s="1"/>
  <c r="E829"/>
  <c r="G829" s="1"/>
  <c r="E831"/>
  <c r="G831" s="1"/>
  <c r="E833"/>
  <c r="G833" s="1"/>
  <c r="E818"/>
  <c r="G818" s="1"/>
  <c r="E826"/>
  <c r="G826" s="1"/>
  <c r="E820"/>
  <c r="G820" s="1"/>
  <c r="E828"/>
  <c r="G828" s="1"/>
  <c r="E819"/>
  <c r="G819" s="1"/>
  <c r="E821"/>
  <c r="G821" s="1"/>
  <c r="E823"/>
  <c r="G823" s="1"/>
  <c r="E825"/>
  <c r="G825" s="1"/>
  <c r="E822"/>
  <c r="G822" s="1"/>
  <c r="E830"/>
  <c r="G830" s="1"/>
  <c r="E824"/>
  <c r="G824" s="1"/>
  <c r="E832"/>
  <c r="G832" s="1"/>
  <c r="C818"/>
  <c r="C819"/>
  <c r="O9"/>
  <c r="Y14"/>
  <c r="Y21"/>
  <c r="U7" i="6"/>
  <c r="V7"/>
  <c r="T8"/>
  <c r="Y17" i="2"/>
  <c r="I7" i="7"/>
  <c r="K7"/>
  <c r="J7"/>
  <c r="I6"/>
  <c r="K6"/>
  <c r="J6"/>
  <c r="I5"/>
  <c r="K5"/>
  <c r="J5"/>
  <c r="C319" i="2"/>
  <c r="Y18"/>
  <c r="E346"/>
  <c r="E336"/>
  <c r="E331"/>
  <c r="E320"/>
  <c r="E318"/>
  <c r="E349"/>
  <c r="E337"/>
  <c r="E332"/>
  <c r="E321"/>
  <c r="O22"/>
  <c r="Y13"/>
  <c r="C8" i="7"/>
  <c r="D8" s="1"/>
  <c r="B9"/>
  <c r="O15" i="2"/>
  <c r="L15"/>
  <c r="L22"/>
  <c r="L20"/>
  <c r="L26"/>
  <c r="O25"/>
  <c r="O28"/>
  <c r="O24"/>
  <c r="O27"/>
  <c r="G293"/>
  <c r="L28"/>
  <c r="L25"/>
  <c r="L27"/>
  <c r="L24"/>
  <c r="B39" i="1"/>
  <c r="AH4" i="12"/>
  <c r="AF9"/>
  <c r="B38" i="1"/>
  <c r="P60" i="8" l="1"/>
  <c r="Q60" s="1"/>
  <c r="Q59" s="1"/>
  <c r="O59"/>
  <c r="Y33" i="12"/>
  <c r="Z33"/>
  <c r="X33"/>
  <c r="AA33"/>
  <c r="AB33"/>
  <c r="W33"/>
  <c r="U33"/>
  <c r="V33"/>
  <c r="U19"/>
  <c r="V19"/>
  <c r="C94" i="2"/>
  <c r="C85"/>
  <c r="C73"/>
  <c r="C74" s="1"/>
  <c r="C77" s="1"/>
  <c r="E118"/>
  <c r="E117"/>
  <c r="D136"/>
  <c r="F136" s="1"/>
  <c r="D114"/>
  <c r="F111"/>
  <c r="F110"/>
  <c r="F109"/>
  <c r="F107"/>
  <c r="F108"/>
  <c r="E43" i="11"/>
  <c r="D15"/>
  <c r="D13"/>
  <c r="P60" i="10"/>
  <c r="R55"/>
  <c r="X55" s="1"/>
  <c r="Q55"/>
  <c r="W49"/>
  <c r="U49"/>
  <c r="T49" s="1"/>
  <c r="Y37"/>
  <c r="W38"/>
  <c r="Q44"/>
  <c r="R44"/>
  <c r="X44" s="1"/>
  <c r="D832" i="2"/>
  <c r="F832" s="1"/>
  <c r="C826"/>
  <c r="C790"/>
  <c r="E807" s="1"/>
  <c r="E809" s="1"/>
  <c r="G809" s="1"/>
  <c r="C798"/>
  <c r="D771"/>
  <c r="F771" s="1"/>
  <c r="C766"/>
  <c r="E741"/>
  <c r="G741" s="1"/>
  <c r="C740"/>
  <c r="D649"/>
  <c r="F649" s="1"/>
  <c r="C651"/>
  <c r="E627"/>
  <c r="G627" s="1"/>
  <c r="C629"/>
  <c r="E574"/>
  <c r="G574" s="1"/>
  <c r="C577"/>
  <c r="E606"/>
  <c r="G606" s="1"/>
  <c r="C598"/>
  <c r="C795"/>
  <c r="C796" s="1"/>
  <c r="C737"/>
  <c r="C738" s="1"/>
  <c r="C649"/>
  <c r="C650" s="1"/>
  <c r="C653" s="1"/>
  <c r="D68"/>
  <c r="F68" s="1"/>
  <c r="D334"/>
  <c r="F334" s="1"/>
  <c r="D407"/>
  <c r="F407" s="1"/>
  <c r="C673"/>
  <c r="E688" s="1"/>
  <c r="E692" s="1"/>
  <c r="E469"/>
  <c r="G469" s="1"/>
  <c r="E376"/>
  <c r="G376" s="1"/>
  <c r="E795"/>
  <c r="G795" s="1"/>
  <c r="D529"/>
  <c r="F529" s="1"/>
  <c r="E493"/>
  <c r="G493" s="1"/>
  <c r="D204"/>
  <c r="F204" s="1"/>
  <c r="E246"/>
  <c r="G246" s="1"/>
  <c r="E483"/>
  <c r="G483" s="1"/>
  <c r="E541"/>
  <c r="G541" s="1"/>
  <c r="E471"/>
  <c r="G471" s="1"/>
  <c r="E677"/>
  <c r="G677" s="1"/>
  <c r="D195"/>
  <c r="F195" s="1"/>
  <c r="C362"/>
  <c r="D150"/>
  <c r="F150" s="1"/>
  <c r="D826"/>
  <c r="F826" s="1"/>
  <c r="E605"/>
  <c r="G605" s="1"/>
  <c r="C356"/>
  <c r="C355" s="1"/>
  <c r="C359"/>
  <c r="C360" s="1"/>
  <c r="D652"/>
  <c r="F652" s="1"/>
  <c r="D530"/>
  <c r="F530" s="1"/>
  <c r="E448"/>
  <c r="G448" s="1"/>
  <c r="E732"/>
  <c r="G732" s="1"/>
  <c r="D403"/>
  <c r="F403" s="1"/>
  <c r="E575"/>
  <c r="G575" s="1"/>
  <c r="D521"/>
  <c r="F521" s="1"/>
  <c r="D701"/>
  <c r="F701" s="1"/>
  <c r="D766"/>
  <c r="F766" s="1"/>
  <c r="E592"/>
  <c r="G592" s="1"/>
  <c r="E314"/>
  <c r="G314" s="1"/>
  <c r="C824"/>
  <c r="C825" s="1"/>
  <c r="C828" s="1"/>
  <c r="C764"/>
  <c r="C765" s="1"/>
  <c r="C246"/>
  <c r="C247" s="1"/>
  <c r="D828"/>
  <c r="F828" s="1"/>
  <c r="E250"/>
  <c r="G250" s="1"/>
  <c r="E598"/>
  <c r="G598" s="1"/>
  <c r="C293"/>
  <c r="C292" s="1"/>
  <c r="C298"/>
  <c r="E492"/>
  <c r="G492" s="1"/>
  <c r="E494"/>
  <c r="G494" s="1"/>
  <c r="C468"/>
  <c r="E477"/>
  <c r="G477" s="1"/>
  <c r="E485"/>
  <c r="G485" s="1"/>
  <c r="E551"/>
  <c r="G551" s="1"/>
  <c r="E683"/>
  <c r="G683" s="1"/>
  <c r="E682"/>
  <c r="G682" s="1"/>
  <c r="D199"/>
  <c r="F199" s="1"/>
  <c r="D196"/>
  <c r="F196" s="1"/>
  <c r="E367"/>
  <c r="G367" s="1"/>
  <c r="D156"/>
  <c r="F156" s="1"/>
  <c r="D829"/>
  <c r="F829" s="1"/>
  <c r="D827"/>
  <c r="F827" s="1"/>
  <c r="D767"/>
  <c r="F767" s="1"/>
  <c r="D761"/>
  <c r="F761" s="1"/>
  <c r="E251"/>
  <c r="G251" s="1"/>
  <c r="E241"/>
  <c r="G241" s="1"/>
  <c r="C240"/>
  <c r="E593"/>
  <c r="G593" s="1"/>
  <c r="E589"/>
  <c r="G589" s="1"/>
  <c r="D172"/>
  <c r="F172" s="1"/>
  <c r="C290"/>
  <c r="C322"/>
  <c r="C321" s="1"/>
  <c r="D337"/>
  <c r="F337" s="1"/>
  <c r="C626"/>
  <c r="C627" s="1"/>
  <c r="C328"/>
  <c r="C329" s="1"/>
  <c r="E801"/>
  <c r="G801" s="1"/>
  <c r="E803"/>
  <c r="G803" s="1"/>
  <c r="E736"/>
  <c r="G736" s="1"/>
  <c r="D406"/>
  <c r="F406" s="1"/>
  <c r="D400"/>
  <c r="F400" s="1"/>
  <c r="E576"/>
  <c r="G576" s="1"/>
  <c r="E223"/>
  <c r="G223" s="1"/>
  <c r="D562"/>
  <c r="D563" s="1"/>
  <c r="F563" s="1"/>
  <c r="D528"/>
  <c r="F528" s="1"/>
  <c r="D703"/>
  <c r="F703" s="1"/>
  <c r="E626"/>
  <c r="G626" s="1"/>
  <c r="E444"/>
  <c r="G444" s="1"/>
  <c r="C574"/>
  <c r="C575" s="1"/>
  <c r="D348"/>
  <c r="F348" s="1"/>
  <c r="D333"/>
  <c r="F333" s="1"/>
  <c r="E325"/>
  <c r="G325" s="1"/>
  <c r="C75"/>
  <c r="E792"/>
  <c r="G792" s="1"/>
  <c r="E796"/>
  <c r="G796" s="1"/>
  <c r="E731"/>
  <c r="G731" s="1"/>
  <c r="E735"/>
  <c r="G735" s="1"/>
  <c r="D644"/>
  <c r="F644" s="1"/>
  <c r="D645"/>
  <c r="F645" s="1"/>
  <c r="D396"/>
  <c r="F396" s="1"/>
  <c r="D412"/>
  <c r="F412" s="1"/>
  <c r="D405"/>
  <c r="F405" s="1"/>
  <c r="E569"/>
  <c r="G569" s="1"/>
  <c r="C230"/>
  <c r="D547"/>
  <c r="F547" s="1"/>
  <c r="D541"/>
  <c r="F541" s="1"/>
  <c r="D543"/>
  <c r="F543" s="1"/>
  <c r="D544"/>
  <c r="F544" s="1"/>
  <c r="D706"/>
  <c r="F706" s="1"/>
  <c r="D700"/>
  <c r="F700" s="1"/>
  <c r="E622"/>
  <c r="G622" s="1"/>
  <c r="D448"/>
  <c r="F448" s="1"/>
  <c r="C398"/>
  <c r="C399" s="1"/>
  <c r="C402" s="1"/>
  <c r="C227"/>
  <c r="C228" s="1"/>
  <c r="D347"/>
  <c r="F347" s="1"/>
  <c r="C318"/>
  <c r="E338" s="1"/>
  <c r="C327"/>
  <c r="D332"/>
  <c r="F332" s="1"/>
  <c r="E324"/>
  <c r="G324" s="1"/>
  <c r="D67"/>
  <c r="F67" s="1"/>
  <c r="E71"/>
  <c r="E76" s="1"/>
  <c r="C524"/>
  <c r="C525" s="1"/>
  <c r="C528" s="1"/>
  <c r="C789"/>
  <c r="E789"/>
  <c r="G789" s="1"/>
  <c r="E791"/>
  <c r="G791" s="1"/>
  <c r="E790"/>
  <c r="G790" s="1"/>
  <c r="E733"/>
  <c r="G733" s="1"/>
  <c r="E734"/>
  <c r="G734" s="1"/>
  <c r="E737"/>
  <c r="G737" s="1"/>
  <c r="E738"/>
  <c r="G738" s="1"/>
  <c r="D656"/>
  <c r="F656" s="1"/>
  <c r="D647"/>
  <c r="F647" s="1"/>
  <c r="D651"/>
  <c r="F651" s="1"/>
  <c r="D404"/>
  <c r="F404" s="1"/>
  <c r="D425"/>
  <c r="F425" s="1"/>
  <c r="D393"/>
  <c r="F393" s="1"/>
  <c r="D408"/>
  <c r="F408" s="1"/>
  <c r="D410"/>
  <c r="F410" s="1"/>
  <c r="D397"/>
  <c r="F397" s="1"/>
  <c r="C569"/>
  <c r="E571"/>
  <c r="G571" s="1"/>
  <c r="E222"/>
  <c r="G222" s="1"/>
  <c r="E220"/>
  <c r="G220" s="1"/>
  <c r="D542"/>
  <c r="F542" s="1"/>
  <c r="D550"/>
  <c r="F550" s="1"/>
  <c r="C521"/>
  <c r="C520" s="1"/>
  <c r="D537"/>
  <c r="F537" s="1"/>
  <c r="D526"/>
  <c r="F526" s="1"/>
  <c r="D538"/>
  <c r="F538" s="1"/>
  <c r="D527"/>
  <c r="F527" s="1"/>
  <c r="D539"/>
  <c r="F539" s="1"/>
  <c r="D549"/>
  <c r="F549" s="1"/>
  <c r="C526"/>
  <c r="D713"/>
  <c r="F713" s="1"/>
  <c r="D708"/>
  <c r="F708" s="1"/>
  <c r="D709"/>
  <c r="F709" s="1"/>
  <c r="E631"/>
  <c r="G631" s="1"/>
  <c r="C620"/>
  <c r="C621"/>
  <c r="E632" s="1"/>
  <c r="E630"/>
  <c r="G630" s="1"/>
  <c r="D450"/>
  <c r="F450" s="1"/>
  <c r="D444"/>
  <c r="F444" s="1"/>
  <c r="C272"/>
  <c r="C273" s="1"/>
  <c r="C265"/>
  <c r="D267"/>
  <c r="F267" s="1"/>
  <c r="C274"/>
  <c r="D268"/>
  <c r="F268" s="1"/>
  <c r="C705"/>
  <c r="C706" s="1"/>
  <c r="C709" s="1"/>
  <c r="E799"/>
  <c r="G799" s="1"/>
  <c r="E793"/>
  <c r="G793" s="1"/>
  <c r="E800"/>
  <c r="G800" s="1"/>
  <c r="E794"/>
  <c r="G794" s="1"/>
  <c r="E804"/>
  <c r="G804" s="1"/>
  <c r="E797"/>
  <c r="G797" s="1"/>
  <c r="E802"/>
  <c r="G802" s="1"/>
  <c r="E798"/>
  <c r="G798" s="1"/>
  <c r="C732"/>
  <c r="E739"/>
  <c r="G739" s="1"/>
  <c r="E742"/>
  <c r="G742" s="1"/>
  <c r="E740"/>
  <c r="G740" s="1"/>
  <c r="C731"/>
  <c r="E743"/>
  <c r="G743" s="1"/>
  <c r="E744"/>
  <c r="G744" s="1"/>
  <c r="D648"/>
  <c r="F648" s="1"/>
  <c r="D653"/>
  <c r="F653" s="1"/>
  <c r="C642"/>
  <c r="E657" s="1"/>
  <c r="E662" s="1"/>
  <c r="D646"/>
  <c r="F646" s="1"/>
  <c r="D650"/>
  <c r="F650" s="1"/>
  <c r="C391"/>
  <c r="D411"/>
  <c r="F411" s="1"/>
  <c r="D398"/>
  <c r="F398" s="1"/>
  <c r="D414"/>
  <c r="F414" s="1"/>
  <c r="D409"/>
  <c r="F409" s="1"/>
  <c r="D401"/>
  <c r="F401" s="1"/>
  <c r="C395"/>
  <c r="C394" s="1"/>
  <c r="D424"/>
  <c r="F424" s="1"/>
  <c r="D402"/>
  <c r="F402" s="1"/>
  <c r="D392"/>
  <c r="F392" s="1"/>
  <c r="D413"/>
  <c r="F413" s="1"/>
  <c r="D399"/>
  <c r="F399" s="1"/>
  <c r="E570"/>
  <c r="G570" s="1"/>
  <c r="C568"/>
  <c r="E568"/>
  <c r="G568" s="1"/>
  <c r="E577"/>
  <c r="G577" s="1"/>
  <c r="C221"/>
  <c r="C222"/>
  <c r="E225" s="1"/>
  <c r="E226" s="1"/>
  <c r="E224"/>
  <c r="G224" s="1"/>
  <c r="D519"/>
  <c r="F519" s="1"/>
  <c r="D536"/>
  <c r="F536" s="1"/>
  <c r="D540"/>
  <c r="F540" s="1"/>
  <c r="D523"/>
  <c r="F523" s="1"/>
  <c r="D520"/>
  <c r="F520" s="1"/>
  <c r="C517"/>
  <c r="E553" s="1"/>
  <c r="D545"/>
  <c r="F545" s="1"/>
  <c r="D531"/>
  <c r="F531" s="1"/>
  <c r="D551"/>
  <c r="F551" s="1"/>
  <c r="D548"/>
  <c r="F548" s="1"/>
  <c r="D546"/>
  <c r="F546" s="1"/>
  <c r="D534"/>
  <c r="F534" s="1"/>
  <c r="D532"/>
  <c r="F532" s="1"/>
  <c r="D552"/>
  <c r="F552" s="1"/>
  <c r="D518"/>
  <c r="F518" s="1"/>
  <c r="D535"/>
  <c r="F535" s="1"/>
  <c r="D533"/>
  <c r="F533" s="1"/>
  <c r="D522"/>
  <c r="F522" s="1"/>
  <c r="D712"/>
  <c r="F712" s="1"/>
  <c r="D702"/>
  <c r="F702" s="1"/>
  <c r="D707"/>
  <c r="F707" s="1"/>
  <c r="D714"/>
  <c r="F714" s="1"/>
  <c r="D704"/>
  <c r="F704" s="1"/>
  <c r="C698"/>
  <c r="E715" s="1"/>
  <c r="E720" s="1"/>
  <c r="D705"/>
  <c r="F705" s="1"/>
  <c r="E624"/>
  <c r="G624" s="1"/>
  <c r="E620"/>
  <c r="G620" s="1"/>
  <c r="E625"/>
  <c r="G625" s="1"/>
  <c r="E621"/>
  <c r="G621" s="1"/>
  <c r="E623"/>
  <c r="G623" s="1"/>
  <c r="D452"/>
  <c r="F452" s="1"/>
  <c r="E443"/>
  <c r="G443" s="1"/>
  <c r="E447"/>
  <c r="G447" s="1"/>
  <c r="E446"/>
  <c r="G446" s="1"/>
  <c r="D447"/>
  <c r="F447" s="1"/>
  <c r="C433"/>
  <c r="C438"/>
  <c r="C436"/>
  <c r="C437" s="1"/>
  <c r="C440" s="1"/>
  <c r="C177"/>
  <c r="C178" s="1"/>
  <c r="E498"/>
  <c r="G498" s="1"/>
  <c r="E488"/>
  <c r="G488" s="1"/>
  <c r="E468"/>
  <c r="G468" s="1"/>
  <c r="E482"/>
  <c r="G482" s="1"/>
  <c r="E476"/>
  <c r="G476" s="1"/>
  <c r="C469"/>
  <c r="E503" s="1"/>
  <c r="D504" s="1"/>
  <c r="E497"/>
  <c r="G497" s="1"/>
  <c r="E475"/>
  <c r="G475" s="1"/>
  <c r="E489"/>
  <c r="G489" s="1"/>
  <c r="E480"/>
  <c r="G480" s="1"/>
  <c r="E512"/>
  <c r="E513" s="1"/>
  <c r="G513" s="1"/>
  <c r="E500"/>
  <c r="G500" s="1"/>
  <c r="E675"/>
  <c r="G675" s="1"/>
  <c r="E680"/>
  <c r="G680" s="1"/>
  <c r="E672"/>
  <c r="G672" s="1"/>
  <c r="E673"/>
  <c r="G673" s="1"/>
  <c r="D203"/>
  <c r="F203" s="1"/>
  <c r="D202"/>
  <c r="F202" s="1"/>
  <c r="D205"/>
  <c r="F205" s="1"/>
  <c r="C203"/>
  <c r="E387"/>
  <c r="G387" s="1"/>
  <c r="E371"/>
  <c r="G371" s="1"/>
  <c r="E370"/>
  <c r="G370" s="1"/>
  <c r="D151"/>
  <c r="F151" s="1"/>
  <c r="D153"/>
  <c r="F153" s="1"/>
  <c r="D159"/>
  <c r="F159" s="1"/>
  <c r="D821"/>
  <c r="F821" s="1"/>
  <c r="D819"/>
  <c r="F819" s="1"/>
  <c r="D820"/>
  <c r="F820" s="1"/>
  <c r="D759"/>
  <c r="F759" s="1"/>
  <c r="C757"/>
  <c r="D764"/>
  <c r="F764" s="1"/>
  <c r="E253"/>
  <c r="G253" s="1"/>
  <c r="C249"/>
  <c r="E244"/>
  <c r="G244" s="1"/>
  <c r="E239"/>
  <c r="G239" s="1"/>
  <c r="E248"/>
  <c r="G248" s="1"/>
  <c r="E597"/>
  <c r="G597" s="1"/>
  <c r="E603"/>
  <c r="G603" s="1"/>
  <c r="E588"/>
  <c r="G588" s="1"/>
  <c r="E602"/>
  <c r="G602" s="1"/>
  <c r="E596"/>
  <c r="G596" s="1"/>
  <c r="C474"/>
  <c r="C475" s="1"/>
  <c r="C678"/>
  <c r="C679" s="1"/>
  <c r="C682" s="1"/>
  <c r="D171"/>
  <c r="F171" s="1"/>
  <c r="C170"/>
  <c r="E184" s="1"/>
  <c r="E189" s="1"/>
  <c r="E292"/>
  <c r="G292" s="1"/>
  <c r="D87"/>
  <c r="F87" s="1"/>
  <c r="C429"/>
  <c r="C431"/>
  <c r="E93"/>
  <c r="E311"/>
  <c r="G311" s="1"/>
  <c r="C595"/>
  <c r="C596" s="1"/>
  <c r="C289"/>
  <c r="E303" s="1"/>
  <c r="C296"/>
  <c r="C297" s="1"/>
  <c r="E496"/>
  <c r="G496" s="1"/>
  <c r="E490"/>
  <c r="G490" s="1"/>
  <c r="E486"/>
  <c r="G486" s="1"/>
  <c r="E479"/>
  <c r="G479" s="1"/>
  <c r="E472"/>
  <c r="G472" s="1"/>
  <c r="E484"/>
  <c r="G484" s="1"/>
  <c r="E478"/>
  <c r="G478" s="1"/>
  <c r="E473"/>
  <c r="G473" s="1"/>
  <c r="C477"/>
  <c r="E502"/>
  <c r="G502" s="1"/>
  <c r="E552"/>
  <c r="G552" s="1"/>
  <c r="E499"/>
  <c r="G499" s="1"/>
  <c r="E481"/>
  <c r="G481" s="1"/>
  <c r="E470"/>
  <c r="G470" s="1"/>
  <c r="E495"/>
  <c r="G495" s="1"/>
  <c r="E491"/>
  <c r="G491" s="1"/>
  <c r="E487"/>
  <c r="G487" s="1"/>
  <c r="E501"/>
  <c r="G501" s="1"/>
  <c r="E467"/>
  <c r="G467" s="1"/>
  <c r="E474"/>
  <c r="G474" s="1"/>
  <c r="E511"/>
  <c r="E514" s="1"/>
  <c r="G514" s="1"/>
  <c r="E542"/>
  <c r="G542" s="1"/>
  <c r="C672"/>
  <c r="E679"/>
  <c r="G679" s="1"/>
  <c r="E676"/>
  <c r="G676" s="1"/>
  <c r="E681"/>
  <c r="G681" s="1"/>
  <c r="E678"/>
  <c r="G678" s="1"/>
  <c r="E687"/>
  <c r="G687" s="1"/>
  <c r="E686"/>
  <c r="G686" s="1"/>
  <c r="E674"/>
  <c r="G674" s="1"/>
  <c r="D200"/>
  <c r="F200" s="1"/>
  <c r="D201"/>
  <c r="F201" s="1"/>
  <c r="D206"/>
  <c r="F206" s="1"/>
  <c r="D197"/>
  <c r="F197" s="1"/>
  <c r="D209"/>
  <c r="F209" s="1"/>
  <c r="D198"/>
  <c r="F198" s="1"/>
  <c r="C194"/>
  <c r="E210" s="1"/>
  <c r="C354"/>
  <c r="E369"/>
  <c r="G369" s="1"/>
  <c r="E375"/>
  <c r="G375" s="1"/>
  <c r="E386"/>
  <c r="G386" s="1"/>
  <c r="E366"/>
  <c r="G366" s="1"/>
  <c r="E385"/>
  <c r="G385" s="1"/>
  <c r="D155"/>
  <c r="F155" s="1"/>
  <c r="D154"/>
  <c r="F154" s="1"/>
  <c r="C148"/>
  <c r="E160" s="1"/>
  <c r="D149"/>
  <c r="F149" s="1"/>
  <c r="D152"/>
  <c r="F152" s="1"/>
  <c r="C157"/>
  <c r="D825"/>
  <c r="F825" s="1"/>
  <c r="D830"/>
  <c r="F830" s="1"/>
  <c r="D822"/>
  <c r="F822" s="1"/>
  <c r="C817"/>
  <c r="E836" s="1"/>
  <c r="D823"/>
  <c r="F823" s="1"/>
  <c r="D835"/>
  <c r="F835" s="1"/>
  <c r="D824"/>
  <c r="F824" s="1"/>
  <c r="D763"/>
  <c r="F763" s="1"/>
  <c r="D773"/>
  <c r="F773" s="1"/>
  <c r="D762"/>
  <c r="F762" s="1"/>
  <c r="D765"/>
  <c r="F765" s="1"/>
  <c r="D768"/>
  <c r="F768" s="1"/>
  <c r="D760"/>
  <c r="F760" s="1"/>
  <c r="E245"/>
  <c r="G245" s="1"/>
  <c r="E243"/>
  <c r="G243" s="1"/>
  <c r="E254"/>
  <c r="G254" s="1"/>
  <c r="E252"/>
  <c r="G252" s="1"/>
  <c r="E249"/>
  <c r="G249" s="1"/>
  <c r="E247"/>
  <c r="G247" s="1"/>
  <c r="C241"/>
  <c r="E255" s="1"/>
  <c r="E242"/>
  <c r="G242" s="1"/>
  <c r="E600"/>
  <c r="G600" s="1"/>
  <c r="E594"/>
  <c r="G594" s="1"/>
  <c r="E607"/>
  <c r="G607" s="1"/>
  <c r="E599"/>
  <c r="G599" s="1"/>
  <c r="E591"/>
  <c r="G591" s="1"/>
  <c r="E604"/>
  <c r="G604" s="1"/>
  <c r="C589"/>
  <c r="E595"/>
  <c r="G595" s="1"/>
  <c r="C590"/>
  <c r="E609" s="1"/>
  <c r="D609" s="1"/>
  <c r="E590"/>
  <c r="G590" s="1"/>
  <c r="E601"/>
  <c r="G601" s="1"/>
  <c r="D174"/>
  <c r="F174" s="1"/>
  <c r="C179"/>
  <c r="D175"/>
  <c r="F175" s="1"/>
  <c r="E290"/>
  <c r="G290" s="1"/>
  <c r="E289"/>
  <c r="G289" s="1"/>
  <c r="C92"/>
  <c r="C93" s="1"/>
  <c r="C96" s="1"/>
  <c r="D92"/>
  <c r="F92" s="1"/>
  <c r="D86"/>
  <c r="F86" s="1"/>
  <c r="D88"/>
  <c r="F88" s="1"/>
  <c r="D89"/>
  <c r="F89" s="1"/>
  <c r="C269"/>
  <c r="C268" s="1"/>
  <c r="D178"/>
  <c r="F178" s="1"/>
  <c r="D179"/>
  <c r="F179" s="1"/>
  <c r="D177"/>
  <c r="F177" s="1"/>
  <c r="D176"/>
  <c r="F176" s="1"/>
  <c r="D183"/>
  <c r="F183" s="1"/>
  <c r="D173"/>
  <c r="F173" s="1"/>
  <c r="E291"/>
  <c r="G291" s="1"/>
  <c r="E315"/>
  <c r="G315" s="1"/>
  <c r="C134"/>
  <c r="D128"/>
  <c r="F128" s="1"/>
  <c r="D129"/>
  <c r="F129" s="1"/>
  <c r="D132"/>
  <c r="F132" s="1"/>
  <c r="D133"/>
  <c r="F133" s="1"/>
  <c r="D130"/>
  <c r="F130" s="1"/>
  <c r="C127"/>
  <c r="D131"/>
  <c r="F131" s="1"/>
  <c r="C136"/>
  <c r="C267"/>
  <c r="E277"/>
  <c r="G277" s="1"/>
  <c r="E274"/>
  <c r="G274" s="1"/>
  <c r="E272"/>
  <c r="G272" s="1"/>
  <c r="E265"/>
  <c r="G265" s="1"/>
  <c r="E275"/>
  <c r="G275" s="1"/>
  <c r="E273"/>
  <c r="G273" s="1"/>
  <c r="E271"/>
  <c r="G271" s="1"/>
  <c r="C275"/>
  <c r="C156"/>
  <c r="E564"/>
  <c r="G564" s="1"/>
  <c r="G561"/>
  <c r="D513"/>
  <c r="F513" s="1"/>
  <c r="F512"/>
  <c r="C205"/>
  <c r="E51"/>
  <c r="G51" s="1"/>
  <c r="C57"/>
  <c r="E47"/>
  <c r="G47" s="1"/>
  <c r="E50"/>
  <c r="G50" s="1"/>
  <c r="E48"/>
  <c r="G48" s="1"/>
  <c r="E49"/>
  <c r="G49" s="1"/>
  <c r="E563"/>
  <c r="G563" s="1"/>
  <c r="G562"/>
  <c r="C55"/>
  <c r="D49"/>
  <c r="F49" s="1"/>
  <c r="D48"/>
  <c r="F48" s="1"/>
  <c r="C56"/>
  <c r="U8" i="6"/>
  <c r="V8"/>
  <c r="T9"/>
  <c r="S9" s="1"/>
  <c r="E388" i="2"/>
  <c r="G388" s="1"/>
  <c r="E374"/>
  <c r="G374" s="1"/>
  <c r="E372"/>
  <c r="G372" s="1"/>
  <c r="E368"/>
  <c r="G368" s="1"/>
  <c r="G365"/>
  <c r="E361"/>
  <c r="G361" s="1"/>
  <c r="E357"/>
  <c r="G357" s="1"/>
  <c r="E354"/>
  <c r="G354" s="1"/>
  <c r="E352"/>
  <c r="G352" s="1"/>
  <c r="E362"/>
  <c r="G362" s="1"/>
  <c r="E373"/>
  <c r="G373" s="1"/>
  <c r="E364"/>
  <c r="G364" s="1"/>
  <c r="E358"/>
  <c r="G358" s="1"/>
  <c r="E355"/>
  <c r="G355" s="1"/>
  <c r="E353"/>
  <c r="G353" s="1"/>
  <c r="F368"/>
  <c r="F366"/>
  <c r="F372"/>
  <c r="F367"/>
  <c r="F371"/>
  <c r="F365"/>
  <c r="F363"/>
  <c r="D361"/>
  <c r="F361" s="1"/>
  <c r="F359"/>
  <c r="D357"/>
  <c r="F357" s="1"/>
  <c r="D354"/>
  <c r="F354" s="1"/>
  <c r="F369"/>
  <c r="D360"/>
  <c r="F360" s="1"/>
  <c r="D356"/>
  <c r="F356" s="1"/>
  <c r="F374"/>
  <c r="F370"/>
  <c r="F373"/>
  <c r="F364"/>
  <c r="F362"/>
  <c r="F358"/>
  <c r="D353"/>
  <c r="F353" s="1"/>
  <c r="I8" i="7"/>
  <c r="K8"/>
  <c r="D291" i="2"/>
  <c r="F291" s="1"/>
  <c r="G298"/>
  <c r="D313"/>
  <c r="F313" s="1"/>
  <c r="E312"/>
  <c r="D312"/>
  <c r="F312" s="1"/>
  <c r="D290"/>
  <c r="F290" s="1"/>
  <c r="D298"/>
  <c r="F298" s="1"/>
  <c r="E313"/>
  <c r="C353"/>
  <c r="F386"/>
  <c r="F387"/>
  <c r="E433"/>
  <c r="G433" s="1"/>
  <c r="E462"/>
  <c r="E463" s="1"/>
  <c r="D462"/>
  <c r="D463" s="1"/>
  <c r="D335"/>
  <c r="F335" s="1"/>
  <c r="D330"/>
  <c r="F330" s="1"/>
  <c r="D328"/>
  <c r="F328" s="1"/>
  <c r="D326"/>
  <c r="F326" s="1"/>
  <c r="D324"/>
  <c r="F324" s="1"/>
  <c r="D320"/>
  <c r="F320" s="1"/>
  <c r="E329"/>
  <c r="G329" s="1"/>
  <c r="D336"/>
  <c r="F336" s="1"/>
  <c r="D331"/>
  <c r="F331" s="1"/>
  <c r="D329"/>
  <c r="F329" s="1"/>
  <c r="D327"/>
  <c r="F327" s="1"/>
  <c r="D325"/>
  <c r="F325" s="1"/>
  <c r="D323"/>
  <c r="F323" s="1"/>
  <c r="D319"/>
  <c r="F319" s="1"/>
  <c r="E328"/>
  <c r="G328" s="1"/>
  <c r="E432"/>
  <c r="G432" s="1"/>
  <c r="E430"/>
  <c r="G430" s="1"/>
  <c r="E461"/>
  <c r="E464" s="1"/>
  <c r="G464" s="1"/>
  <c r="E431"/>
  <c r="G431" s="1"/>
  <c r="E429"/>
  <c r="G429" s="1"/>
  <c r="D302"/>
  <c r="F302" s="1"/>
  <c r="F300"/>
  <c r="D297"/>
  <c r="F297" s="1"/>
  <c r="E301"/>
  <c r="G301" s="1"/>
  <c r="E296"/>
  <c r="G296" s="1"/>
  <c r="D295"/>
  <c r="F295" s="1"/>
  <c r="F301"/>
  <c r="D299"/>
  <c r="F299" s="1"/>
  <c r="E302"/>
  <c r="G302" s="1"/>
  <c r="G297"/>
  <c r="D296"/>
  <c r="F296" s="1"/>
  <c r="D294"/>
  <c r="F294" s="1"/>
  <c r="E452"/>
  <c r="G452" s="1"/>
  <c r="E450"/>
  <c r="G450" s="1"/>
  <c r="E445"/>
  <c r="G445" s="1"/>
  <c r="E440"/>
  <c r="G440" s="1"/>
  <c r="E436"/>
  <c r="G436" s="1"/>
  <c r="D451"/>
  <c r="F451" s="1"/>
  <c r="D449"/>
  <c r="F449" s="1"/>
  <c r="D446"/>
  <c r="F446" s="1"/>
  <c r="D442"/>
  <c r="F442" s="1"/>
  <c r="D440"/>
  <c r="F440" s="1"/>
  <c r="D438"/>
  <c r="F438" s="1"/>
  <c r="D436"/>
  <c r="F436" s="1"/>
  <c r="D434"/>
  <c r="F434" s="1"/>
  <c r="D430"/>
  <c r="F430" s="1"/>
  <c r="E451"/>
  <c r="G451" s="1"/>
  <c r="E449"/>
  <c r="G449" s="1"/>
  <c r="E442"/>
  <c r="G442" s="1"/>
  <c r="E439"/>
  <c r="G439" s="1"/>
  <c r="E435"/>
  <c r="G435" s="1"/>
  <c r="D445"/>
  <c r="F445" s="1"/>
  <c r="D443"/>
  <c r="F443" s="1"/>
  <c r="D441"/>
  <c r="F441" s="1"/>
  <c r="D439"/>
  <c r="F439" s="1"/>
  <c r="D437"/>
  <c r="F437" s="1"/>
  <c r="D435"/>
  <c r="F435" s="1"/>
  <c r="D431"/>
  <c r="F431" s="1"/>
  <c r="G411"/>
  <c r="G406"/>
  <c r="G413"/>
  <c r="G409"/>
  <c r="G404"/>
  <c r="G397"/>
  <c r="G401"/>
  <c r="B10" i="7"/>
  <c r="C9"/>
  <c r="D9" s="1"/>
  <c r="G423" i="2"/>
  <c r="G402"/>
  <c r="G398"/>
  <c r="Y15"/>
  <c r="G394"/>
  <c r="Y22"/>
  <c r="G414"/>
  <c r="G412"/>
  <c r="G410"/>
  <c r="G408"/>
  <c r="G405"/>
  <c r="G392"/>
  <c r="G426"/>
  <c r="G393"/>
  <c r="G391"/>
  <c r="Y26"/>
  <c r="O26"/>
  <c r="G346"/>
  <c r="G337"/>
  <c r="G332"/>
  <c r="F352"/>
  <c r="F355"/>
  <c r="G336"/>
  <c r="G331"/>
  <c r="F321"/>
  <c r="F318"/>
  <c r="G319"/>
  <c r="G349"/>
  <c r="G321"/>
  <c r="Y20"/>
  <c r="Y24"/>
  <c r="Y25"/>
  <c r="Y27"/>
  <c r="Y28"/>
  <c r="F293"/>
  <c r="C50" i="1"/>
  <c r="B37"/>
  <c r="E774" i="2" l="1"/>
  <c r="E778" s="1"/>
  <c r="G778" s="1"/>
  <c r="F62" i="8"/>
  <c r="P62" s="1"/>
  <c r="F73"/>
  <c r="P73" s="1"/>
  <c r="F65"/>
  <c r="F61"/>
  <c r="P61" s="1"/>
  <c r="F66"/>
  <c r="P66" s="1"/>
  <c r="F64"/>
  <c r="P64" s="1"/>
  <c r="F63"/>
  <c r="P63" s="1"/>
  <c r="AH6" i="12"/>
  <c r="AH7"/>
  <c r="AH5"/>
  <c r="E747" i="2"/>
  <c r="E749" s="1"/>
  <c r="G749" s="1"/>
  <c r="C768"/>
  <c r="AF10" i="12"/>
  <c r="AF11"/>
  <c r="AF12"/>
  <c r="AF13"/>
  <c r="E578" i="2"/>
  <c r="E581" s="1"/>
  <c r="G581" s="1"/>
  <c r="F70" i="8"/>
  <c r="F68"/>
  <c r="F67"/>
  <c r="P67" s="1"/>
  <c r="Y34" i="12"/>
  <c r="Z34"/>
  <c r="X34"/>
  <c r="AA34"/>
  <c r="AB34"/>
  <c r="W34"/>
  <c r="U34"/>
  <c r="V34"/>
  <c r="U20"/>
  <c r="V20"/>
  <c r="D93" i="2"/>
  <c r="D98" s="1"/>
  <c r="F98" s="1"/>
  <c r="E137"/>
  <c r="E142" s="1"/>
  <c r="D113"/>
  <c r="C135"/>
  <c r="E8" i="11"/>
  <c r="F9" s="1"/>
  <c r="H9" s="1"/>
  <c r="E20"/>
  <c r="E24"/>
  <c r="E32"/>
  <c r="E28"/>
  <c r="E12"/>
  <c r="E16"/>
  <c r="E36"/>
  <c r="E40"/>
  <c r="F41" s="1"/>
  <c r="E44"/>
  <c r="E47"/>
  <c r="R50" i="10"/>
  <c r="X50" s="1"/>
  <c r="Q50"/>
  <c r="W55"/>
  <c r="U55"/>
  <c r="T55" s="1"/>
  <c r="R61"/>
  <c r="X61" s="1"/>
  <c r="Q61"/>
  <c r="P66"/>
  <c r="W44"/>
  <c r="Y43"/>
  <c r="C578" i="2"/>
  <c r="C250"/>
  <c r="C276"/>
  <c r="C799"/>
  <c r="C599"/>
  <c r="D836"/>
  <c r="D839" s="1"/>
  <c r="F839" s="1"/>
  <c r="D211"/>
  <c r="F211" s="1"/>
  <c r="E96"/>
  <c r="G96" s="1"/>
  <c r="F562"/>
  <c r="C741"/>
  <c r="C363"/>
  <c r="G512"/>
  <c r="D303"/>
  <c r="D308" s="1"/>
  <c r="D310" s="1"/>
  <c r="F310" s="1"/>
  <c r="C630"/>
  <c r="E72"/>
  <c r="E74" s="1"/>
  <c r="G74" s="1"/>
  <c r="D71"/>
  <c r="D76" s="1"/>
  <c r="F76" s="1"/>
  <c r="G71"/>
  <c r="E637"/>
  <c r="E638" s="1"/>
  <c r="G638" s="1"/>
  <c r="C231"/>
  <c r="E75"/>
  <c r="G75" s="1"/>
  <c r="D72"/>
  <c r="D73" s="1"/>
  <c r="F73" s="1"/>
  <c r="E213"/>
  <c r="G213" s="1"/>
  <c r="E73"/>
  <c r="G73" s="1"/>
  <c r="E279"/>
  <c r="E283" s="1"/>
  <c r="E286" s="1"/>
  <c r="G286" s="1"/>
  <c r="E453"/>
  <c r="D453" s="1"/>
  <c r="C478"/>
  <c r="E339"/>
  <c r="E341" s="1"/>
  <c r="G341" s="1"/>
  <c r="G338"/>
  <c r="E340"/>
  <c r="G340" s="1"/>
  <c r="D339"/>
  <c r="D344" s="1"/>
  <c r="F344" s="1"/>
  <c r="E215"/>
  <c r="E216" s="1"/>
  <c r="G216" s="1"/>
  <c r="E212"/>
  <c r="G212" s="1"/>
  <c r="G511"/>
  <c r="E95"/>
  <c r="G95" s="1"/>
  <c r="D210"/>
  <c r="F210" s="1"/>
  <c r="C42" i="1"/>
  <c r="G31" i="12" s="1"/>
  <c r="C432" i="2"/>
  <c r="D338"/>
  <c r="D341" s="1"/>
  <c r="F341" s="1"/>
  <c r="D160"/>
  <c r="D163" s="1"/>
  <c r="F163" s="1"/>
  <c r="E214"/>
  <c r="G214" s="1"/>
  <c r="E211"/>
  <c r="G211" s="1"/>
  <c r="G210"/>
  <c r="C39" i="1"/>
  <c r="B8" i="6" s="1"/>
  <c r="D8" s="1"/>
  <c r="E305" i="2"/>
  <c r="G305" s="1"/>
  <c r="E308"/>
  <c r="E309" s="1"/>
  <c r="G309" s="1"/>
  <c r="D304"/>
  <c r="D307" s="1"/>
  <c r="D309" s="1"/>
  <c r="F309" s="1"/>
  <c r="D610"/>
  <c r="C38" i="1"/>
  <c r="C8" i="6" s="1"/>
  <c r="G303" i="2"/>
  <c r="E304"/>
  <c r="G304" s="1"/>
  <c r="E307"/>
  <c r="E310" s="1"/>
  <c r="G310" s="1"/>
  <c r="E612"/>
  <c r="G612" s="1"/>
  <c r="C181"/>
  <c r="E693"/>
  <c r="E694" s="1"/>
  <c r="G694" s="1"/>
  <c r="E98"/>
  <c r="G98" s="1"/>
  <c r="G93"/>
  <c r="E94"/>
  <c r="G94" s="1"/>
  <c r="E97"/>
  <c r="E100" s="1"/>
  <c r="G100" s="1"/>
  <c r="D94"/>
  <c r="D97" s="1"/>
  <c r="F97" s="1"/>
  <c r="E808"/>
  <c r="G808" s="1"/>
  <c r="E614"/>
  <c r="G609"/>
  <c r="E812"/>
  <c r="E813" s="1"/>
  <c r="G813" s="1"/>
  <c r="D807"/>
  <c r="F807" s="1"/>
  <c r="G807"/>
  <c r="D225"/>
  <c r="D232" s="1"/>
  <c r="F232" s="1"/>
  <c r="D226"/>
  <c r="D231" s="1"/>
  <c r="F231" s="1"/>
  <c r="E613"/>
  <c r="G613" s="1"/>
  <c r="E611"/>
  <c r="G611" s="1"/>
  <c r="E610"/>
  <c r="G610" s="1"/>
  <c r="C159"/>
  <c r="E229"/>
  <c r="E232" s="1"/>
  <c r="G232" s="1"/>
  <c r="G225"/>
  <c r="E230"/>
  <c r="G230" s="1"/>
  <c r="E227"/>
  <c r="G227" s="1"/>
  <c r="E634"/>
  <c r="G634" s="1"/>
  <c r="D658"/>
  <c r="D661" s="1"/>
  <c r="F661" s="1"/>
  <c r="E508"/>
  <c r="G508" s="1"/>
  <c r="E633"/>
  <c r="G633" s="1"/>
  <c r="D633"/>
  <c r="D638" s="1"/>
  <c r="F638" s="1"/>
  <c r="E636"/>
  <c r="E639" s="1"/>
  <c r="G639" s="1"/>
  <c r="D37"/>
  <c r="C58"/>
  <c r="E811"/>
  <c r="G811" s="1"/>
  <c r="D808"/>
  <c r="D809" s="1"/>
  <c r="F809" s="1"/>
  <c r="E810"/>
  <c r="G810" s="1"/>
  <c r="G632"/>
  <c r="E635"/>
  <c r="G635" s="1"/>
  <c r="D632"/>
  <c r="D639" s="1"/>
  <c r="F639" s="1"/>
  <c r="D161"/>
  <c r="D162" s="1"/>
  <c r="F162" s="1"/>
  <c r="D716"/>
  <c r="D719" s="1"/>
  <c r="F719" s="1"/>
  <c r="G662"/>
  <c r="E663"/>
  <c r="G663" s="1"/>
  <c r="D507"/>
  <c r="F507" s="1"/>
  <c r="D509"/>
  <c r="F509" s="1"/>
  <c r="D505"/>
  <c r="F505" s="1"/>
  <c r="F504"/>
  <c r="E721"/>
  <c r="G721" s="1"/>
  <c r="G720"/>
  <c r="E190"/>
  <c r="G190" s="1"/>
  <c r="G189"/>
  <c r="G553"/>
  <c r="E555"/>
  <c r="G555" s="1"/>
  <c r="E554"/>
  <c r="D255"/>
  <c r="G255"/>
  <c r="E256"/>
  <c r="G256" s="1"/>
  <c r="E257"/>
  <c r="G257" s="1"/>
  <c r="E258"/>
  <c r="G258" s="1"/>
  <c r="E161"/>
  <c r="G161" s="1"/>
  <c r="G160"/>
  <c r="E162"/>
  <c r="G162" s="1"/>
  <c r="E163"/>
  <c r="G163" s="1"/>
  <c r="C300"/>
  <c r="E689"/>
  <c r="G689" s="1"/>
  <c r="E691"/>
  <c r="G691" s="1"/>
  <c r="E690"/>
  <c r="G690" s="1"/>
  <c r="G688"/>
  <c r="E228"/>
  <c r="G228" s="1"/>
  <c r="G226"/>
  <c r="D185"/>
  <c r="E840"/>
  <c r="D554"/>
  <c r="E164"/>
  <c r="D689"/>
  <c r="E558"/>
  <c r="E259"/>
  <c r="D715"/>
  <c r="G715"/>
  <c r="E718"/>
  <c r="G718" s="1"/>
  <c r="E717"/>
  <c r="G717" s="1"/>
  <c r="E716"/>
  <c r="G716" s="1"/>
  <c r="G184"/>
  <c r="E186"/>
  <c r="G186" s="1"/>
  <c r="E187"/>
  <c r="G187" s="1"/>
  <c r="E185"/>
  <c r="G185" s="1"/>
  <c r="G836"/>
  <c r="E839"/>
  <c r="G839" s="1"/>
  <c r="E837"/>
  <c r="G837" s="1"/>
  <c r="E838"/>
  <c r="G838" s="1"/>
  <c r="E695"/>
  <c r="G695" s="1"/>
  <c r="G692"/>
  <c r="D657"/>
  <c r="E659"/>
  <c r="G659" s="1"/>
  <c r="G657"/>
  <c r="E660"/>
  <c r="G660" s="1"/>
  <c r="E658"/>
  <c r="G658" s="1"/>
  <c r="E507"/>
  <c r="G503"/>
  <c r="E504"/>
  <c r="E505"/>
  <c r="G505" s="1"/>
  <c r="G76"/>
  <c r="E77"/>
  <c r="G77" s="1"/>
  <c r="D256"/>
  <c r="D184"/>
  <c r="E188"/>
  <c r="E841"/>
  <c r="D553"/>
  <c r="E165"/>
  <c r="D688"/>
  <c r="D503"/>
  <c r="E719"/>
  <c r="E557"/>
  <c r="E260"/>
  <c r="D837"/>
  <c r="E661"/>
  <c r="U9" i="6"/>
  <c r="V9"/>
  <c r="T10"/>
  <c r="E342" i="2"/>
  <c r="E345" s="1"/>
  <c r="G345" s="1"/>
  <c r="E343"/>
  <c r="E344" s="1"/>
  <c r="G344" s="1"/>
  <c r="E377"/>
  <c r="D378" s="1"/>
  <c r="F378" s="1"/>
  <c r="E415"/>
  <c r="F609"/>
  <c r="I9" i="7"/>
  <c r="K9"/>
  <c r="J9"/>
  <c r="G461" i="2"/>
  <c r="G463"/>
  <c r="G462"/>
  <c r="G313"/>
  <c r="G312"/>
  <c r="G347"/>
  <c r="G348"/>
  <c r="G424"/>
  <c r="B11" i="7"/>
  <c r="C10"/>
  <c r="G320" i="2"/>
  <c r="G318"/>
  <c r="C52" i="1"/>
  <c r="L70" i="8" l="1"/>
  <c r="M70" s="1"/>
  <c r="N70" s="1"/>
  <c r="P70"/>
  <c r="L68"/>
  <c r="M68" s="1"/>
  <c r="N68" s="1"/>
  <c r="P68"/>
  <c r="L65"/>
  <c r="M65" s="1"/>
  <c r="N65" s="1"/>
  <c r="P65"/>
  <c r="D774" i="2"/>
  <c r="F774" s="1"/>
  <c r="E777"/>
  <c r="G777" s="1"/>
  <c r="D775"/>
  <c r="D776" s="1"/>
  <c r="F776" s="1"/>
  <c r="E775"/>
  <c r="G775" s="1"/>
  <c r="E781"/>
  <c r="G781" s="1"/>
  <c r="E776"/>
  <c r="G776" s="1"/>
  <c r="G774"/>
  <c r="E779"/>
  <c r="E780" s="1"/>
  <c r="G780" s="1"/>
  <c r="H18" i="1"/>
  <c r="J18"/>
  <c r="L62" i="8"/>
  <c r="M62" s="1"/>
  <c r="N62" s="1"/>
  <c r="L73"/>
  <c r="M73" s="1"/>
  <c r="N73" s="1"/>
  <c r="P59"/>
  <c r="L61"/>
  <c r="M61" s="1"/>
  <c r="N61" s="1"/>
  <c r="L67"/>
  <c r="M67" s="1"/>
  <c r="N67" s="1"/>
  <c r="L66"/>
  <c r="M66" s="1"/>
  <c r="N66" s="1"/>
  <c r="L64"/>
  <c r="M64" s="1"/>
  <c r="N64" s="1"/>
  <c r="L63"/>
  <c r="M63" s="1"/>
  <c r="N63" s="1"/>
  <c r="E579" i="2"/>
  <c r="G579" s="1"/>
  <c r="G578"/>
  <c r="D747"/>
  <c r="F747" s="1"/>
  <c r="D748"/>
  <c r="D749" s="1"/>
  <c r="F749" s="1"/>
  <c r="E748"/>
  <c r="G748" s="1"/>
  <c r="G747"/>
  <c r="E752"/>
  <c r="E753" s="1"/>
  <c r="G753" s="1"/>
  <c r="E750"/>
  <c r="G750" s="1"/>
  <c r="E751"/>
  <c r="G751" s="1"/>
  <c r="H17" i="1"/>
  <c r="F59" i="8"/>
  <c r="E99" i="2"/>
  <c r="G99" s="1"/>
  <c r="D578"/>
  <c r="F578" s="1"/>
  <c r="E582"/>
  <c r="G582" s="1"/>
  <c r="D100"/>
  <c r="F100" s="1"/>
  <c r="D579"/>
  <c r="D584" s="1"/>
  <c r="F584" s="1"/>
  <c r="E583"/>
  <c r="E584" s="1"/>
  <c r="G584" s="1"/>
  <c r="E580"/>
  <c r="G580" s="1"/>
  <c r="Y35" i="12"/>
  <c r="Z35"/>
  <c r="X35"/>
  <c r="AA35"/>
  <c r="AB35"/>
  <c r="W35"/>
  <c r="U35"/>
  <c r="V35"/>
  <c r="U21"/>
  <c r="V21"/>
  <c r="F93" i="2"/>
  <c r="D96"/>
  <c r="F96" s="1"/>
  <c r="F74" i="8"/>
  <c r="F75"/>
  <c r="F69"/>
  <c r="F72"/>
  <c r="F78"/>
  <c r="F71"/>
  <c r="C51" i="1"/>
  <c r="J41" i="11"/>
  <c r="H41"/>
  <c r="L39"/>
  <c r="M39" s="1"/>
  <c r="F39" s="1"/>
  <c r="D212" i="2"/>
  <c r="F212" s="1"/>
  <c r="G137"/>
  <c r="E140"/>
  <c r="G140" s="1"/>
  <c r="E141"/>
  <c r="G141" s="1"/>
  <c r="E139"/>
  <c r="G139" s="1"/>
  <c r="E138"/>
  <c r="G138" s="1"/>
  <c r="D137"/>
  <c r="D142" s="1"/>
  <c r="F142" s="1"/>
  <c r="D138"/>
  <c r="D143" s="1"/>
  <c r="F143" s="1"/>
  <c r="D120"/>
  <c r="F120" s="1"/>
  <c r="F113"/>
  <c r="D118"/>
  <c r="F118" s="1"/>
  <c r="D116"/>
  <c r="F116" s="1"/>
  <c r="C138"/>
  <c r="E116"/>
  <c r="G116" s="1"/>
  <c r="E114"/>
  <c r="G114" s="1"/>
  <c r="E115"/>
  <c r="G115" s="1"/>
  <c r="G113"/>
  <c r="G41" i="11"/>
  <c r="L40"/>
  <c r="M40" s="1"/>
  <c r="G39" s="1"/>
  <c r="L16"/>
  <c r="M16" s="1"/>
  <c r="G15" s="1"/>
  <c r="G17"/>
  <c r="F17"/>
  <c r="L15"/>
  <c r="M15" s="1"/>
  <c r="F15" s="1"/>
  <c r="G29"/>
  <c r="L27"/>
  <c r="M27" s="1"/>
  <c r="F27" s="1"/>
  <c r="F29"/>
  <c r="L28"/>
  <c r="M28" s="1"/>
  <c r="G27" s="1"/>
  <c r="L24"/>
  <c r="M24" s="1"/>
  <c r="G23" s="1"/>
  <c r="G25"/>
  <c r="F25"/>
  <c r="L23"/>
  <c r="M23" s="1"/>
  <c r="F23" s="1"/>
  <c r="G9"/>
  <c r="L8"/>
  <c r="M8" s="1"/>
  <c r="G7" s="1"/>
  <c r="L7"/>
  <c r="M7" s="1"/>
  <c r="F7" s="1"/>
  <c r="L36"/>
  <c r="M36" s="1"/>
  <c r="G35" s="1"/>
  <c r="L35"/>
  <c r="M35" s="1"/>
  <c r="F35" s="1"/>
  <c r="G37"/>
  <c r="F37"/>
  <c r="G13"/>
  <c r="F13"/>
  <c r="L11"/>
  <c r="M11" s="1"/>
  <c r="F11" s="1"/>
  <c r="L12"/>
  <c r="M12" s="1"/>
  <c r="G11" s="1"/>
  <c r="L32"/>
  <c r="M32" s="1"/>
  <c r="G31" s="1"/>
  <c r="G33"/>
  <c r="F33"/>
  <c r="L31"/>
  <c r="M31" s="1"/>
  <c r="F31" s="1"/>
  <c r="G21"/>
  <c r="L19"/>
  <c r="M19" s="1"/>
  <c r="F19" s="1"/>
  <c r="F21"/>
  <c r="L20"/>
  <c r="M20" s="1"/>
  <c r="G19" s="1"/>
  <c r="E51"/>
  <c r="E48"/>
  <c r="Z39"/>
  <c r="Z36" s="1"/>
  <c r="V39"/>
  <c r="V36" s="1"/>
  <c r="AB39"/>
  <c r="AB36" s="1"/>
  <c r="X39"/>
  <c r="X36" s="1"/>
  <c r="G45"/>
  <c r="F45"/>
  <c r="L43"/>
  <c r="M43" s="1"/>
  <c r="F43" s="1"/>
  <c r="L44"/>
  <c r="M44" s="1"/>
  <c r="G43" s="1"/>
  <c r="P72" i="10"/>
  <c r="Q67"/>
  <c r="R67"/>
  <c r="X67" s="1"/>
  <c r="W61"/>
  <c r="U61"/>
  <c r="T61" s="1"/>
  <c r="Q56"/>
  <c r="R56"/>
  <c r="X56" s="1"/>
  <c r="Y49"/>
  <c r="W50"/>
  <c r="D13" i="6"/>
  <c r="D14" s="1"/>
  <c r="H13"/>
  <c r="F72" i="2"/>
  <c r="D841"/>
  <c r="F841" s="1"/>
  <c r="F836"/>
  <c r="D843"/>
  <c r="F843" s="1"/>
  <c r="D216"/>
  <c r="F216" s="1"/>
  <c r="D214"/>
  <c r="F214" s="1"/>
  <c r="G279"/>
  <c r="D279"/>
  <c r="D284" s="1"/>
  <c r="F284" s="1"/>
  <c r="E284"/>
  <c r="E285" s="1"/>
  <c r="G285" s="1"/>
  <c r="G453"/>
  <c r="D340"/>
  <c r="F340" s="1"/>
  <c r="D454"/>
  <c r="F454" s="1"/>
  <c r="G779"/>
  <c r="D74"/>
  <c r="F74" s="1"/>
  <c r="F339"/>
  <c r="E458"/>
  <c r="E459" s="1"/>
  <c r="G459" s="1"/>
  <c r="E455"/>
  <c r="G455" s="1"/>
  <c r="D342"/>
  <c r="F342" s="1"/>
  <c r="D167"/>
  <c r="F167" s="1"/>
  <c r="F71"/>
  <c r="G637"/>
  <c r="E78"/>
  <c r="G78" s="1"/>
  <c r="E457"/>
  <c r="E460" s="1"/>
  <c r="G460" s="1"/>
  <c r="E456"/>
  <c r="G456" s="1"/>
  <c r="E454"/>
  <c r="G454" s="1"/>
  <c r="F160"/>
  <c r="D78"/>
  <c r="F78" s="1"/>
  <c r="E280"/>
  <c r="G280" s="1"/>
  <c r="D280"/>
  <c r="D281" s="1"/>
  <c r="F281" s="1"/>
  <c r="D165"/>
  <c r="F165" s="1"/>
  <c r="E281"/>
  <c r="G281" s="1"/>
  <c r="D306"/>
  <c r="F306" s="1"/>
  <c r="G72"/>
  <c r="F303"/>
  <c r="E217"/>
  <c r="G217" s="1"/>
  <c r="D215"/>
  <c r="F215" s="1"/>
  <c r="D345"/>
  <c r="F345" s="1"/>
  <c r="G215"/>
  <c r="D213"/>
  <c r="F213" s="1"/>
  <c r="G339"/>
  <c r="D343"/>
  <c r="F343" s="1"/>
  <c r="D75"/>
  <c r="F75" s="1"/>
  <c r="F338"/>
  <c r="D217"/>
  <c r="F217" s="1"/>
  <c r="D77"/>
  <c r="F77" s="1"/>
  <c r="B3" i="4"/>
  <c r="M20" s="1"/>
  <c r="C40" i="1"/>
  <c r="G283" i="2"/>
  <c r="C41" i="1"/>
  <c r="D305" i="2"/>
  <c r="F305" s="1"/>
  <c r="E306"/>
  <c r="G306" s="1"/>
  <c r="G693"/>
  <c r="F304"/>
  <c r="D810"/>
  <c r="F810" s="1"/>
  <c r="G308"/>
  <c r="G307"/>
  <c r="G812"/>
  <c r="D95"/>
  <c r="F95" s="1"/>
  <c r="D99"/>
  <c r="F99" s="1"/>
  <c r="F94"/>
  <c r="F226"/>
  <c r="G97"/>
  <c r="E143"/>
  <c r="G143" s="1"/>
  <c r="G142"/>
  <c r="D230"/>
  <c r="F230" s="1"/>
  <c r="F808"/>
  <c r="D637"/>
  <c r="F637" s="1"/>
  <c r="F633"/>
  <c r="D228"/>
  <c r="F228" s="1"/>
  <c r="D814"/>
  <c r="F814" s="1"/>
  <c r="E814"/>
  <c r="G814" s="1"/>
  <c r="E509"/>
  <c r="G509" s="1"/>
  <c r="D229"/>
  <c r="F229" s="1"/>
  <c r="F225"/>
  <c r="D812"/>
  <c r="F812" s="1"/>
  <c r="D227"/>
  <c r="F227" s="1"/>
  <c r="F658"/>
  <c r="D717"/>
  <c r="F717" s="1"/>
  <c r="G229"/>
  <c r="E231"/>
  <c r="G231" s="1"/>
  <c r="D813"/>
  <c r="F813" s="1"/>
  <c r="F632"/>
  <c r="D636"/>
  <c r="F636" s="1"/>
  <c r="D659"/>
  <c r="F659" s="1"/>
  <c r="F716"/>
  <c r="G636"/>
  <c r="F161"/>
  <c r="F307"/>
  <c r="F308"/>
  <c r="D166"/>
  <c r="F166" s="1"/>
  <c r="D811"/>
  <c r="F811" s="1"/>
  <c r="D635"/>
  <c r="F635" s="1"/>
  <c r="D634"/>
  <c r="F634" s="1"/>
  <c r="D663"/>
  <c r="F663" s="1"/>
  <c r="D721"/>
  <c r="F721" s="1"/>
  <c r="D164"/>
  <c r="F164" s="1"/>
  <c r="F837"/>
  <c r="D838"/>
  <c r="F838" s="1"/>
  <c r="D840"/>
  <c r="F840" s="1"/>
  <c r="D842"/>
  <c r="F842" s="1"/>
  <c r="G557"/>
  <c r="E560"/>
  <c r="G560" s="1"/>
  <c r="D508"/>
  <c r="F508" s="1"/>
  <c r="D510"/>
  <c r="F510" s="1"/>
  <c r="F503"/>
  <c r="D506"/>
  <c r="F506" s="1"/>
  <c r="E166"/>
  <c r="G166" s="1"/>
  <c r="G165"/>
  <c r="E191"/>
  <c r="G191" s="1"/>
  <c r="G188"/>
  <c r="D259"/>
  <c r="F259" s="1"/>
  <c r="D261"/>
  <c r="F261" s="1"/>
  <c r="D257"/>
  <c r="F257" s="1"/>
  <c r="F256"/>
  <c r="G504"/>
  <c r="E506"/>
  <c r="G506" s="1"/>
  <c r="G507"/>
  <c r="E510"/>
  <c r="G510" s="1"/>
  <c r="E262"/>
  <c r="G262" s="1"/>
  <c r="G259"/>
  <c r="D694"/>
  <c r="F694" s="1"/>
  <c r="D690"/>
  <c r="F690" s="1"/>
  <c r="F689"/>
  <c r="D692"/>
  <c r="F692" s="1"/>
  <c r="D557"/>
  <c r="F557" s="1"/>
  <c r="D559"/>
  <c r="F559" s="1"/>
  <c r="D555"/>
  <c r="F555" s="1"/>
  <c r="F554"/>
  <c r="D190"/>
  <c r="F190" s="1"/>
  <c r="D188"/>
  <c r="F188" s="1"/>
  <c r="D186"/>
  <c r="F186" s="1"/>
  <c r="F185"/>
  <c r="G554"/>
  <c r="E556"/>
  <c r="G556" s="1"/>
  <c r="G661"/>
  <c r="E664"/>
  <c r="G664" s="1"/>
  <c r="E261"/>
  <c r="G261" s="1"/>
  <c r="G260"/>
  <c r="E722"/>
  <c r="G722" s="1"/>
  <c r="G719"/>
  <c r="D695"/>
  <c r="F695" s="1"/>
  <c r="D693"/>
  <c r="F693" s="1"/>
  <c r="D691"/>
  <c r="F691" s="1"/>
  <c r="F688"/>
  <c r="D560"/>
  <c r="F560" s="1"/>
  <c r="D558"/>
  <c r="F558" s="1"/>
  <c r="D556"/>
  <c r="F556" s="1"/>
  <c r="F553"/>
  <c r="E842"/>
  <c r="G842" s="1"/>
  <c r="G841"/>
  <c r="F184"/>
  <c r="D187"/>
  <c r="F187" s="1"/>
  <c r="D191"/>
  <c r="F191" s="1"/>
  <c r="D189"/>
  <c r="F189" s="1"/>
  <c r="F657"/>
  <c r="D662"/>
  <c r="F662" s="1"/>
  <c r="D660"/>
  <c r="F660" s="1"/>
  <c r="D664"/>
  <c r="F664" s="1"/>
  <c r="F715"/>
  <c r="D718"/>
  <c r="F718" s="1"/>
  <c r="D722"/>
  <c r="F722" s="1"/>
  <c r="D720"/>
  <c r="F720" s="1"/>
  <c r="G558"/>
  <c r="E559"/>
  <c r="G559" s="1"/>
  <c r="E167"/>
  <c r="G167" s="1"/>
  <c r="G164"/>
  <c r="E843"/>
  <c r="G843" s="1"/>
  <c r="G840"/>
  <c r="D260"/>
  <c r="F260" s="1"/>
  <c r="F255"/>
  <c r="D262"/>
  <c r="F262" s="1"/>
  <c r="D258"/>
  <c r="F258" s="1"/>
  <c r="D377"/>
  <c r="F377" s="1"/>
  <c r="E382"/>
  <c r="E383" s="1"/>
  <c r="G383" s="1"/>
  <c r="U10" i="6"/>
  <c r="V10"/>
  <c r="T11"/>
  <c r="G343" i="2"/>
  <c r="G342"/>
  <c r="D415"/>
  <c r="D416"/>
  <c r="E381"/>
  <c r="E384" s="1"/>
  <c r="E420"/>
  <c r="E419"/>
  <c r="E416"/>
  <c r="E417"/>
  <c r="G417" s="1"/>
  <c r="G415"/>
  <c r="E379"/>
  <c r="G379" s="1"/>
  <c r="E378"/>
  <c r="G377"/>
  <c r="D383"/>
  <c r="F383" s="1"/>
  <c r="D379"/>
  <c r="F379" s="1"/>
  <c r="D381"/>
  <c r="F381" s="1"/>
  <c r="F610"/>
  <c r="D613"/>
  <c r="F613" s="1"/>
  <c r="D611"/>
  <c r="F611" s="1"/>
  <c r="D615"/>
  <c r="F615" s="1"/>
  <c r="E616"/>
  <c r="G616" s="1"/>
  <c r="D614"/>
  <c r="F614" s="1"/>
  <c r="D612"/>
  <c r="F612" s="1"/>
  <c r="D616"/>
  <c r="F616" s="1"/>
  <c r="E615"/>
  <c r="G615" s="1"/>
  <c r="G614"/>
  <c r="F453"/>
  <c r="D460"/>
  <c r="F460" s="1"/>
  <c r="D458"/>
  <c r="F458" s="1"/>
  <c r="D456"/>
  <c r="F456" s="1"/>
  <c r="B12" i="7"/>
  <c r="C11"/>
  <c r="D11" s="1"/>
  <c r="D10"/>
  <c r="F8"/>
  <c r="J8" s="1"/>
  <c r="L78" i="8" l="1"/>
  <c r="M78" s="1"/>
  <c r="N78" s="1"/>
  <c r="P78"/>
  <c r="L69"/>
  <c r="M69" s="1"/>
  <c r="N69" s="1"/>
  <c r="P69"/>
  <c r="L74"/>
  <c r="M74" s="1"/>
  <c r="N74" s="1"/>
  <c r="P74"/>
  <c r="L71"/>
  <c r="M71" s="1"/>
  <c r="N71" s="1"/>
  <c r="P71"/>
  <c r="L72"/>
  <c r="M72" s="1"/>
  <c r="N72" s="1"/>
  <c r="P72"/>
  <c r="L75"/>
  <c r="M75" s="1"/>
  <c r="N75" s="1"/>
  <c r="P75"/>
  <c r="D781" i="2"/>
  <c r="F781" s="1"/>
  <c r="D779"/>
  <c r="F779" s="1"/>
  <c r="D778"/>
  <c r="F778" s="1"/>
  <c r="D777"/>
  <c r="F777" s="1"/>
  <c r="F775"/>
  <c r="D780"/>
  <c r="F780" s="1"/>
  <c r="G752"/>
  <c r="E754"/>
  <c r="G754" s="1"/>
  <c r="G7" i="6"/>
  <c r="H7" s="1"/>
  <c r="D752" i="2"/>
  <c r="F752" s="1"/>
  <c r="D750"/>
  <c r="F750" s="1"/>
  <c r="F579"/>
  <c r="D754"/>
  <c r="F754" s="1"/>
  <c r="D751"/>
  <c r="F751" s="1"/>
  <c r="D753"/>
  <c r="F753" s="1"/>
  <c r="F748"/>
  <c r="D580"/>
  <c r="F580" s="1"/>
  <c r="D582"/>
  <c r="F582" s="1"/>
  <c r="E585"/>
  <c r="G585" s="1"/>
  <c r="D585"/>
  <c r="F585" s="1"/>
  <c r="D581"/>
  <c r="F581" s="1"/>
  <c r="D583"/>
  <c r="F583" s="1"/>
  <c r="G583"/>
  <c r="Y36" i="12"/>
  <c r="Z36"/>
  <c r="X36"/>
  <c r="AA36"/>
  <c r="AB36"/>
  <c r="W36"/>
  <c r="U36"/>
  <c r="V36"/>
  <c r="U22"/>
  <c r="V22"/>
  <c r="O20" i="4"/>
  <c r="G17" i="1"/>
  <c r="C1" i="4"/>
  <c r="G18" i="1"/>
  <c r="Y42" i="10"/>
  <c r="AA42" s="1"/>
  <c r="Y30"/>
  <c r="Z25" s="1"/>
  <c r="G13" i="6"/>
  <c r="G14" s="1"/>
  <c r="D24" i="11"/>
  <c r="Y36" i="10"/>
  <c r="Z31" s="1"/>
  <c r="Y24"/>
  <c r="Z24" s="1"/>
  <c r="Y18"/>
  <c r="AA18" s="1"/>
  <c r="H15" i="6"/>
  <c r="I45" i="11"/>
  <c r="K45"/>
  <c r="J21"/>
  <c r="H21"/>
  <c r="I21"/>
  <c r="K21"/>
  <c r="J33"/>
  <c r="H33"/>
  <c r="I13"/>
  <c r="K13"/>
  <c r="I37"/>
  <c r="K37"/>
  <c r="K25"/>
  <c r="I25"/>
  <c r="K17"/>
  <c r="I17"/>
  <c r="J45"/>
  <c r="H45"/>
  <c r="K33"/>
  <c r="I33"/>
  <c r="J13"/>
  <c r="H13"/>
  <c r="J37"/>
  <c r="H37"/>
  <c r="J25"/>
  <c r="H25"/>
  <c r="J29"/>
  <c r="H29"/>
  <c r="I29"/>
  <c r="K29"/>
  <c r="J17"/>
  <c r="H17"/>
  <c r="K41"/>
  <c r="I41"/>
  <c r="N39" s="1"/>
  <c r="U39"/>
  <c r="T39"/>
  <c r="AC39"/>
  <c r="AC36" s="1"/>
  <c r="F2"/>
  <c r="F4" s="1"/>
  <c r="F3"/>
  <c r="F5" s="1"/>
  <c r="I9"/>
  <c r="AA39"/>
  <c r="AA36" s="1"/>
  <c r="D144" i="2"/>
  <c r="F144" s="1"/>
  <c r="E144"/>
  <c r="G144" s="1"/>
  <c r="F138"/>
  <c r="Y39" i="11"/>
  <c r="Y36" s="1"/>
  <c r="D141" i="2"/>
  <c r="F141" s="1"/>
  <c r="W39" i="11"/>
  <c r="W36" s="1"/>
  <c r="D139" i="2"/>
  <c r="F139" s="1"/>
  <c r="D140"/>
  <c r="F140" s="1"/>
  <c r="F137"/>
  <c r="D119"/>
  <c r="F119" s="1"/>
  <c r="D117"/>
  <c r="F117" s="1"/>
  <c r="D115"/>
  <c r="F115" s="1"/>
  <c r="F114"/>
  <c r="E120"/>
  <c r="G120" s="1"/>
  <c r="G117"/>
  <c r="G118"/>
  <c r="E119"/>
  <c r="G119" s="1"/>
  <c r="Z19" i="11"/>
  <c r="Z16" s="1"/>
  <c r="V19"/>
  <c r="V16" s="1"/>
  <c r="AB19"/>
  <c r="AB16" s="1"/>
  <c r="X19"/>
  <c r="X16" s="1"/>
  <c r="AC19"/>
  <c r="AC16" s="1"/>
  <c r="W19"/>
  <c r="W16" s="1"/>
  <c r="Y19"/>
  <c r="Y16" s="1"/>
  <c r="AA19"/>
  <c r="AA16" s="1"/>
  <c r="X31"/>
  <c r="X28" s="1"/>
  <c r="V31"/>
  <c r="V28" s="1"/>
  <c r="AB31"/>
  <c r="AB28" s="1"/>
  <c r="Z31"/>
  <c r="Z28" s="1"/>
  <c r="AA11"/>
  <c r="AA8" s="1"/>
  <c r="AC11"/>
  <c r="AC8" s="1"/>
  <c r="W11"/>
  <c r="W8" s="1"/>
  <c r="Y11"/>
  <c r="Y8" s="1"/>
  <c r="AA35"/>
  <c r="AA32" s="1"/>
  <c r="AC35"/>
  <c r="AC32" s="1"/>
  <c r="W35"/>
  <c r="W32" s="1"/>
  <c r="Y35"/>
  <c r="Y32" s="1"/>
  <c r="X7"/>
  <c r="V7"/>
  <c r="J9"/>
  <c r="AB7"/>
  <c r="Z7"/>
  <c r="AA7"/>
  <c r="W7"/>
  <c r="AC7"/>
  <c r="Y7"/>
  <c r="K9"/>
  <c r="V23"/>
  <c r="V20" s="1"/>
  <c r="X23"/>
  <c r="X20" s="1"/>
  <c r="Z23"/>
  <c r="Z20" s="1"/>
  <c r="AB23"/>
  <c r="AB20" s="1"/>
  <c r="Z27"/>
  <c r="Z24" s="1"/>
  <c r="V27"/>
  <c r="V24" s="1"/>
  <c r="AB27"/>
  <c r="AB24" s="1"/>
  <c r="X27"/>
  <c r="X24" s="1"/>
  <c r="Y27"/>
  <c r="Y24" s="1"/>
  <c r="W27"/>
  <c r="W24" s="1"/>
  <c r="AC27"/>
  <c r="AC24" s="1"/>
  <c r="AA27"/>
  <c r="AA24" s="1"/>
  <c r="V15"/>
  <c r="V12" s="1"/>
  <c r="X15"/>
  <c r="X12" s="1"/>
  <c r="Z15"/>
  <c r="Z12" s="1"/>
  <c r="AB15"/>
  <c r="AB12" s="1"/>
  <c r="AA31"/>
  <c r="AA28" s="1"/>
  <c r="W31"/>
  <c r="W28" s="1"/>
  <c r="AC31"/>
  <c r="AC28" s="1"/>
  <c r="Y31"/>
  <c r="Y28" s="1"/>
  <c r="Z11"/>
  <c r="Z8" s="1"/>
  <c r="V11"/>
  <c r="V8" s="1"/>
  <c r="AB11"/>
  <c r="AB8" s="1"/>
  <c r="X11"/>
  <c r="X8" s="1"/>
  <c r="AB35"/>
  <c r="AB32" s="1"/>
  <c r="X35"/>
  <c r="X32" s="1"/>
  <c r="Z35"/>
  <c r="Z32" s="1"/>
  <c r="V35"/>
  <c r="V32" s="1"/>
  <c r="AA23"/>
  <c r="AA20" s="1"/>
  <c r="W23"/>
  <c r="W20" s="1"/>
  <c r="AC23"/>
  <c r="AC20" s="1"/>
  <c r="Y23"/>
  <c r="Y20" s="1"/>
  <c r="AA15"/>
  <c r="AA12" s="1"/>
  <c r="W15"/>
  <c r="W12" s="1"/>
  <c r="AC15"/>
  <c r="AC12" s="1"/>
  <c r="Y15"/>
  <c r="Y12" s="1"/>
  <c r="AB43"/>
  <c r="AB40" s="1"/>
  <c r="Z43"/>
  <c r="Z40" s="1"/>
  <c r="X43"/>
  <c r="X40" s="1"/>
  <c r="V43"/>
  <c r="V40" s="1"/>
  <c r="E52"/>
  <c r="E55"/>
  <c r="AC43"/>
  <c r="AC40" s="1"/>
  <c r="Y43"/>
  <c r="Y40" s="1"/>
  <c r="AA43"/>
  <c r="AA40" s="1"/>
  <c r="W43"/>
  <c r="W40" s="1"/>
  <c r="F49"/>
  <c r="L48"/>
  <c r="M48" s="1"/>
  <c r="G47" s="1"/>
  <c r="L47"/>
  <c r="M47" s="1"/>
  <c r="F47" s="1"/>
  <c r="G49"/>
  <c r="D286" i="2"/>
  <c r="F286" s="1"/>
  <c r="Y48" i="10"/>
  <c r="Z43" s="1"/>
  <c r="Q62"/>
  <c r="R62"/>
  <c r="X62" s="1"/>
  <c r="Q73"/>
  <c r="R73"/>
  <c r="X73" s="1"/>
  <c r="P78"/>
  <c r="W56"/>
  <c r="Y55"/>
  <c r="U67"/>
  <c r="T67" s="1"/>
  <c r="W67"/>
  <c r="N20" i="4"/>
  <c r="D283" i="2"/>
  <c r="F283" s="1"/>
  <c r="D384"/>
  <c r="F384" s="1"/>
  <c r="D455"/>
  <c r="F455" s="1"/>
  <c r="F279"/>
  <c r="D282"/>
  <c r="F282" s="1"/>
  <c r="G284"/>
  <c r="G457"/>
  <c r="D459"/>
  <c r="F459" s="1"/>
  <c r="G458"/>
  <c r="D457"/>
  <c r="F457" s="1"/>
  <c r="F280"/>
  <c r="E282"/>
  <c r="G282" s="1"/>
  <c r="N7" i="4"/>
  <c r="N10"/>
  <c r="F8" i="8"/>
  <c r="D382" i="2"/>
  <c r="F382" s="1"/>
  <c r="D380"/>
  <c r="F380" s="1"/>
  <c r="U11" i="6"/>
  <c r="V11"/>
  <c r="T12"/>
  <c r="G382" i="2"/>
  <c r="G384"/>
  <c r="G381"/>
  <c r="E380"/>
  <c r="G380" s="1"/>
  <c r="G378"/>
  <c r="D419"/>
  <c r="F419" s="1"/>
  <c r="D417"/>
  <c r="F417" s="1"/>
  <c r="D421"/>
  <c r="F421" s="1"/>
  <c r="F416"/>
  <c r="E422"/>
  <c r="G422" s="1"/>
  <c r="G419"/>
  <c r="D420"/>
  <c r="F420" s="1"/>
  <c r="D418"/>
  <c r="F418" s="1"/>
  <c r="D422"/>
  <c r="F422" s="1"/>
  <c r="F415"/>
  <c r="E418"/>
  <c r="G418" s="1"/>
  <c r="G416"/>
  <c r="E421"/>
  <c r="G421" s="1"/>
  <c r="G420"/>
  <c r="I11" i="7"/>
  <c r="K11"/>
  <c r="J11"/>
  <c r="I10"/>
  <c r="K10"/>
  <c r="J10"/>
  <c r="B13"/>
  <c r="C12"/>
  <c r="D12" s="1"/>
  <c r="Y37" i="12" l="1"/>
  <c r="Z37"/>
  <c r="X37"/>
  <c r="AA37"/>
  <c r="AB37"/>
  <c r="W37"/>
  <c r="U37"/>
  <c r="V37"/>
  <c r="V23"/>
  <c r="U23"/>
  <c r="T20" i="4"/>
  <c r="O26"/>
  <c r="O25"/>
  <c r="O27"/>
  <c r="G15" i="6"/>
  <c r="Z18" i="10"/>
  <c r="AA37"/>
  <c r="Z37"/>
  <c r="Z36"/>
  <c r="AA24"/>
  <c r="Z13"/>
  <c r="Z42"/>
  <c r="AA31"/>
  <c r="AA13"/>
  <c r="AA36"/>
  <c r="Z30"/>
  <c r="AA30"/>
  <c r="AA19"/>
  <c r="AA25"/>
  <c r="Z19"/>
  <c r="J49" i="11"/>
  <c r="H49"/>
  <c r="K49"/>
  <c r="I49"/>
  <c r="N40"/>
  <c r="P40" s="1"/>
  <c r="N11"/>
  <c r="N31"/>
  <c r="T31"/>
  <c r="T19"/>
  <c r="N19"/>
  <c r="T43"/>
  <c r="N43"/>
  <c r="T15"/>
  <c r="N15"/>
  <c r="T27"/>
  <c r="N27"/>
  <c r="T23"/>
  <c r="N23"/>
  <c r="T35"/>
  <c r="N35"/>
  <c r="U31"/>
  <c r="N32"/>
  <c r="N20"/>
  <c r="P20" s="1"/>
  <c r="U19"/>
  <c r="N44"/>
  <c r="U43"/>
  <c r="U15"/>
  <c r="N16"/>
  <c r="P16" s="1"/>
  <c r="N28"/>
  <c r="U27"/>
  <c r="U23"/>
  <c r="N24"/>
  <c r="P24" s="1"/>
  <c r="N36"/>
  <c r="U35"/>
  <c r="N12"/>
  <c r="P12" s="1"/>
  <c r="U11"/>
  <c r="T11"/>
  <c r="T7"/>
  <c r="U7"/>
  <c r="N7"/>
  <c r="O7" s="1"/>
  <c r="P36"/>
  <c r="N8"/>
  <c r="P8" s="1"/>
  <c r="P28"/>
  <c r="P32"/>
  <c r="P44"/>
  <c r="AC47"/>
  <c r="AC44" s="1"/>
  <c r="AA47"/>
  <c r="AA44" s="1"/>
  <c r="Y47"/>
  <c r="Y44" s="1"/>
  <c r="W47"/>
  <c r="W44" s="1"/>
  <c r="E59"/>
  <c r="E56"/>
  <c r="AB47"/>
  <c r="AB44" s="1"/>
  <c r="X47"/>
  <c r="X44" s="1"/>
  <c r="Z47"/>
  <c r="Z44" s="1"/>
  <c r="V47"/>
  <c r="V44" s="1"/>
  <c r="G53"/>
  <c r="L52"/>
  <c r="M52" s="1"/>
  <c r="G51" s="1"/>
  <c r="F53"/>
  <c r="L51"/>
  <c r="M51" s="1"/>
  <c r="F51" s="1"/>
  <c r="Z48" i="10"/>
  <c r="AA48"/>
  <c r="AA43"/>
  <c r="D285" i="2"/>
  <c r="F285" s="1"/>
  <c r="P84" i="10"/>
  <c r="R79"/>
  <c r="X79" s="1"/>
  <c r="Q79"/>
  <c r="W73"/>
  <c r="U73"/>
  <c r="T73" s="1"/>
  <c r="Y61"/>
  <c r="W62"/>
  <c r="Y54"/>
  <c r="Q68"/>
  <c r="R68"/>
  <c r="X68" s="1"/>
  <c r="G8" i="8"/>
  <c r="F9"/>
  <c r="U12" i="6"/>
  <c r="V12"/>
  <c r="T13"/>
  <c r="F12" i="7"/>
  <c r="I12"/>
  <c r="K12"/>
  <c r="J12"/>
  <c r="B14"/>
  <c r="C13"/>
  <c r="D13" s="1"/>
  <c r="Y38" i="12" l="1"/>
  <c r="Z38"/>
  <c r="X38"/>
  <c r="AA38"/>
  <c r="AB38"/>
  <c r="W38"/>
  <c r="U38"/>
  <c r="V38"/>
  <c r="U24"/>
  <c r="V24"/>
  <c r="J53" i="11"/>
  <c r="H53"/>
  <c r="I53"/>
  <c r="K53"/>
  <c r="U47"/>
  <c r="N48"/>
  <c r="P48" s="1"/>
  <c r="T47"/>
  <c r="N47"/>
  <c r="Q7"/>
  <c r="S7" s="1"/>
  <c r="AB51"/>
  <c r="AB48" s="1"/>
  <c r="Z51"/>
  <c r="Z48" s="1"/>
  <c r="X51"/>
  <c r="X48" s="1"/>
  <c r="V51"/>
  <c r="V48" s="1"/>
  <c r="AA51"/>
  <c r="AA48" s="1"/>
  <c r="W51"/>
  <c r="W48" s="1"/>
  <c r="AC51"/>
  <c r="AC48" s="1"/>
  <c r="Y51"/>
  <c r="Y48" s="1"/>
  <c r="F57"/>
  <c r="L56"/>
  <c r="M56" s="1"/>
  <c r="G55" s="1"/>
  <c r="L55"/>
  <c r="M55" s="1"/>
  <c r="F55" s="1"/>
  <c r="G57"/>
  <c r="E60"/>
  <c r="E63"/>
  <c r="AA54" i="10"/>
  <c r="Z54"/>
  <c r="AA49"/>
  <c r="Z49"/>
  <c r="R74"/>
  <c r="X74" s="1"/>
  <c r="Q74"/>
  <c r="W79"/>
  <c r="U79"/>
  <c r="T79" s="1"/>
  <c r="P90"/>
  <c r="R85"/>
  <c r="X85" s="1"/>
  <c r="Q85"/>
  <c r="W68"/>
  <c r="Y67"/>
  <c r="Y60"/>
  <c r="G9" i="8"/>
  <c r="F10"/>
  <c r="U13" i="6"/>
  <c r="V13"/>
  <c r="T14"/>
  <c r="I13" i="7"/>
  <c r="K13"/>
  <c r="J13"/>
  <c r="B15"/>
  <c r="C14"/>
  <c r="D14" s="1"/>
  <c r="Y39" i="12" l="1"/>
  <c r="Z39"/>
  <c r="X39"/>
  <c r="AA39"/>
  <c r="AA2" s="1"/>
  <c r="AB39"/>
  <c r="AB2" s="1"/>
  <c r="W39"/>
  <c r="U39"/>
  <c r="V39"/>
  <c r="U25"/>
  <c r="V25"/>
  <c r="K57" i="11"/>
  <c r="I57"/>
  <c r="J57"/>
  <c r="H57"/>
  <c r="N52"/>
  <c r="P52" s="1"/>
  <c r="U51"/>
  <c r="T51"/>
  <c r="N51"/>
  <c r="R7"/>
  <c r="Y66" i="10"/>
  <c r="AA66" s="1"/>
  <c r="G61" i="11"/>
  <c r="F61"/>
  <c r="L59"/>
  <c r="M59" s="1"/>
  <c r="F59" s="1"/>
  <c r="L60"/>
  <c r="M60" s="1"/>
  <c r="G59" s="1"/>
  <c r="Z55"/>
  <c r="Z52" s="1"/>
  <c r="V55"/>
  <c r="V52" s="1"/>
  <c r="AB55"/>
  <c r="AB52" s="1"/>
  <c r="X55"/>
  <c r="X52" s="1"/>
  <c r="E67"/>
  <c r="E64"/>
  <c r="AC55"/>
  <c r="AC52" s="1"/>
  <c r="AA55"/>
  <c r="AA52" s="1"/>
  <c r="Y55"/>
  <c r="Y52" s="1"/>
  <c r="W55"/>
  <c r="W52" s="1"/>
  <c r="Z55" i="10"/>
  <c r="AA60"/>
  <c r="AA55"/>
  <c r="Z60"/>
  <c r="U85"/>
  <c r="T85" s="1"/>
  <c r="W85"/>
  <c r="R91"/>
  <c r="X91" s="1"/>
  <c r="P96"/>
  <c r="Q91"/>
  <c r="Q80"/>
  <c r="R80"/>
  <c r="X80" s="1"/>
  <c r="Y73"/>
  <c r="W74"/>
  <c r="G10" i="8"/>
  <c r="U14" i="6"/>
  <c r="V14"/>
  <c r="T15"/>
  <c r="S15" s="1"/>
  <c r="I14" i="7"/>
  <c r="K14"/>
  <c r="J14"/>
  <c r="B16"/>
  <c r="C15"/>
  <c r="D15" s="1"/>
  <c r="U40" i="12" l="1"/>
  <c r="V40"/>
  <c r="V26"/>
  <c r="U26"/>
  <c r="I61" i="11"/>
  <c r="K61"/>
  <c r="J61"/>
  <c r="H61"/>
  <c r="U55"/>
  <c r="N56"/>
  <c r="T55"/>
  <c r="N55"/>
  <c r="Z61" i="10"/>
  <c r="Z66"/>
  <c r="AA61"/>
  <c r="E68" i="11"/>
  <c r="E71"/>
  <c r="AB59"/>
  <c r="AB56" s="1"/>
  <c r="Z59"/>
  <c r="Z56" s="1"/>
  <c r="X59"/>
  <c r="X56" s="1"/>
  <c r="V59"/>
  <c r="V56" s="1"/>
  <c r="F65"/>
  <c r="L64"/>
  <c r="M64" s="1"/>
  <c r="G63" s="1"/>
  <c r="L63"/>
  <c r="M63" s="1"/>
  <c r="F63" s="1"/>
  <c r="G65"/>
  <c r="P56"/>
  <c r="AC59"/>
  <c r="AC56" s="1"/>
  <c r="Y59"/>
  <c r="Y56" s="1"/>
  <c r="AA59"/>
  <c r="AA56" s="1"/>
  <c r="W59"/>
  <c r="W56" s="1"/>
  <c r="W91" i="10"/>
  <c r="U91"/>
  <c r="T91" s="1"/>
  <c r="R86"/>
  <c r="X86" s="1"/>
  <c r="Q86"/>
  <c r="W80"/>
  <c r="Y79"/>
  <c r="P102"/>
  <c r="Q97"/>
  <c r="R97"/>
  <c r="X97" s="1"/>
  <c r="Y72"/>
  <c r="U15" i="6"/>
  <c r="V15"/>
  <c r="T16"/>
  <c r="I15" i="7"/>
  <c r="K15"/>
  <c r="J15"/>
  <c r="B17"/>
  <c r="C16"/>
  <c r="D16" s="1"/>
  <c r="U41" i="12" l="1"/>
  <c r="V41"/>
  <c r="V27"/>
  <c r="U27"/>
  <c r="J65" i="11"/>
  <c r="H65"/>
  <c r="K65"/>
  <c r="I65"/>
  <c r="N60"/>
  <c r="U59"/>
  <c r="T59"/>
  <c r="N59"/>
  <c r="AC63"/>
  <c r="AC60" s="1"/>
  <c r="AA63"/>
  <c r="AA60" s="1"/>
  <c r="Y63"/>
  <c r="Y60" s="1"/>
  <c r="W63"/>
  <c r="W60" s="1"/>
  <c r="L68"/>
  <c r="M68" s="1"/>
  <c r="G67" s="1"/>
  <c r="L67"/>
  <c r="M67" s="1"/>
  <c r="F67" s="1"/>
  <c r="G69"/>
  <c r="F69"/>
  <c r="AB63"/>
  <c r="AB60" s="1"/>
  <c r="X63"/>
  <c r="X60" s="1"/>
  <c r="Z63"/>
  <c r="Z60" s="1"/>
  <c r="V63"/>
  <c r="V60" s="1"/>
  <c r="P60"/>
  <c r="E72"/>
  <c r="E75"/>
  <c r="Z72" i="10"/>
  <c r="AA72"/>
  <c r="Z67"/>
  <c r="AA67"/>
  <c r="P108"/>
  <c r="R103"/>
  <c r="X103" s="1"/>
  <c r="Q103"/>
  <c r="W97"/>
  <c r="U97"/>
  <c r="T97" s="1"/>
  <c r="Y85"/>
  <c r="W86"/>
  <c r="Q92"/>
  <c r="R92"/>
  <c r="X92" s="1"/>
  <c r="U16" i="6"/>
  <c r="V16"/>
  <c r="T17"/>
  <c r="I16" i="7"/>
  <c r="K16"/>
  <c r="J16"/>
  <c r="B18"/>
  <c r="C17"/>
  <c r="D17" s="1"/>
  <c r="U42" i="12" l="1"/>
  <c r="V42"/>
  <c r="I69" i="11"/>
  <c r="K69"/>
  <c r="J69"/>
  <c r="H69"/>
  <c r="U63"/>
  <c r="N64"/>
  <c r="P64" s="1"/>
  <c r="T63"/>
  <c r="N63"/>
  <c r="E76"/>
  <c r="E79"/>
  <c r="G73"/>
  <c r="F73"/>
  <c r="L72"/>
  <c r="M72" s="1"/>
  <c r="G71" s="1"/>
  <c r="L71"/>
  <c r="M71" s="1"/>
  <c r="F71" s="1"/>
  <c r="AB67"/>
  <c r="AB64" s="1"/>
  <c r="Z67"/>
  <c r="Z64" s="1"/>
  <c r="X67"/>
  <c r="X64" s="1"/>
  <c r="V67"/>
  <c r="V64" s="1"/>
  <c r="AC67"/>
  <c r="AC64" s="1"/>
  <c r="Y67"/>
  <c r="Y64" s="1"/>
  <c r="AA67"/>
  <c r="AA64" s="1"/>
  <c r="W67"/>
  <c r="W64" s="1"/>
  <c r="W92" i="10"/>
  <c r="Y91"/>
  <c r="R98"/>
  <c r="X98" s="1"/>
  <c r="Q98"/>
  <c r="W103"/>
  <c r="U103"/>
  <c r="T103" s="1"/>
  <c r="R109"/>
  <c r="X109" s="1"/>
  <c r="Q109"/>
  <c r="P114"/>
  <c r="Y84"/>
  <c r="U17" i="6"/>
  <c r="V17"/>
  <c r="T18"/>
  <c r="I17" i="7"/>
  <c r="K17"/>
  <c r="J17"/>
  <c r="B19"/>
  <c r="C18"/>
  <c r="D18" s="1"/>
  <c r="U43" i="12" l="1"/>
  <c r="V43"/>
  <c r="K73" i="11"/>
  <c r="I73"/>
  <c r="J73"/>
  <c r="H73"/>
  <c r="N68"/>
  <c r="P68" s="1"/>
  <c r="U67"/>
  <c r="T67"/>
  <c r="N67"/>
  <c r="AC71"/>
  <c r="AC68" s="1"/>
  <c r="AA71"/>
  <c r="AA68" s="1"/>
  <c r="Y71"/>
  <c r="Y68" s="1"/>
  <c r="W71"/>
  <c r="W68" s="1"/>
  <c r="L76"/>
  <c r="M76" s="1"/>
  <c r="G75" s="1"/>
  <c r="G77"/>
  <c r="F77"/>
  <c r="L75"/>
  <c r="M75" s="1"/>
  <c r="F75" s="1"/>
  <c r="X71"/>
  <c r="X68" s="1"/>
  <c r="AB71"/>
  <c r="AB68" s="1"/>
  <c r="Z71"/>
  <c r="Z68" s="1"/>
  <c r="V71"/>
  <c r="V68" s="1"/>
  <c r="E83"/>
  <c r="E80"/>
  <c r="AA84" i="10"/>
  <c r="Z84"/>
  <c r="W109"/>
  <c r="U109"/>
  <c r="T109" s="1"/>
  <c r="Y97"/>
  <c r="W98"/>
  <c r="Y90"/>
  <c r="Q104"/>
  <c r="R104"/>
  <c r="X104" s="1"/>
  <c r="P120"/>
  <c r="Q115"/>
  <c r="R115"/>
  <c r="X115" s="1"/>
  <c r="U18" i="6"/>
  <c r="V18"/>
  <c r="T19"/>
  <c r="I18" i="7"/>
  <c r="K18"/>
  <c r="J18"/>
  <c r="B20"/>
  <c r="C19"/>
  <c r="D19" s="1"/>
  <c r="U44" i="12" l="1"/>
  <c r="V44"/>
  <c r="J77" i="11"/>
  <c r="H77"/>
  <c r="I77"/>
  <c r="K77"/>
  <c r="U71"/>
  <c r="N72"/>
  <c r="P72" s="1"/>
  <c r="T71"/>
  <c r="N71"/>
  <c r="E87"/>
  <c r="E84"/>
  <c r="AA75"/>
  <c r="AA72" s="1"/>
  <c r="W75"/>
  <c r="W72" s="1"/>
  <c r="AC75"/>
  <c r="AC72" s="1"/>
  <c r="Y75"/>
  <c r="Y72" s="1"/>
  <c r="F81"/>
  <c r="L80"/>
  <c r="M80" s="1"/>
  <c r="G79" s="1"/>
  <c r="L79"/>
  <c r="M79" s="1"/>
  <c r="F79" s="1"/>
  <c r="G81"/>
  <c r="AB75"/>
  <c r="AB72" s="1"/>
  <c r="Z75"/>
  <c r="Z72" s="1"/>
  <c r="X75"/>
  <c r="X72" s="1"/>
  <c r="V75"/>
  <c r="V72" s="1"/>
  <c r="Q121" i="10"/>
  <c r="R121"/>
  <c r="X121" s="1"/>
  <c r="P126"/>
  <c r="W104"/>
  <c r="Y103"/>
  <c r="Y96"/>
  <c r="U115"/>
  <c r="T115" s="1"/>
  <c r="W115"/>
  <c r="AA90"/>
  <c r="AA85"/>
  <c r="Z90"/>
  <c r="Z85"/>
  <c r="Q110"/>
  <c r="R110"/>
  <c r="X110" s="1"/>
  <c r="U19" i="6"/>
  <c r="V19"/>
  <c r="T20"/>
  <c r="I19" i="7"/>
  <c r="K19"/>
  <c r="J19"/>
  <c r="C20"/>
  <c r="D20" s="1"/>
  <c r="B21"/>
  <c r="U45" i="12" l="1"/>
  <c r="V45"/>
  <c r="K81" i="11"/>
  <c r="I81"/>
  <c r="J81"/>
  <c r="H81"/>
  <c r="N76"/>
  <c r="P76" s="1"/>
  <c r="U75"/>
  <c r="T75"/>
  <c r="N75"/>
  <c r="AC79"/>
  <c r="AC76" s="1"/>
  <c r="AA79"/>
  <c r="AA76" s="1"/>
  <c r="Y79"/>
  <c r="Y76" s="1"/>
  <c r="W79"/>
  <c r="W76" s="1"/>
  <c r="E88"/>
  <c r="E91"/>
  <c r="AB79"/>
  <c r="AB76" s="1"/>
  <c r="Z79"/>
  <c r="Z76" s="1"/>
  <c r="V79"/>
  <c r="V76" s="1"/>
  <c r="X79"/>
  <c r="X76" s="1"/>
  <c r="L84"/>
  <c r="M84" s="1"/>
  <c r="G83" s="1"/>
  <c r="G85"/>
  <c r="F85"/>
  <c r="L83"/>
  <c r="M83" s="1"/>
  <c r="F83" s="1"/>
  <c r="Y109" i="10"/>
  <c r="W110"/>
  <c r="Q116"/>
  <c r="R116"/>
  <c r="X116" s="1"/>
  <c r="P132"/>
  <c r="R127"/>
  <c r="X127" s="1"/>
  <c r="Q127"/>
  <c r="W121"/>
  <c r="U121"/>
  <c r="T121" s="1"/>
  <c r="Z91"/>
  <c r="AA96"/>
  <c r="AA91"/>
  <c r="Z96"/>
  <c r="Y78"/>
  <c r="U20" i="6"/>
  <c r="V20"/>
  <c r="T21"/>
  <c r="S21" s="1"/>
  <c r="I20" i="7"/>
  <c r="K20"/>
  <c r="B22"/>
  <c r="C21"/>
  <c r="D21" s="1"/>
  <c r="U46" i="12" l="1"/>
  <c r="V46"/>
  <c r="J85" i="11"/>
  <c r="H85"/>
  <c r="I85"/>
  <c r="K85"/>
  <c r="U79"/>
  <c r="N80"/>
  <c r="P80" s="1"/>
  <c r="N79"/>
  <c r="T79"/>
  <c r="AB83"/>
  <c r="AB80" s="1"/>
  <c r="Z83"/>
  <c r="Z80" s="1"/>
  <c r="X83"/>
  <c r="X80" s="1"/>
  <c r="V83"/>
  <c r="V80" s="1"/>
  <c r="E95"/>
  <c r="E92"/>
  <c r="AA83"/>
  <c r="AA80" s="1"/>
  <c r="W83"/>
  <c r="W80" s="1"/>
  <c r="AC83"/>
  <c r="AC80" s="1"/>
  <c r="Y83"/>
  <c r="Y80" s="1"/>
  <c r="G89"/>
  <c r="F89"/>
  <c r="L87"/>
  <c r="M87" s="1"/>
  <c r="F87" s="1"/>
  <c r="L88"/>
  <c r="M88" s="1"/>
  <c r="G87" s="1"/>
  <c r="Y108" i="10"/>
  <c r="R122"/>
  <c r="X122" s="1"/>
  <c r="Q122"/>
  <c r="W127"/>
  <c r="U127"/>
  <c r="T127" s="1"/>
  <c r="P138"/>
  <c r="R133"/>
  <c r="X133" s="1"/>
  <c r="Q133"/>
  <c r="W116"/>
  <c r="Y115"/>
  <c r="AA78"/>
  <c r="AA73"/>
  <c r="Z78"/>
  <c r="Z73"/>
  <c r="U21" i="6"/>
  <c r="V21"/>
  <c r="T22"/>
  <c r="I21" i="7"/>
  <c r="K21"/>
  <c r="J21"/>
  <c r="B23"/>
  <c r="C22"/>
  <c r="D22" s="1"/>
  <c r="U47" i="12" l="1"/>
  <c r="V47"/>
  <c r="Y114" i="10"/>
  <c r="AA109" s="1"/>
  <c r="K89" i="11"/>
  <c r="I89"/>
  <c r="J89"/>
  <c r="H89"/>
  <c r="N84"/>
  <c r="P84" s="1"/>
  <c r="U83"/>
  <c r="T83"/>
  <c r="N83"/>
  <c r="F93"/>
  <c r="L92"/>
  <c r="M92" s="1"/>
  <c r="G91" s="1"/>
  <c r="L91"/>
  <c r="M91" s="1"/>
  <c r="F91" s="1"/>
  <c r="G93"/>
  <c r="AC87"/>
  <c r="AC84" s="1"/>
  <c r="Y87"/>
  <c r="Y84" s="1"/>
  <c r="AA87"/>
  <c r="AA84" s="1"/>
  <c r="W87"/>
  <c r="W84" s="1"/>
  <c r="AB87"/>
  <c r="AB84" s="1"/>
  <c r="Z87"/>
  <c r="Z84" s="1"/>
  <c r="X87"/>
  <c r="X84" s="1"/>
  <c r="V87"/>
  <c r="V84" s="1"/>
  <c r="E96"/>
  <c r="E99"/>
  <c r="Q128" i="10"/>
  <c r="R128"/>
  <c r="X128" s="1"/>
  <c r="Y121"/>
  <c r="W122"/>
  <c r="Z108"/>
  <c r="AA108"/>
  <c r="W133"/>
  <c r="U133"/>
  <c r="T133" s="1"/>
  <c r="P144"/>
  <c r="Q139"/>
  <c r="R139"/>
  <c r="X139" s="1"/>
  <c r="Z79"/>
  <c r="AA79"/>
  <c r="U22" i="6"/>
  <c r="V22"/>
  <c r="T23"/>
  <c r="F20" i="7"/>
  <c r="J20" s="1"/>
  <c r="I22"/>
  <c r="K22"/>
  <c r="J22"/>
  <c r="B24"/>
  <c r="C23"/>
  <c r="D23" s="1"/>
  <c r="U48" i="12" l="1"/>
  <c r="V48"/>
  <c r="AA114" i="10"/>
  <c r="Z109"/>
  <c r="Z114"/>
  <c r="J93" i="11"/>
  <c r="H93"/>
  <c r="I93"/>
  <c r="K93"/>
  <c r="U87"/>
  <c r="N88"/>
  <c r="P88" s="1"/>
  <c r="T87"/>
  <c r="N87"/>
  <c r="E103"/>
  <c r="E100"/>
  <c r="AB91"/>
  <c r="AB88" s="1"/>
  <c r="X91"/>
  <c r="X88" s="1"/>
  <c r="Z91"/>
  <c r="Z88" s="1"/>
  <c r="V91"/>
  <c r="V88" s="1"/>
  <c r="G97"/>
  <c r="L96"/>
  <c r="M96" s="1"/>
  <c r="G95" s="1"/>
  <c r="F97"/>
  <c r="L95"/>
  <c r="M95" s="1"/>
  <c r="F95" s="1"/>
  <c r="AC91"/>
  <c r="AC88" s="1"/>
  <c r="AA91"/>
  <c r="AA88" s="1"/>
  <c r="Y91"/>
  <c r="Y88" s="1"/>
  <c r="W91"/>
  <c r="W88" s="1"/>
  <c r="Y120" i="10"/>
  <c r="Z120" s="1"/>
  <c r="R134"/>
  <c r="X134" s="1"/>
  <c r="Q134"/>
  <c r="W128"/>
  <c r="Y127"/>
  <c r="U139"/>
  <c r="T139" s="1"/>
  <c r="W139"/>
  <c r="P150"/>
  <c r="Q145"/>
  <c r="R145"/>
  <c r="X145" s="1"/>
  <c r="U23" i="6"/>
  <c r="V23"/>
  <c r="T24"/>
  <c r="I23" i="7"/>
  <c r="K23"/>
  <c r="J23"/>
  <c r="B25"/>
  <c r="C24"/>
  <c r="D24" s="1"/>
  <c r="U49" i="12" l="1"/>
  <c r="V49"/>
  <c r="J97" i="11"/>
  <c r="H97"/>
  <c r="K97"/>
  <c r="I97"/>
  <c r="N92"/>
  <c r="P92" s="1"/>
  <c r="U91"/>
  <c r="T91"/>
  <c r="N91"/>
  <c r="E104"/>
  <c r="E107"/>
  <c r="AB95"/>
  <c r="AB92" s="1"/>
  <c r="Z95"/>
  <c r="Z92" s="1"/>
  <c r="X95"/>
  <c r="X92" s="1"/>
  <c r="V95"/>
  <c r="V92" s="1"/>
  <c r="AA95"/>
  <c r="AA92" s="1"/>
  <c r="W95"/>
  <c r="W92" s="1"/>
  <c r="AC95"/>
  <c r="AC92" s="1"/>
  <c r="Y95"/>
  <c r="Y92" s="1"/>
  <c r="F101"/>
  <c r="L100"/>
  <c r="M100" s="1"/>
  <c r="G99" s="1"/>
  <c r="L99"/>
  <c r="M99" s="1"/>
  <c r="F99" s="1"/>
  <c r="G101"/>
  <c r="AA115" i="10"/>
  <c r="AA120"/>
  <c r="Z115"/>
  <c r="Q140"/>
  <c r="R140"/>
  <c r="X140" s="1"/>
  <c r="P156"/>
  <c r="Q151"/>
  <c r="R151"/>
  <c r="X151" s="1"/>
  <c r="W145"/>
  <c r="U145"/>
  <c r="T145" s="1"/>
  <c r="Y133"/>
  <c r="W134"/>
  <c r="U24" i="6"/>
  <c r="V24"/>
  <c r="T25"/>
  <c r="F24" i="7"/>
  <c r="J24" s="1"/>
  <c r="I24"/>
  <c r="K24"/>
  <c r="B26"/>
  <c r="C25"/>
  <c r="D25" s="1"/>
  <c r="U50" i="12" l="1"/>
  <c r="V50"/>
  <c r="Y132" i="10"/>
  <c r="Z132" s="1"/>
  <c r="I101" i="11"/>
  <c r="K101"/>
  <c r="J101"/>
  <c r="H101"/>
  <c r="U95"/>
  <c r="N96"/>
  <c r="P96" s="1"/>
  <c r="T95"/>
  <c r="N95"/>
  <c r="AC99"/>
  <c r="AC96" s="1"/>
  <c r="AA99"/>
  <c r="AA96" s="1"/>
  <c r="Y99"/>
  <c r="Y96" s="1"/>
  <c r="W99"/>
  <c r="W96" s="1"/>
  <c r="G105"/>
  <c r="F105"/>
  <c r="L103"/>
  <c r="M103" s="1"/>
  <c r="F103" s="1"/>
  <c r="L104"/>
  <c r="M104" s="1"/>
  <c r="G103" s="1"/>
  <c r="Z99"/>
  <c r="Z96" s="1"/>
  <c r="V99"/>
  <c r="V96" s="1"/>
  <c r="AB99"/>
  <c r="AB96" s="1"/>
  <c r="X99"/>
  <c r="X96" s="1"/>
  <c r="E111"/>
  <c r="E108"/>
  <c r="Q146" i="10"/>
  <c r="R146"/>
  <c r="X146" s="1"/>
  <c r="R157"/>
  <c r="X157" s="1"/>
  <c r="Q157"/>
  <c r="P162"/>
  <c r="W140"/>
  <c r="Y139"/>
  <c r="W151"/>
  <c r="U151"/>
  <c r="T151" s="1"/>
  <c r="Y102"/>
  <c r="U25" i="6"/>
  <c r="V25"/>
  <c r="T26"/>
  <c r="I25" i="7"/>
  <c r="K25"/>
  <c r="J25"/>
  <c r="B27"/>
  <c r="C26"/>
  <c r="D26" s="1"/>
  <c r="U51" i="12" l="1"/>
  <c r="V51"/>
  <c r="AA127" i="10"/>
  <c r="Z127"/>
  <c r="AA132"/>
  <c r="Y138"/>
  <c r="AA138" s="1"/>
  <c r="K105" i="11"/>
  <c r="I105"/>
  <c r="J105"/>
  <c r="H105"/>
  <c r="N100"/>
  <c r="P100" s="1"/>
  <c r="U99"/>
  <c r="T99"/>
  <c r="N99"/>
  <c r="E112"/>
  <c r="E115"/>
  <c r="AB103"/>
  <c r="AB100" s="1"/>
  <c r="Z103"/>
  <c r="Z100" s="1"/>
  <c r="X103"/>
  <c r="X100" s="1"/>
  <c r="V103"/>
  <c r="V100" s="1"/>
  <c r="F109"/>
  <c r="L108"/>
  <c r="M108" s="1"/>
  <c r="G107" s="1"/>
  <c r="L107"/>
  <c r="M107" s="1"/>
  <c r="F107" s="1"/>
  <c r="G109"/>
  <c r="AC103"/>
  <c r="AC100" s="1"/>
  <c r="Y103"/>
  <c r="Y100" s="1"/>
  <c r="AA103"/>
  <c r="AA100" s="1"/>
  <c r="W103"/>
  <c r="W100" s="1"/>
  <c r="P168" i="10"/>
  <c r="Q163"/>
  <c r="R163"/>
  <c r="X163" s="1"/>
  <c r="Y145"/>
  <c r="W146"/>
  <c r="Q152"/>
  <c r="R152"/>
  <c r="X152" s="1"/>
  <c r="W157"/>
  <c r="U157"/>
  <c r="T157" s="1"/>
  <c r="Z102"/>
  <c r="Z97"/>
  <c r="AA102"/>
  <c r="AA97"/>
  <c r="U26" i="6"/>
  <c r="V26"/>
  <c r="T27"/>
  <c r="S27" s="1"/>
  <c r="I26" i="7"/>
  <c r="K26"/>
  <c r="J26"/>
  <c r="B28"/>
  <c r="C28" s="1"/>
  <c r="D28" s="1"/>
  <c r="C27"/>
  <c r="D27" s="1"/>
  <c r="U52" i="12" l="1"/>
  <c r="V52"/>
  <c r="AA133" i="10"/>
  <c r="Z138"/>
  <c r="Z133"/>
  <c r="J109" i="11"/>
  <c r="H109"/>
  <c r="I109"/>
  <c r="K109"/>
  <c r="U103"/>
  <c r="N104"/>
  <c r="P104" s="1"/>
  <c r="T103"/>
  <c r="N103"/>
  <c r="AC107"/>
  <c r="AC104" s="1"/>
  <c r="AA107"/>
  <c r="AA104" s="1"/>
  <c r="Y107"/>
  <c r="Y104" s="1"/>
  <c r="W107"/>
  <c r="W104" s="1"/>
  <c r="G113"/>
  <c r="L112"/>
  <c r="M112" s="1"/>
  <c r="G111" s="1"/>
  <c r="F113"/>
  <c r="L111"/>
  <c r="M111" s="1"/>
  <c r="F111" s="1"/>
  <c r="AB107"/>
  <c r="AB104" s="1"/>
  <c r="X107"/>
  <c r="X104" s="1"/>
  <c r="Z107"/>
  <c r="Z104" s="1"/>
  <c r="V107"/>
  <c r="V104" s="1"/>
  <c r="E119"/>
  <c r="E116"/>
  <c r="R158" i="10"/>
  <c r="X158" s="1"/>
  <c r="Q158"/>
  <c r="W152"/>
  <c r="Y151"/>
  <c r="P174"/>
  <c r="Q169"/>
  <c r="R169"/>
  <c r="X169" s="1"/>
  <c r="W163"/>
  <c r="U163"/>
  <c r="T163" s="1"/>
  <c r="Y144"/>
  <c r="U27" i="6"/>
  <c r="V27"/>
  <c r="T28"/>
  <c r="I27" i="7"/>
  <c r="I29" s="1"/>
  <c r="K27"/>
  <c r="K29" s="1"/>
  <c r="J27"/>
  <c r="J29" s="1"/>
  <c r="E13" i="6"/>
  <c r="E14"/>
  <c r="F21" i="1" s="1"/>
  <c r="U53" i="12" l="1"/>
  <c r="V53"/>
  <c r="Y150" i="10"/>
  <c r="Z145" s="1"/>
  <c r="J113" i="11"/>
  <c r="H113"/>
  <c r="K113"/>
  <c r="I113"/>
  <c r="N108"/>
  <c r="U107"/>
  <c r="T107"/>
  <c r="N107"/>
  <c r="P108"/>
  <c r="F117"/>
  <c r="L116"/>
  <c r="M116" s="1"/>
  <c r="G115" s="1"/>
  <c r="L115"/>
  <c r="M115" s="1"/>
  <c r="F115" s="1"/>
  <c r="G117"/>
  <c r="E120"/>
  <c r="E123"/>
  <c r="AB111"/>
  <c r="AB108" s="1"/>
  <c r="Z111"/>
  <c r="Z108" s="1"/>
  <c r="X111"/>
  <c r="X108" s="1"/>
  <c r="V111"/>
  <c r="V108" s="1"/>
  <c r="AA111"/>
  <c r="AA108" s="1"/>
  <c r="W111"/>
  <c r="W108" s="1"/>
  <c r="AC111"/>
  <c r="AC108" s="1"/>
  <c r="Y111"/>
  <c r="Y108" s="1"/>
  <c r="Z144" i="10"/>
  <c r="Z139"/>
  <c r="AA139"/>
  <c r="AA144"/>
  <c r="W169"/>
  <c r="U169"/>
  <c r="T169" s="1"/>
  <c r="Z150"/>
  <c r="Q164"/>
  <c r="R164"/>
  <c r="X164" s="1"/>
  <c r="P180"/>
  <c r="R175"/>
  <c r="X175" s="1"/>
  <c r="Q175"/>
  <c r="Y157"/>
  <c r="W158"/>
  <c r="Z103"/>
  <c r="AA103"/>
  <c r="Y126"/>
  <c r="D10" i="6"/>
  <c r="W9"/>
  <c r="W10"/>
  <c r="AC10" s="1"/>
  <c r="W11"/>
  <c r="W12"/>
  <c r="W13"/>
  <c r="W15"/>
  <c r="W16"/>
  <c r="W17"/>
  <c r="W18"/>
  <c r="W19"/>
  <c r="W21"/>
  <c r="W22"/>
  <c r="W23"/>
  <c r="W24"/>
  <c r="W25"/>
  <c r="W27"/>
  <c r="W4"/>
  <c r="W3"/>
  <c r="AC3" s="1"/>
  <c r="W5"/>
  <c r="W6"/>
  <c r="W7"/>
  <c r="U28"/>
  <c r="V28"/>
  <c r="T29"/>
  <c r="E21" i="1"/>
  <c r="I19" s="1"/>
  <c r="Q40" i="4" l="1"/>
  <c r="Q42" s="1"/>
  <c r="Y156" i="10"/>
  <c r="AA151" s="1"/>
  <c r="U54" i="12"/>
  <c r="V54"/>
  <c r="AA145" i="10"/>
  <c r="AA150"/>
  <c r="AB31" i="2"/>
  <c r="AB32"/>
  <c r="D1" i="4"/>
  <c r="AB37" i="2"/>
  <c r="I117" i="11"/>
  <c r="K117"/>
  <c r="J117"/>
  <c r="H117"/>
  <c r="U111"/>
  <c r="N112"/>
  <c r="P112" s="1"/>
  <c r="N111"/>
  <c r="T111"/>
  <c r="G121"/>
  <c r="F121"/>
  <c r="L119"/>
  <c r="M119" s="1"/>
  <c r="F119" s="1"/>
  <c r="L120"/>
  <c r="M120" s="1"/>
  <c r="G119" s="1"/>
  <c r="Z115"/>
  <c r="Z112" s="1"/>
  <c r="V115"/>
  <c r="V112" s="1"/>
  <c r="AB115"/>
  <c r="AB112" s="1"/>
  <c r="X115"/>
  <c r="X112" s="1"/>
  <c r="E127"/>
  <c r="E124"/>
  <c r="AC115"/>
  <c r="AC112" s="1"/>
  <c r="AA115"/>
  <c r="AA112" s="1"/>
  <c r="Y115"/>
  <c r="Y112" s="1"/>
  <c r="W115"/>
  <c r="W112" s="1"/>
  <c r="E22" i="1"/>
  <c r="J19" s="1"/>
  <c r="Z10" i="6"/>
  <c r="W175" i="10"/>
  <c r="U175"/>
  <c r="T175" s="1"/>
  <c r="P186"/>
  <c r="R181"/>
  <c r="X181" s="1"/>
  <c r="Q181"/>
  <c r="W164"/>
  <c r="Y163"/>
  <c r="R170"/>
  <c r="X170" s="1"/>
  <c r="Q170"/>
  <c r="AA126"/>
  <c r="AA121"/>
  <c r="Z126"/>
  <c r="Z121"/>
  <c r="Z27" i="6"/>
  <c r="AC27"/>
  <c r="Z24"/>
  <c r="AC24"/>
  <c r="Z22"/>
  <c r="AC22"/>
  <c r="Z19"/>
  <c r="AC19"/>
  <c r="Z17"/>
  <c r="AC17"/>
  <c r="Z15"/>
  <c r="AC15"/>
  <c r="Z12"/>
  <c r="AC12"/>
  <c r="Z25"/>
  <c r="AC25"/>
  <c r="Z23"/>
  <c r="AC23"/>
  <c r="Z21"/>
  <c r="AC21"/>
  <c r="Z18"/>
  <c r="AC18"/>
  <c r="Z16"/>
  <c r="AC16"/>
  <c r="Z13"/>
  <c r="AC13"/>
  <c r="Z11"/>
  <c r="AC11"/>
  <c r="Z9"/>
  <c r="AC9"/>
  <c r="Z3"/>
  <c r="Z7"/>
  <c r="AC7"/>
  <c r="Z5"/>
  <c r="AC5"/>
  <c r="Z4"/>
  <c r="AC4"/>
  <c r="Z6"/>
  <c r="AC6"/>
  <c r="W28"/>
  <c r="U29"/>
  <c r="V29"/>
  <c r="T30"/>
  <c r="Z151" i="10" l="1"/>
  <c r="AA156"/>
  <c r="Z156"/>
  <c r="U55" i="12"/>
  <c r="V55"/>
  <c r="AB30" i="2"/>
  <c r="AB28"/>
  <c r="AB26"/>
  <c r="AB24"/>
  <c r="AB22"/>
  <c r="AB20"/>
  <c r="AB18"/>
  <c r="AB16"/>
  <c r="AB14"/>
  <c r="AB12"/>
  <c r="AB10"/>
  <c r="AB8"/>
  <c r="AB29"/>
  <c r="AB27"/>
  <c r="AB25"/>
  <c r="AB23"/>
  <c r="AB21"/>
  <c r="AB19"/>
  <c r="AB17"/>
  <c r="AB15"/>
  <c r="AB13"/>
  <c r="AB11"/>
  <c r="AB9"/>
  <c r="AB7"/>
  <c r="H20" i="1"/>
  <c r="AB6" i="2"/>
  <c r="J121" i="11"/>
  <c r="H121"/>
  <c r="K121"/>
  <c r="I121"/>
  <c r="N116"/>
  <c r="P116" s="1"/>
  <c r="U115"/>
  <c r="T115"/>
  <c r="N115"/>
  <c r="E23" i="1"/>
  <c r="H24"/>
  <c r="C42" i="2"/>
  <c r="F125" i="11"/>
  <c r="L124"/>
  <c r="M124" s="1"/>
  <c r="G123" s="1"/>
  <c r="L123"/>
  <c r="M123" s="1"/>
  <c r="F123" s="1"/>
  <c r="G125"/>
  <c r="AC119"/>
  <c r="AC116" s="1"/>
  <c r="Y119"/>
  <c r="Y116" s="1"/>
  <c r="AA119"/>
  <c r="AA116" s="1"/>
  <c r="W119"/>
  <c r="W116" s="1"/>
  <c r="E128"/>
  <c r="E131"/>
  <c r="AB119"/>
  <c r="AB116" s="1"/>
  <c r="Z119"/>
  <c r="Z116" s="1"/>
  <c r="X119"/>
  <c r="X116" s="1"/>
  <c r="V119"/>
  <c r="V116" s="1"/>
  <c r="I20" i="1"/>
  <c r="U181" i="10"/>
  <c r="T181" s="1"/>
  <c r="W181"/>
  <c r="R187"/>
  <c r="X187" s="1"/>
  <c r="P192"/>
  <c r="Q187"/>
  <c r="Y169"/>
  <c r="W170"/>
  <c r="Q176"/>
  <c r="R176"/>
  <c r="X176" s="1"/>
  <c r="Y162"/>
  <c r="Z28" i="6"/>
  <c r="AC28"/>
  <c r="W29"/>
  <c r="H21" i="1"/>
  <c r="J21" s="1"/>
  <c r="C3" i="6"/>
  <c r="E36" s="1"/>
  <c r="U30"/>
  <c r="V30"/>
  <c r="T31"/>
  <c r="J20" i="1"/>
  <c r="E26" i="4"/>
  <c r="U56" i="12" l="1"/>
  <c r="V56"/>
  <c r="I125" i="11"/>
  <c r="K125"/>
  <c r="J125"/>
  <c r="H125"/>
  <c r="U119"/>
  <c r="N120"/>
  <c r="P120" s="1"/>
  <c r="T119"/>
  <c r="N119"/>
  <c r="Q26" i="4"/>
  <c r="N26"/>
  <c r="E135" i="11"/>
  <c r="E132"/>
  <c r="AB123"/>
  <c r="AB120" s="1"/>
  <c r="X123"/>
  <c r="X120" s="1"/>
  <c r="Z123"/>
  <c r="Z120" s="1"/>
  <c r="V123"/>
  <c r="V120" s="1"/>
  <c r="G129"/>
  <c r="L128"/>
  <c r="M128" s="1"/>
  <c r="G127" s="1"/>
  <c r="F129"/>
  <c r="L127"/>
  <c r="M127" s="1"/>
  <c r="F127" s="1"/>
  <c r="AC123"/>
  <c r="AC120" s="1"/>
  <c r="AA123"/>
  <c r="AA120" s="1"/>
  <c r="Y123"/>
  <c r="Y120" s="1"/>
  <c r="W123"/>
  <c r="W120" s="1"/>
  <c r="AA162" i="10"/>
  <c r="AA157"/>
  <c r="Z162"/>
  <c r="Z157"/>
  <c r="W176"/>
  <c r="Y175"/>
  <c r="U187"/>
  <c r="T187" s="1"/>
  <c r="W187"/>
  <c r="Q182"/>
  <c r="R182"/>
  <c r="X182" s="1"/>
  <c r="Q193"/>
  <c r="R193"/>
  <c r="X193" s="1"/>
  <c r="P198"/>
  <c r="Y168"/>
  <c r="Z29" i="6"/>
  <c r="AC29"/>
  <c r="E25" i="4"/>
  <c r="E33"/>
  <c r="Q33" s="1"/>
  <c r="E29"/>
  <c r="Q29" s="1"/>
  <c r="E27"/>
  <c r="Q27" s="1"/>
  <c r="E23"/>
  <c r="Q23" s="1"/>
  <c r="E21"/>
  <c r="Q21" s="1"/>
  <c r="E16"/>
  <c r="Q16" s="1"/>
  <c r="E11"/>
  <c r="Q11" s="1"/>
  <c r="E8"/>
  <c r="E36"/>
  <c r="Q36" s="1"/>
  <c r="E32"/>
  <c r="Q32" s="1"/>
  <c r="E28"/>
  <c r="Q28" s="1"/>
  <c r="E24"/>
  <c r="Q24" s="1"/>
  <c r="E22"/>
  <c r="Q22" s="1"/>
  <c r="E20"/>
  <c r="Q20" s="1"/>
  <c r="E15"/>
  <c r="Q15" s="1"/>
  <c r="E10"/>
  <c r="O10" s="1"/>
  <c r="E7"/>
  <c r="O7" s="1"/>
  <c r="T21"/>
  <c r="W30" i="6"/>
  <c r="I21" i="1"/>
  <c r="U31" i="6"/>
  <c r="V31"/>
  <c r="T32"/>
  <c r="C53" i="1"/>
  <c r="U57" i="12" l="1"/>
  <c r="V57"/>
  <c r="J129" i="11"/>
  <c r="H129"/>
  <c r="K129"/>
  <c r="I129"/>
  <c r="N124"/>
  <c r="P124" s="1"/>
  <c r="U123"/>
  <c r="T123"/>
  <c r="N123"/>
  <c r="Y174" i="10"/>
  <c r="AA174" s="1"/>
  <c r="E136" i="11"/>
  <c r="E139"/>
  <c r="AB127"/>
  <c r="AB124" s="1"/>
  <c r="Z127"/>
  <c r="Z124" s="1"/>
  <c r="X127"/>
  <c r="X124" s="1"/>
  <c r="V127"/>
  <c r="V124" s="1"/>
  <c r="AA127"/>
  <c r="AA124" s="1"/>
  <c r="W127"/>
  <c r="W124" s="1"/>
  <c r="AC127"/>
  <c r="AC124" s="1"/>
  <c r="Y127"/>
  <c r="Y124" s="1"/>
  <c r="F133"/>
  <c r="L132"/>
  <c r="M132" s="1"/>
  <c r="G131" s="1"/>
  <c r="L131"/>
  <c r="M131" s="1"/>
  <c r="F131" s="1"/>
  <c r="G133"/>
  <c r="AA168" i="10"/>
  <c r="AA163"/>
  <c r="Z168"/>
  <c r="Z163"/>
  <c r="P204"/>
  <c r="R199"/>
  <c r="X199" s="1"/>
  <c r="Q199"/>
  <c r="W193"/>
  <c r="U193"/>
  <c r="T193" s="1"/>
  <c r="Y181"/>
  <c r="W182"/>
  <c r="Q188"/>
  <c r="R188"/>
  <c r="X188" s="1"/>
  <c r="Z30" i="6"/>
  <c r="AC30"/>
  <c r="W31"/>
  <c r="U32"/>
  <c r="V32"/>
  <c r="T33"/>
  <c r="S33" s="1"/>
  <c r="Q10" i="4"/>
  <c r="Q25"/>
  <c r="N25"/>
  <c r="N27"/>
  <c r="U58" i="12" l="1"/>
  <c r="V58"/>
  <c r="I133" i="11"/>
  <c r="K133"/>
  <c r="J133"/>
  <c r="H133"/>
  <c r="U127"/>
  <c r="N128"/>
  <c r="P128" s="1"/>
  <c r="T127"/>
  <c r="N127"/>
  <c r="Z169" i="10"/>
  <c r="Z174"/>
  <c r="AA169"/>
  <c r="Z131" i="11"/>
  <c r="Z128" s="1"/>
  <c r="V131"/>
  <c r="V128" s="1"/>
  <c r="AB131"/>
  <c r="AB128" s="1"/>
  <c r="X131"/>
  <c r="X128" s="1"/>
  <c r="G137"/>
  <c r="F137"/>
  <c r="L135"/>
  <c r="M135" s="1"/>
  <c r="F135" s="1"/>
  <c r="L136"/>
  <c r="M136" s="1"/>
  <c r="G135" s="1"/>
  <c r="AC131"/>
  <c r="AC128" s="1"/>
  <c r="AA131"/>
  <c r="AA128" s="1"/>
  <c r="Y131"/>
  <c r="Y128" s="1"/>
  <c r="W131"/>
  <c r="W128" s="1"/>
  <c r="E143"/>
  <c r="E140"/>
  <c r="B113"/>
  <c r="W188" i="10"/>
  <c r="Y187"/>
  <c r="R194"/>
  <c r="X194" s="1"/>
  <c r="Q194"/>
  <c r="W199"/>
  <c r="U199"/>
  <c r="T199" s="1"/>
  <c r="R205"/>
  <c r="X205" s="1"/>
  <c r="P210"/>
  <c r="Q205"/>
  <c r="Y180"/>
  <c r="Z31" i="6"/>
  <c r="AC31"/>
  <c r="G23" i="1"/>
  <c r="U33" i="6"/>
  <c r="V33"/>
  <c r="T34"/>
  <c r="F463" i="2"/>
  <c r="F462"/>
  <c r="U59" i="12" l="1"/>
  <c r="V59"/>
  <c r="J137" i="11"/>
  <c r="H137"/>
  <c r="K137"/>
  <c r="I137"/>
  <c r="N132"/>
  <c r="P132" s="1"/>
  <c r="U131"/>
  <c r="T131"/>
  <c r="N131"/>
  <c r="E144"/>
  <c r="E147"/>
  <c r="AB135"/>
  <c r="AB132" s="1"/>
  <c r="Z135"/>
  <c r="Z132" s="1"/>
  <c r="X135"/>
  <c r="X132" s="1"/>
  <c r="V135"/>
  <c r="V132" s="1"/>
  <c r="F141"/>
  <c r="L140"/>
  <c r="M140" s="1"/>
  <c r="G139" s="1"/>
  <c r="L139"/>
  <c r="M139" s="1"/>
  <c r="F139" s="1"/>
  <c r="G141"/>
  <c r="AC135"/>
  <c r="AC132" s="1"/>
  <c r="Y135"/>
  <c r="Y132" s="1"/>
  <c r="AA135"/>
  <c r="AA132" s="1"/>
  <c r="W135"/>
  <c r="W132" s="1"/>
  <c r="Z175" i="10"/>
  <c r="AA175"/>
  <c r="AA180"/>
  <c r="Z180"/>
  <c r="P216"/>
  <c r="R211"/>
  <c r="X211" s="1"/>
  <c r="Q211"/>
  <c r="Q200"/>
  <c r="R200"/>
  <c r="X200" s="1"/>
  <c r="Y193"/>
  <c r="W194"/>
  <c r="Y186"/>
  <c r="W205"/>
  <c r="U205"/>
  <c r="T205" s="1"/>
  <c r="W33" i="6"/>
  <c r="U34"/>
  <c r="V34"/>
  <c r="T35"/>
  <c r="U60" i="12" l="1"/>
  <c r="V60"/>
  <c r="J141" i="11"/>
  <c r="H141"/>
  <c r="I141"/>
  <c r="K141"/>
  <c r="U135"/>
  <c r="N136"/>
  <c r="P136" s="1"/>
  <c r="T135"/>
  <c r="N135"/>
  <c r="AC139"/>
  <c r="AC136" s="1"/>
  <c r="AA139"/>
  <c r="AA136" s="1"/>
  <c r="Y139"/>
  <c r="Y136" s="1"/>
  <c r="W139"/>
  <c r="W136" s="1"/>
  <c r="G145"/>
  <c r="L144"/>
  <c r="M144" s="1"/>
  <c r="G143" s="1"/>
  <c r="F145"/>
  <c r="L143"/>
  <c r="M143" s="1"/>
  <c r="F143" s="1"/>
  <c r="AB139"/>
  <c r="AB136" s="1"/>
  <c r="X139"/>
  <c r="X136" s="1"/>
  <c r="Z139"/>
  <c r="Z136" s="1"/>
  <c r="V139"/>
  <c r="V136" s="1"/>
  <c r="E151"/>
  <c r="E148"/>
  <c r="Y192" i="10"/>
  <c r="AA187" s="1"/>
  <c r="Q206"/>
  <c r="R206"/>
  <c r="X206" s="1"/>
  <c r="AA186"/>
  <c r="AA181"/>
  <c r="Z186"/>
  <c r="Z181"/>
  <c r="U211"/>
  <c r="T211" s="1"/>
  <c r="W211"/>
  <c r="P222"/>
  <c r="Q217"/>
  <c r="R217"/>
  <c r="X217" s="1"/>
  <c r="W200"/>
  <c r="Y199"/>
  <c r="Z33" i="6"/>
  <c r="AC33"/>
  <c r="W34"/>
  <c r="U35"/>
  <c r="V35"/>
  <c r="T36"/>
  <c r="U61" i="12" l="1"/>
  <c r="V61"/>
  <c r="J145" i="11"/>
  <c r="H145"/>
  <c r="K145"/>
  <c r="I145"/>
  <c r="N140"/>
  <c r="U139"/>
  <c r="T139"/>
  <c r="N139"/>
  <c r="P140"/>
  <c r="E152"/>
  <c r="E155"/>
  <c r="F149"/>
  <c r="L148"/>
  <c r="M148" s="1"/>
  <c r="G147" s="1"/>
  <c r="L147"/>
  <c r="M147" s="1"/>
  <c r="F147" s="1"/>
  <c r="G149"/>
  <c r="AB143"/>
  <c r="AB140" s="1"/>
  <c r="Z143"/>
  <c r="Z140" s="1"/>
  <c r="X143"/>
  <c r="X140" s="1"/>
  <c r="V143"/>
  <c r="V140" s="1"/>
  <c r="AA143"/>
  <c r="AA140" s="1"/>
  <c r="W143"/>
  <c r="W140" s="1"/>
  <c r="AC143"/>
  <c r="AC140" s="1"/>
  <c r="Y143"/>
  <c r="Y140" s="1"/>
  <c r="AA192" i="10"/>
  <c r="Z192"/>
  <c r="Z187"/>
  <c r="P228"/>
  <c r="Q223"/>
  <c r="R223"/>
  <c r="X223" s="1"/>
  <c r="Q212"/>
  <c r="R212"/>
  <c r="X212" s="1"/>
  <c r="Y205"/>
  <c r="W206"/>
  <c r="W217"/>
  <c r="U217"/>
  <c r="T217" s="1"/>
  <c r="Z34" i="6"/>
  <c r="AC34"/>
  <c r="W35"/>
  <c r="U36"/>
  <c r="V36"/>
  <c r="T37"/>
  <c r="U62" i="12" l="1"/>
  <c r="V62"/>
  <c r="I149" i="11"/>
  <c r="K149"/>
  <c r="J149"/>
  <c r="H149"/>
  <c r="U143"/>
  <c r="N144"/>
  <c r="P144" s="1"/>
  <c r="N143"/>
  <c r="T143"/>
  <c r="Z147"/>
  <c r="Z144" s="1"/>
  <c r="V147"/>
  <c r="V144" s="1"/>
  <c r="AB147"/>
  <c r="AB144" s="1"/>
  <c r="X147"/>
  <c r="X144" s="1"/>
  <c r="G153"/>
  <c r="F153"/>
  <c r="L151"/>
  <c r="M151" s="1"/>
  <c r="F151" s="1"/>
  <c r="L152"/>
  <c r="M152" s="1"/>
  <c r="G151" s="1"/>
  <c r="AC147"/>
  <c r="AC144" s="1"/>
  <c r="AA147"/>
  <c r="AA144" s="1"/>
  <c r="Y147"/>
  <c r="Y144" s="1"/>
  <c r="W147"/>
  <c r="W144" s="1"/>
  <c r="E159"/>
  <c r="E156"/>
  <c r="Y204" i="10"/>
  <c r="Z204" s="1"/>
  <c r="Q218"/>
  <c r="R218"/>
  <c r="X218" s="1"/>
  <c r="R229"/>
  <c r="X229" s="1"/>
  <c r="Q229"/>
  <c r="P234"/>
  <c r="W212"/>
  <c r="Y211"/>
  <c r="W223"/>
  <c r="U223"/>
  <c r="T223" s="1"/>
  <c r="Z35" i="6"/>
  <c r="AC35"/>
  <c r="W36"/>
  <c r="U37"/>
  <c r="V37"/>
  <c r="T38"/>
  <c r="U63" i="12" l="1"/>
  <c r="V63"/>
  <c r="K153" i="11"/>
  <c r="I153"/>
  <c r="J153"/>
  <c r="H153"/>
  <c r="N148"/>
  <c r="P148" s="1"/>
  <c r="U147"/>
  <c r="T147"/>
  <c r="N147"/>
  <c r="Y210" i="10"/>
  <c r="Z210" s="1"/>
  <c r="E160" i="11"/>
  <c r="E163"/>
  <c r="AB151"/>
  <c r="AB148" s="1"/>
  <c r="Z151"/>
  <c r="Z148" s="1"/>
  <c r="X151"/>
  <c r="X148" s="1"/>
  <c r="V151"/>
  <c r="V148" s="1"/>
  <c r="F157"/>
  <c r="L156"/>
  <c r="M156" s="1"/>
  <c r="G155" s="1"/>
  <c r="L155"/>
  <c r="M155" s="1"/>
  <c r="F155" s="1"/>
  <c r="G157"/>
  <c r="AC151"/>
  <c r="AC148" s="1"/>
  <c r="Y151"/>
  <c r="Y148" s="1"/>
  <c r="AA151"/>
  <c r="AA148" s="1"/>
  <c r="W151"/>
  <c r="W148" s="1"/>
  <c r="AA204" i="10"/>
  <c r="Q224"/>
  <c r="R224"/>
  <c r="X224" s="1"/>
  <c r="P240"/>
  <c r="Q235"/>
  <c r="R235"/>
  <c r="X235" s="1"/>
  <c r="Y217"/>
  <c r="W218"/>
  <c r="W229"/>
  <c r="U229"/>
  <c r="T229" s="1"/>
  <c r="Z36" i="6"/>
  <c r="AC36"/>
  <c r="W37"/>
  <c r="U38"/>
  <c r="V38"/>
  <c r="T39"/>
  <c r="S39" s="1"/>
  <c r="U64" i="12" l="1"/>
  <c r="V64"/>
  <c r="I157" i="11"/>
  <c r="K157"/>
  <c r="J157"/>
  <c r="H157"/>
  <c r="U151"/>
  <c r="N152"/>
  <c r="T151"/>
  <c r="N151"/>
  <c r="Z205" i="10"/>
  <c r="P152" i="11"/>
  <c r="AA205" i="10"/>
  <c r="AA210"/>
  <c r="AC155" i="11"/>
  <c r="AC152" s="1"/>
  <c r="AA155"/>
  <c r="AA152" s="1"/>
  <c r="Y155"/>
  <c r="Y152" s="1"/>
  <c r="W155"/>
  <c r="W152" s="1"/>
  <c r="G161"/>
  <c r="L160"/>
  <c r="M160" s="1"/>
  <c r="G159" s="1"/>
  <c r="F161"/>
  <c r="L159"/>
  <c r="M159" s="1"/>
  <c r="F159" s="1"/>
  <c r="AB155"/>
  <c r="AB152" s="1"/>
  <c r="X155"/>
  <c r="X152" s="1"/>
  <c r="Z155"/>
  <c r="Z152" s="1"/>
  <c r="V155"/>
  <c r="V152" s="1"/>
  <c r="E167"/>
  <c r="E164"/>
  <c r="Y216" i="10"/>
  <c r="Z211" s="1"/>
  <c r="R230"/>
  <c r="X230" s="1"/>
  <c r="Q230"/>
  <c r="P246"/>
  <c r="Q241"/>
  <c r="R241"/>
  <c r="X241" s="1"/>
  <c r="W224"/>
  <c r="Y223"/>
  <c r="W235"/>
  <c r="U235"/>
  <c r="T235" s="1"/>
  <c r="Z37" i="6"/>
  <c r="AC37"/>
  <c r="U39"/>
  <c r="V39"/>
  <c r="T40"/>
  <c r="U65" i="12" l="1"/>
  <c r="V65"/>
  <c r="J161" i="11"/>
  <c r="H161"/>
  <c r="K161"/>
  <c r="I161"/>
  <c r="N156"/>
  <c r="U155"/>
  <c r="T155"/>
  <c r="N155"/>
  <c r="E168"/>
  <c r="E171"/>
  <c r="F165"/>
  <c r="L164"/>
  <c r="M164" s="1"/>
  <c r="G163" s="1"/>
  <c r="L163"/>
  <c r="M163" s="1"/>
  <c r="F163" s="1"/>
  <c r="G165"/>
  <c r="P156"/>
  <c r="AB159"/>
  <c r="AB156" s="1"/>
  <c r="Z159"/>
  <c r="Z156" s="1"/>
  <c r="X159"/>
  <c r="X156" s="1"/>
  <c r="V159"/>
  <c r="V156" s="1"/>
  <c r="AA159"/>
  <c r="AA156" s="1"/>
  <c r="W159"/>
  <c r="W156" s="1"/>
  <c r="Y159"/>
  <c r="Y156" s="1"/>
  <c r="AC159"/>
  <c r="AC156" s="1"/>
  <c r="Z216" i="10"/>
  <c r="AA211"/>
  <c r="AA216"/>
  <c r="Q236"/>
  <c r="R236"/>
  <c r="X236" s="1"/>
  <c r="P252"/>
  <c r="R247"/>
  <c r="X247" s="1"/>
  <c r="Q247"/>
  <c r="W241"/>
  <c r="U241"/>
  <c r="T241" s="1"/>
  <c r="Y229"/>
  <c r="W230"/>
  <c r="W39" i="6"/>
  <c r="U40"/>
  <c r="V40"/>
  <c r="T41"/>
  <c r="U66" i="12" l="1"/>
  <c r="V66"/>
  <c r="J165" i="11"/>
  <c r="H165"/>
  <c r="I165"/>
  <c r="K165"/>
  <c r="U159"/>
  <c r="N160"/>
  <c r="P160" s="1"/>
  <c r="T159"/>
  <c r="N159"/>
  <c r="Z163"/>
  <c r="Z160" s="1"/>
  <c r="V163"/>
  <c r="V160" s="1"/>
  <c r="X163"/>
  <c r="X160" s="1"/>
  <c r="AB163"/>
  <c r="AB160" s="1"/>
  <c r="G169"/>
  <c r="F169"/>
  <c r="L167"/>
  <c r="M167" s="1"/>
  <c r="F167" s="1"/>
  <c r="L168"/>
  <c r="M168" s="1"/>
  <c r="G167" s="1"/>
  <c r="AC163"/>
  <c r="AC160" s="1"/>
  <c r="AA163"/>
  <c r="AA160" s="1"/>
  <c r="Y163"/>
  <c r="Y160" s="1"/>
  <c r="W163"/>
  <c r="W160" s="1"/>
  <c r="E175"/>
  <c r="E172"/>
  <c r="Y228" i="10"/>
  <c r="Z228" s="1"/>
  <c r="R242"/>
  <c r="X242" s="1"/>
  <c r="Q242"/>
  <c r="W247"/>
  <c r="U247"/>
  <c r="T247" s="1"/>
  <c r="P258"/>
  <c r="R253"/>
  <c r="X253" s="1"/>
  <c r="Q253"/>
  <c r="W236"/>
  <c r="Y235"/>
  <c r="Z39" i="6"/>
  <c r="AC39"/>
  <c r="W40"/>
  <c r="U41"/>
  <c r="V41"/>
  <c r="T42"/>
  <c r="U67" i="12" l="1"/>
  <c r="V67"/>
  <c r="K169" i="11"/>
  <c r="I169"/>
  <c r="J169"/>
  <c r="H169"/>
  <c r="N164"/>
  <c r="P164" s="1"/>
  <c r="U163"/>
  <c r="T163"/>
  <c r="N163"/>
  <c r="E176"/>
  <c r="E179"/>
  <c r="AB167"/>
  <c r="AB164" s="1"/>
  <c r="Z167"/>
  <c r="Z164" s="1"/>
  <c r="X167"/>
  <c r="X164" s="1"/>
  <c r="V167"/>
  <c r="V164" s="1"/>
  <c r="F173"/>
  <c r="L172"/>
  <c r="M172" s="1"/>
  <c r="G171" s="1"/>
  <c r="L171"/>
  <c r="M171" s="1"/>
  <c r="F171" s="1"/>
  <c r="G173"/>
  <c r="AC167"/>
  <c r="AC164" s="1"/>
  <c r="Y167"/>
  <c r="Y164" s="1"/>
  <c r="W167"/>
  <c r="W164" s="1"/>
  <c r="AA167"/>
  <c r="AA164" s="1"/>
  <c r="AA228" i="10"/>
  <c r="Y234"/>
  <c r="AA234" s="1"/>
  <c r="U253"/>
  <c r="T253" s="1"/>
  <c r="W253"/>
  <c r="R259"/>
  <c r="X259" s="1"/>
  <c r="P264"/>
  <c r="Q259"/>
  <c r="Q248"/>
  <c r="R248"/>
  <c r="X248" s="1"/>
  <c r="Y241"/>
  <c r="W242"/>
  <c r="Z40" i="6"/>
  <c r="AC40"/>
  <c r="W41"/>
  <c r="U42"/>
  <c r="V42"/>
  <c r="T43"/>
  <c r="U68" i="12" l="1"/>
  <c r="V68"/>
  <c r="J173" i="11"/>
  <c r="H173"/>
  <c r="I173"/>
  <c r="K173"/>
  <c r="U167"/>
  <c r="N168"/>
  <c r="P168" s="1"/>
  <c r="T167"/>
  <c r="N167"/>
  <c r="AC171"/>
  <c r="AC168" s="1"/>
  <c r="AA171"/>
  <c r="AA168" s="1"/>
  <c r="Y171"/>
  <c r="Y168" s="1"/>
  <c r="W171"/>
  <c r="W168" s="1"/>
  <c r="G177"/>
  <c r="L176"/>
  <c r="M176" s="1"/>
  <c r="G175" s="1"/>
  <c r="L175"/>
  <c r="M175" s="1"/>
  <c r="F175" s="1"/>
  <c r="F177"/>
  <c r="AB171"/>
  <c r="AB168" s="1"/>
  <c r="X171"/>
  <c r="X168" s="1"/>
  <c r="V171"/>
  <c r="V168" s="1"/>
  <c r="Z171"/>
  <c r="Z168" s="1"/>
  <c r="E183"/>
  <c r="E180"/>
  <c r="Z229" i="10"/>
  <c r="Z234"/>
  <c r="AA229"/>
  <c r="U259"/>
  <c r="T259" s="1"/>
  <c r="W259"/>
  <c r="Q254"/>
  <c r="R254"/>
  <c r="X254" s="1"/>
  <c r="W248"/>
  <c r="Y247"/>
  <c r="Q265"/>
  <c r="R265"/>
  <c r="X265" s="1"/>
  <c r="P270"/>
  <c r="Y240"/>
  <c r="Z41" i="6"/>
  <c r="AC41"/>
  <c r="W42"/>
  <c r="U43"/>
  <c r="V43"/>
  <c r="T44"/>
  <c r="U69" i="12" l="1"/>
  <c r="V69"/>
  <c r="K177" i="11"/>
  <c r="I177"/>
  <c r="J177"/>
  <c r="H177"/>
  <c r="N172"/>
  <c r="P172" s="1"/>
  <c r="U171"/>
  <c r="T171"/>
  <c r="N171"/>
  <c r="E184"/>
  <c r="E187"/>
  <c r="AB175"/>
  <c r="AB172" s="1"/>
  <c r="Z175"/>
  <c r="Z172" s="1"/>
  <c r="X175"/>
  <c r="X172" s="1"/>
  <c r="V175"/>
  <c r="V172" s="1"/>
  <c r="F181"/>
  <c r="L180"/>
  <c r="M180" s="1"/>
  <c r="G179" s="1"/>
  <c r="L179"/>
  <c r="M179" s="1"/>
  <c r="F179" s="1"/>
  <c r="G181"/>
  <c r="AA175"/>
  <c r="AA172" s="1"/>
  <c r="W175"/>
  <c r="W172" s="1"/>
  <c r="AC175"/>
  <c r="AC172" s="1"/>
  <c r="Y175"/>
  <c r="Y172" s="1"/>
  <c r="P276" i="10"/>
  <c r="R271"/>
  <c r="X271" s="1"/>
  <c r="Q271"/>
  <c r="W265"/>
  <c r="U265"/>
  <c r="T265" s="1"/>
  <c r="Y253"/>
  <c r="W254"/>
  <c r="Q260"/>
  <c r="R260"/>
  <c r="X260" s="1"/>
  <c r="Z240"/>
  <c r="Z235"/>
  <c r="AA240"/>
  <c r="AA235"/>
  <c r="Y198"/>
  <c r="Z42" i="6"/>
  <c r="AC42"/>
  <c r="W43"/>
  <c r="U44"/>
  <c r="V44"/>
  <c r="T45"/>
  <c r="S45" s="1"/>
  <c r="U70" i="12" l="1"/>
  <c r="V70"/>
  <c r="J181" i="11"/>
  <c r="H181"/>
  <c r="I181"/>
  <c r="K181"/>
  <c r="U175"/>
  <c r="N176"/>
  <c r="P176" s="1"/>
  <c r="N175"/>
  <c r="T175"/>
  <c r="AC179"/>
  <c r="AC176" s="1"/>
  <c r="AA179"/>
  <c r="AA176" s="1"/>
  <c r="Y179"/>
  <c r="Y176" s="1"/>
  <c r="W179"/>
  <c r="W176" s="1"/>
  <c r="G185"/>
  <c r="F185"/>
  <c r="L183"/>
  <c r="M183" s="1"/>
  <c r="F183" s="1"/>
  <c r="L184"/>
  <c r="M184" s="1"/>
  <c r="G183" s="1"/>
  <c r="Z179"/>
  <c r="Z176" s="1"/>
  <c r="V179"/>
  <c r="V176" s="1"/>
  <c r="AB179"/>
  <c r="AB176" s="1"/>
  <c r="X179"/>
  <c r="X176" s="1"/>
  <c r="E191"/>
  <c r="E188"/>
  <c r="W260" i="10"/>
  <c r="Y259"/>
  <c r="R266"/>
  <c r="X266" s="1"/>
  <c r="Q266"/>
  <c r="W271"/>
  <c r="U271"/>
  <c r="T271" s="1"/>
  <c r="R277"/>
  <c r="X277" s="1"/>
  <c r="Q277"/>
  <c r="P282"/>
  <c r="Y252"/>
  <c r="AA198"/>
  <c r="AA193"/>
  <c r="Z198"/>
  <c r="Z193"/>
  <c r="Z43" i="6"/>
  <c r="AC43"/>
  <c r="U45"/>
  <c r="V45"/>
  <c r="T46"/>
  <c r="U71" i="12" l="1"/>
  <c r="V71"/>
  <c r="K185" i="11"/>
  <c r="I185"/>
  <c r="J185"/>
  <c r="H185"/>
  <c r="N180"/>
  <c r="P180" s="1"/>
  <c r="U179"/>
  <c r="T179"/>
  <c r="N179"/>
  <c r="E192"/>
  <c r="E195"/>
  <c r="AB183"/>
  <c r="AB180" s="1"/>
  <c r="Z183"/>
  <c r="Z180" s="1"/>
  <c r="X183"/>
  <c r="X180" s="1"/>
  <c r="V183"/>
  <c r="V180" s="1"/>
  <c r="F189"/>
  <c r="L188"/>
  <c r="M188" s="1"/>
  <c r="G187" s="1"/>
  <c r="L187"/>
  <c r="M187" s="1"/>
  <c r="F187" s="1"/>
  <c r="G189"/>
  <c r="AC183"/>
  <c r="AC180" s="1"/>
  <c r="Y183"/>
  <c r="Y180" s="1"/>
  <c r="AA183"/>
  <c r="AA180" s="1"/>
  <c r="W183"/>
  <c r="W180" s="1"/>
  <c r="W277" i="10"/>
  <c r="U277"/>
  <c r="T277" s="1"/>
  <c r="Q272"/>
  <c r="R272"/>
  <c r="X272" s="1"/>
  <c r="Y265"/>
  <c r="W266"/>
  <c r="Y258"/>
  <c r="Z247"/>
  <c r="AA247"/>
  <c r="AA252"/>
  <c r="Z252"/>
  <c r="P288"/>
  <c r="Q283"/>
  <c r="R283"/>
  <c r="X283" s="1"/>
  <c r="Z199"/>
  <c r="AA199"/>
  <c r="W45" i="6"/>
  <c r="U46"/>
  <c r="V46"/>
  <c r="T47"/>
  <c r="U72" i="12" l="1"/>
  <c r="V72"/>
  <c r="J189" i="11"/>
  <c r="H189"/>
  <c r="I189"/>
  <c r="K189"/>
  <c r="U183"/>
  <c r="N184"/>
  <c r="P184" s="1"/>
  <c r="T183"/>
  <c r="N183"/>
  <c r="AC187"/>
  <c r="AC184" s="1"/>
  <c r="AA187"/>
  <c r="AA184" s="1"/>
  <c r="Y187"/>
  <c r="Y184" s="1"/>
  <c r="W187"/>
  <c r="W184" s="1"/>
  <c r="G193"/>
  <c r="L192"/>
  <c r="M192" s="1"/>
  <c r="G191" s="1"/>
  <c r="F193"/>
  <c r="L191"/>
  <c r="M191" s="1"/>
  <c r="F191" s="1"/>
  <c r="AB187"/>
  <c r="AB184" s="1"/>
  <c r="X187"/>
  <c r="X184" s="1"/>
  <c r="Z187"/>
  <c r="Z184" s="1"/>
  <c r="V187"/>
  <c r="V184" s="1"/>
  <c r="E199"/>
  <c r="E196"/>
  <c r="Y264" i="10"/>
  <c r="Z264" s="1"/>
  <c r="P294"/>
  <c r="Q289"/>
  <c r="R289"/>
  <c r="X289" s="1"/>
  <c r="W272"/>
  <c r="Y271"/>
  <c r="W283"/>
  <c r="U283"/>
  <c r="T283" s="1"/>
  <c r="AA258"/>
  <c r="AA253"/>
  <c r="Z258"/>
  <c r="Z253"/>
  <c r="R278"/>
  <c r="X278" s="1"/>
  <c r="Q278"/>
  <c r="Z45" i="6"/>
  <c r="AC45"/>
  <c r="W46"/>
  <c r="U47"/>
  <c r="V47"/>
  <c r="T48"/>
  <c r="U73" i="12" l="1"/>
  <c r="V73"/>
  <c r="J193" i="11"/>
  <c r="H193"/>
  <c r="K193"/>
  <c r="I193"/>
  <c r="N188"/>
  <c r="U187"/>
  <c r="T187"/>
  <c r="N187"/>
  <c r="P188"/>
  <c r="E200"/>
  <c r="E203"/>
  <c r="F197"/>
  <c r="L196"/>
  <c r="M196" s="1"/>
  <c r="G195" s="1"/>
  <c r="L195"/>
  <c r="M195" s="1"/>
  <c r="F195" s="1"/>
  <c r="G197"/>
  <c r="AB191"/>
  <c r="AB188" s="1"/>
  <c r="Z191"/>
  <c r="Z188" s="1"/>
  <c r="X191"/>
  <c r="X188" s="1"/>
  <c r="V191"/>
  <c r="V188" s="1"/>
  <c r="AA191"/>
  <c r="AA188" s="1"/>
  <c r="W191"/>
  <c r="W188" s="1"/>
  <c r="Y191"/>
  <c r="Y188" s="1"/>
  <c r="AC191"/>
  <c r="AC188" s="1"/>
  <c r="AA264" i="10"/>
  <c r="AA259"/>
  <c r="Z259"/>
  <c r="Y277"/>
  <c r="W278"/>
  <c r="P300"/>
  <c r="R295"/>
  <c r="X295" s="1"/>
  <c r="Q295"/>
  <c r="Q284"/>
  <c r="R284"/>
  <c r="X284" s="1"/>
  <c r="W289"/>
  <c r="U289"/>
  <c r="T289" s="1"/>
  <c r="Y270"/>
  <c r="Z46" i="6"/>
  <c r="AC46"/>
  <c r="W47"/>
  <c r="U48"/>
  <c r="V48"/>
  <c r="T49"/>
  <c r="U74" i="12" l="1"/>
  <c r="V74"/>
  <c r="I197" i="11"/>
  <c r="K197"/>
  <c r="J197"/>
  <c r="H197"/>
  <c r="U191"/>
  <c r="N192"/>
  <c r="P192" s="1"/>
  <c r="T191"/>
  <c r="N191"/>
  <c r="Z195"/>
  <c r="Z192" s="1"/>
  <c r="V195"/>
  <c r="V192" s="1"/>
  <c r="X195"/>
  <c r="X192" s="1"/>
  <c r="AB195"/>
  <c r="AB192" s="1"/>
  <c r="G201"/>
  <c r="F201"/>
  <c r="L199"/>
  <c r="M199" s="1"/>
  <c r="F199" s="1"/>
  <c r="L200"/>
  <c r="M200" s="1"/>
  <c r="G199" s="1"/>
  <c r="AC195"/>
  <c r="AC192" s="1"/>
  <c r="AA195"/>
  <c r="AA192" s="1"/>
  <c r="Y195"/>
  <c r="Y192" s="1"/>
  <c r="W195"/>
  <c r="W192" s="1"/>
  <c r="E207"/>
  <c r="E208" s="1"/>
  <c r="E204"/>
  <c r="W284" i="10"/>
  <c r="Y283"/>
  <c r="Y276"/>
  <c r="AA270"/>
  <c r="AA265"/>
  <c r="Z270"/>
  <c r="Z265"/>
  <c r="R290"/>
  <c r="X290" s="1"/>
  <c r="Q290"/>
  <c r="W295"/>
  <c r="U295"/>
  <c r="T295" s="1"/>
  <c r="P306"/>
  <c r="R301"/>
  <c r="X301" s="1"/>
  <c r="Q301"/>
  <c r="Y222"/>
  <c r="Z47" i="6"/>
  <c r="AC47"/>
  <c r="W48"/>
  <c r="U49"/>
  <c r="V49"/>
  <c r="T50"/>
  <c r="U75" i="12" l="1"/>
  <c r="V75"/>
  <c r="K201" i="11"/>
  <c r="I201"/>
  <c r="J201"/>
  <c r="H201"/>
  <c r="N196"/>
  <c r="P196" s="1"/>
  <c r="U195"/>
  <c r="T195"/>
  <c r="N195"/>
  <c r="G209"/>
  <c r="F209"/>
  <c r="L208"/>
  <c r="M208" s="1"/>
  <c r="G207" s="1"/>
  <c r="L207"/>
  <c r="M207" s="1"/>
  <c r="F207" s="1"/>
  <c r="AB199"/>
  <c r="AB196" s="1"/>
  <c r="Z199"/>
  <c r="Z196" s="1"/>
  <c r="X199"/>
  <c r="X196" s="1"/>
  <c r="V199"/>
  <c r="V196" s="1"/>
  <c r="F205"/>
  <c r="L204"/>
  <c r="M204" s="1"/>
  <c r="G203" s="1"/>
  <c r="L203"/>
  <c r="M203" s="1"/>
  <c r="F203" s="1"/>
  <c r="G205"/>
  <c r="AC199"/>
  <c r="AC196" s="1"/>
  <c r="Y199"/>
  <c r="Y196" s="1"/>
  <c r="W199"/>
  <c r="W196" s="1"/>
  <c r="AA199"/>
  <c r="AA196" s="1"/>
  <c r="Y282" i="10"/>
  <c r="AA282" s="1"/>
  <c r="U301"/>
  <c r="T301" s="1"/>
  <c r="W301"/>
  <c r="R307"/>
  <c r="X307" s="1"/>
  <c r="P312"/>
  <c r="Q307"/>
  <c r="Q296"/>
  <c r="R296"/>
  <c r="X296" s="1"/>
  <c r="Y289"/>
  <c r="W290"/>
  <c r="AA276"/>
  <c r="Z276"/>
  <c r="Z271"/>
  <c r="AA271"/>
  <c r="Z222"/>
  <c r="Z217"/>
  <c r="AA222"/>
  <c r="AA217"/>
  <c r="Z48" i="6"/>
  <c r="AC48"/>
  <c r="W49"/>
  <c r="U50"/>
  <c r="V50"/>
  <c r="T51"/>
  <c r="S51" s="1"/>
  <c r="J205" i="11" l="1"/>
  <c r="H205"/>
  <c r="K209"/>
  <c r="I209"/>
  <c r="I205"/>
  <c r="K205"/>
  <c r="J209"/>
  <c r="H209"/>
  <c r="U199"/>
  <c r="N200"/>
  <c r="P200" s="1"/>
  <c r="T199"/>
  <c r="N199"/>
  <c r="AC203"/>
  <c r="AC200" s="1"/>
  <c r="AA203"/>
  <c r="AA200" s="1"/>
  <c r="Y203"/>
  <c r="Y200" s="1"/>
  <c r="W203"/>
  <c r="W200" s="1"/>
  <c r="AA207"/>
  <c r="AA204" s="1"/>
  <c r="W207"/>
  <c r="W204" s="1"/>
  <c r="AC207"/>
  <c r="AC204" s="1"/>
  <c r="Y207"/>
  <c r="Y204" s="1"/>
  <c r="AB203"/>
  <c r="AB200" s="1"/>
  <c r="X203"/>
  <c r="X200" s="1"/>
  <c r="V203"/>
  <c r="V200" s="1"/>
  <c r="Z203"/>
  <c r="Z200" s="1"/>
  <c r="AB207"/>
  <c r="AB204" s="1"/>
  <c r="Z207"/>
  <c r="Z204" s="1"/>
  <c r="X207"/>
  <c r="X204" s="1"/>
  <c r="V207"/>
  <c r="V204" s="1"/>
  <c r="Z282" i="10"/>
  <c r="Z277"/>
  <c r="AA277"/>
  <c r="U307"/>
  <c r="T307" s="1"/>
  <c r="W307"/>
  <c r="Q302"/>
  <c r="R302"/>
  <c r="X302" s="1"/>
  <c r="W296"/>
  <c r="Y295"/>
  <c r="Q313"/>
  <c r="R313"/>
  <c r="X313" s="1"/>
  <c r="Y288"/>
  <c r="Z49" i="6"/>
  <c r="AC49"/>
  <c r="U51"/>
  <c r="V51"/>
  <c r="T52"/>
  <c r="N204" i="11" l="1"/>
  <c r="U203"/>
  <c r="U207"/>
  <c r="N208"/>
  <c r="P208" s="1"/>
  <c r="T203"/>
  <c r="N203"/>
  <c r="N207"/>
  <c r="T207"/>
  <c r="P204"/>
  <c r="Y294" i="10"/>
  <c r="Z294" s="1"/>
  <c r="Z288"/>
  <c r="Z283"/>
  <c r="AA288"/>
  <c r="AA283"/>
  <c r="Y301"/>
  <c r="W302"/>
  <c r="Q308"/>
  <c r="R308"/>
  <c r="W313"/>
  <c r="U313"/>
  <c r="T313" s="1"/>
  <c r="Z223"/>
  <c r="AA223"/>
  <c r="Y246"/>
  <c r="W51" i="6"/>
  <c r="U52"/>
  <c r="V52"/>
  <c r="T53"/>
  <c r="P6" i="11" l="1"/>
  <c r="P5"/>
  <c r="T6"/>
  <c r="T5"/>
  <c r="U5"/>
  <c r="U6"/>
  <c r="AA289" i="10"/>
  <c r="Z289"/>
  <c r="AA294"/>
  <c r="X308"/>
  <c r="M10"/>
  <c r="R314"/>
  <c r="X314" s="1"/>
  <c r="Q314"/>
  <c r="Y300"/>
  <c r="W308"/>
  <c r="Y307"/>
  <c r="AA246"/>
  <c r="AA241"/>
  <c r="Z246"/>
  <c r="Z241"/>
  <c r="Z51" i="6"/>
  <c r="AC51"/>
  <c r="W52"/>
  <c r="U53"/>
  <c r="V53"/>
  <c r="T54"/>
  <c r="Y306" i="10" l="1"/>
  <c r="AA301" s="1"/>
  <c r="AA295"/>
  <c r="AA300"/>
  <c r="Z300"/>
  <c r="Z295"/>
  <c r="Y313"/>
  <c r="W314"/>
  <c r="Y312"/>
  <c r="Z52" i="6"/>
  <c r="AC52"/>
  <c r="W53"/>
  <c r="U54"/>
  <c r="V54"/>
  <c r="T55"/>
  <c r="AA306" i="10" l="1"/>
  <c r="Z301"/>
  <c r="Z306"/>
  <c r="Z53" i="6"/>
  <c r="AC53"/>
  <c r="W54"/>
  <c r="U55"/>
  <c r="V55"/>
  <c r="T56"/>
  <c r="Z54" l="1"/>
  <c r="AC54"/>
  <c r="W55"/>
  <c r="U56"/>
  <c r="V56"/>
  <c r="T57"/>
  <c r="S57" s="1"/>
  <c r="Z55" l="1"/>
  <c r="AC55"/>
  <c r="U57"/>
  <c r="V57"/>
  <c r="T58"/>
  <c r="W57" l="1"/>
  <c r="U58"/>
  <c r="V58"/>
  <c r="T59"/>
  <c r="Z57" l="1"/>
  <c r="AC57"/>
  <c r="W58"/>
  <c r="U59"/>
  <c r="V59"/>
  <c r="T60"/>
  <c r="Z58" l="1"/>
  <c r="AC58"/>
  <c r="W59"/>
  <c r="U60"/>
  <c r="V60"/>
  <c r="T61"/>
  <c r="Z59" l="1"/>
  <c r="AC59"/>
  <c r="W60"/>
  <c r="U61"/>
  <c r="V61"/>
  <c r="T62"/>
  <c r="D8" i="11" l="1"/>
  <c r="D6"/>
  <c r="Z60" i="6"/>
  <c r="AC60"/>
  <c r="W61"/>
  <c r="U62"/>
  <c r="V62"/>
  <c r="T63"/>
  <c r="S63" s="1"/>
  <c r="D7" i="11" l="1"/>
  <c r="D9" s="1"/>
  <c r="Z61" i="6"/>
  <c r="AC61"/>
  <c r="U63"/>
  <c r="V63"/>
  <c r="T64"/>
  <c r="AD10" i="11" l="1"/>
  <c r="AE7"/>
  <c r="H7"/>
  <c r="J207"/>
  <c r="J191"/>
  <c r="J175"/>
  <c r="J159"/>
  <c r="J143"/>
  <c r="J127"/>
  <c r="J111"/>
  <c r="J95"/>
  <c r="J79"/>
  <c r="J63"/>
  <c r="J47"/>
  <c r="J31"/>
  <c r="J15"/>
  <c r="J35"/>
  <c r="J67"/>
  <c r="J99"/>
  <c r="J131"/>
  <c r="J163"/>
  <c r="J195"/>
  <c r="J27"/>
  <c r="J59"/>
  <c r="J91"/>
  <c r="J123"/>
  <c r="J155"/>
  <c r="J187"/>
  <c r="K7"/>
  <c r="I207"/>
  <c r="I203"/>
  <c r="I199"/>
  <c r="I195"/>
  <c r="I191"/>
  <c r="I187"/>
  <c r="I183"/>
  <c r="I179"/>
  <c r="I175"/>
  <c r="I171"/>
  <c r="I167"/>
  <c r="I163"/>
  <c r="I159"/>
  <c r="I155"/>
  <c r="I151"/>
  <c r="I147"/>
  <c r="I143"/>
  <c r="I139"/>
  <c r="I135"/>
  <c r="I131"/>
  <c r="I127"/>
  <c r="I123"/>
  <c r="I119"/>
  <c r="I115"/>
  <c r="I111"/>
  <c r="I107"/>
  <c r="I103"/>
  <c r="I99"/>
  <c r="I95"/>
  <c r="I91"/>
  <c r="I87"/>
  <c r="I83"/>
  <c r="I79"/>
  <c r="I75"/>
  <c r="I71"/>
  <c r="I67"/>
  <c r="I63"/>
  <c r="I59"/>
  <c r="I55"/>
  <c r="I51"/>
  <c r="I47"/>
  <c r="I43"/>
  <c r="I39"/>
  <c r="I35"/>
  <c r="I31"/>
  <c r="I27"/>
  <c r="I23"/>
  <c r="I19"/>
  <c r="I15"/>
  <c r="I11"/>
  <c r="H31"/>
  <c r="H55"/>
  <c r="H131"/>
  <c r="H151"/>
  <c r="H167"/>
  <c r="H183"/>
  <c r="H199"/>
  <c r="H23"/>
  <c r="H71"/>
  <c r="H87"/>
  <c r="H107"/>
  <c r="H123"/>
  <c r="H15"/>
  <c r="H43"/>
  <c r="H59"/>
  <c r="H135"/>
  <c r="H155"/>
  <c r="H171"/>
  <c r="H187"/>
  <c r="H203"/>
  <c r="H35"/>
  <c r="H75"/>
  <c r="H95"/>
  <c r="H111"/>
  <c r="H127"/>
  <c r="AD15"/>
  <c r="AE17"/>
  <c r="AD13"/>
  <c r="AD11"/>
  <c r="AE15"/>
  <c r="AE16"/>
  <c r="AE10"/>
  <c r="AE9"/>
  <c r="AD8"/>
  <c r="AE13"/>
  <c r="AD14"/>
  <c r="AD16"/>
  <c r="AE14"/>
  <c r="AD17"/>
  <c r="AE8"/>
  <c r="AE11"/>
  <c r="AD9"/>
  <c r="AD7"/>
  <c r="W63" i="6"/>
  <c r="U64"/>
  <c r="V64"/>
  <c r="T65"/>
  <c r="I7" i="11" l="1"/>
  <c r="H119"/>
  <c r="H103"/>
  <c r="H83"/>
  <c r="H67"/>
  <c r="H11"/>
  <c r="H195"/>
  <c r="H179"/>
  <c r="H163"/>
  <c r="H147"/>
  <c r="H91"/>
  <c r="H51"/>
  <c r="H27"/>
  <c r="H143"/>
  <c r="H115"/>
  <c r="H99"/>
  <c r="H79"/>
  <c r="H39"/>
  <c r="H207"/>
  <c r="H191"/>
  <c r="H175"/>
  <c r="H159"/>
  <c r="H139"/>
  <c r="H63"/>
  <c r="H47"/>
  <c r="H19"/>
  <c r="K11"/>
  <c r="K15"/>
  <c r="K19"/>
  <c r="K23"/>
  <c r="K27"/>
  <c r="K31"/>
  <c r="K35"/>
  <c r="K39"/>
  <c r="K43"/>
  <c r="K47"/>
  <c r="K51"/>
  <c r="K55"/>
  <c r="K59"/>
  <c r="K63"/>
  <c r="K67"/>
  <c r="K71"/>
  <c r="K75"/>
  <c r="K79"/>
  <c r="K83"/>
  <c r="K87"/>
  <c r="K91"/>
  <c r="K95"/>
  <c r="K99"/>
  <c r="K103"/>
  <c r="K107"/>
  <c r="K111"/>
  <c r="K115"/>
  <c r="K119"/>
  <c r="K123"/>
  <c r="K127"/>
  <c r="K131"/>
  <c r="K135"/>
  <c r="K139"/>
  <c r="K143"/>
  <c r="K147"/>
  <c r="K151"/>
  <c r="K155"/>
  <c r="K159"/>
  <c r="K163"/>
  <c r="K167"/>
  <c r="K171"/>
  <c r="K175"/>
  <c r="K179"/>
  <c r="K183"/>
  <c r="K187"/>
  <c r="K191"/>
  <c r="K195"/>
  <c r="K199"/>
  <c r="K203"/>
  <c r="K207"/>
  <c r="J203"/>
  <c r="J171"/>
  <c r="J139"/>
  <c r="J107"/>
  <c r="J75"/>
  <c r="J43"/>
  <c r="J11"/>
  <c r="J179"/>
  <c r="J147"/>
  <c r="J115"/>
  <c r="J83"/>
  <c r="J51"/>
  <c r="J19"/>
  <c r="J23"/>
  <c r="J39"/>
  <c r="J55"/>
  <c r="J71"/>
  <c r="J87"/>
  <c r="J103"/>
  <c r="J119"/>
  <c r="J135"/>
  <c r="J151"/>
  <c r="J167"/>
  <c r="J183"/>
  <c r="J199"/>
  <c r="J7"/>
  <c r="Z63" i="6"/>
  <c r="AC63"/>
  <c r="W64"/>
  <c r="U65"/>
  <c r="V65"/>
  <c r="T66"/>
  <c r="Z64" l="1"/>
  <c r="AC64"/>
  <c r="W65"/>
  <c r="U66"/>
  <c r="V66"/>
  <c r="T67"/>
  <c r="Z65" l="1"/>
  <c r="AC65"/>
  <c r="W66"/>
  <c r="U67"/>
  <c r="V67"/>
  <c r="T68"/>
  <c r="Z66" l="1"/>
  <c r="AC66"/>
  <c r="W67"/>
  <c r="U68"/>
  <c r="V68"/>
  <c r="T69"/>
  <c r="S69" s="1"/>
  <c r="Z67" l="1"/>
  <c r="AC67"/>
  <c r="U69"/>
  <c r="V69"/>
  <c r="T70"/>
  <c r="W69" l="1"/>
  <c r="U70"/>
  <c r="V70"/>
  <c r="T71"/>
  <c r="Z69" l="1"/>
  <c r="AC69"/>
  <c r="W70"/>
  <c r="U71"/>
  <c r="V71"/>
  <c r="T72"/>
  <c r="Z70" l="1"/>
  <c r="AC70"/>
  <c r="W71"/>
  <c r="U72"/>
  <c r="V72"/>
  <c r="T73"/>
  <c r="Z71" l="1"/>
  <c r="AC71"/>
  <c r="W72"/>
  <c r="U73"/>
  <c r="V73"/>
  <c r="T74"/>
  <c r="Z72" l="1"/>
  <c r="AC72"/>
  <c r="W73"/>
  <c r="U74"/>
  <c r="V74"/>
  <c r="T75"/>
  <c r="S75" s="1"/>
  <c r="Z73" l="1"/>
  <c r="AC73"/>
  <c r="U75"/>
  <c r="V75"/>
  <c r="T76"/>
  <c r="W75" l="1"/>
  <c r="U76"/>
  <c r="V76"/>
  <c r="T77"/>
  <c r="Z75" l="1"/>
  <c r="AC75"/>
  <c r="W76"/>
  <c r="U77"/>
  <c r="V77"/>
  <c r="T78"/>
  <c r="Z76" l="1"/>
  <c r="AC76"/>
  <c r="W77"/>
  <c r="U78"/>
  <c r="V78"/>
  <c r="T79"/>
  <c r="Z77" l="1"/>
  <c r="AC77"/>
  <c r="W78"/>
  <c r="U79"/>
  <c r="V79"/>
  <c r="T80"/>
  <c r="Z78" l="1"/>
  <c r="AC78"/>
  <c r="W79"/>
  <c r="U80"/>
  <c r="V80"/>
  <c r="T81"/>
  <c r="S81" s="1"/>
  <c r="Z79" l="1"/>
  <c r="AC79"/>
  <c r="U81"/>
  <c r="V81"/>
  <c r="T82"/>
  <c r="W81" l="1"/>
  <c r="U82"/>
  <c r="V82"/>
  <c r="T83"/>
  <c r="Z81" l="1"/>
  <c r="AC81"/>
  <c r="W82"/>
  <c r="U83"/>
  <c r="V83"/>
  <c r="T84"/>
  <c r="Z82" l="1"/>
  <c r="AC82"/>
  <c r="W83"/>
  <c r="U84"/>
  <c r="V84"/>
  <c r="T85"/>
  <c r="Z83" l="1"/>
  <c r="AC83"/>
  <c r="W84"/>
  <c r="U85"/>
  <c r="V85"/>
  <c r="T86"/>
  <c r="Z84" l="1"/>
  <c r="AC84"/>
  <c r="W85"/>
  <c r="U86"/>
  <c r="V86"/>
  <c r="T87"/>
  <c r="S87" s="1"/>
  <c r="Z85" l="1"/>
  <c r="AC85"/>
  <c r="U87"/>
  <c r="V87"/>
  <c r="T88"/>
  <c r="W87" l="1"/>
  <c r="U88"/>
  <c r="V88"/>
  <c r="T89"/>
  <c r="Z87" l="1"/>
  <c r="AC87"/>
  <c r="W88"/>
  <c r="U89"/>
  <c r="V89"/>
  <c r="T90"/>
  <c r="Z88" l="1"/>
  <c r="AC88"/>
  <c r="W89"/>
  <c r="U90"/>
  <c r="V90"/>
  <c r="T91"/>
  <c r="Z89" l="1"/>
  <c r="AC89"/>
  <c r="W90"/>
  <c r="U91"/>
  <c r="V91"/>
  <c r="T92"/>
  <c r="Z90" l="1"/>
  <c r="AC90"/>
  <c r="W91"/>
  <c r="U92"/>
  <c r="V92"/>
  <c r="T93"/>
  <c r="S93" s="1"/>
  <c r="Z91" l="1"/>
  <c r="AC91"/>
  <c r="U93"/>
  <c r="V93"/>
  <c r="T94"/>
  <c r="W93" l="1"/>
  <c r="U94"/>
  <c r="V94"/>
  <c r="T95"/>
  <c r="Z93" l="1"/>
  <c r="AC93"/>
  <c r="W94"/>
  <c r="U95"/>
  <c r="V95"/>
  <c r="T96"/>
  <c r="Z94" l="1"/>
  <c r="AC94"/>
  <c r="W95"/>
  <c r="U96"/>
  <c r="V96"/>
  <c r="T97"/>
  <c r="Z95" l="1"/>
  <c r="AC95"/>
  <c r="W96"/>
  <c r="U97"/>
  <c r="V97"/>
  <c r="T98"/>
  <c r="Z96" l="1"/>
  <c r="AC96"/>
  <c r="W97"/>
  <c r="U98"/>
  <c r="V98"/>
  <c r="T99"/>
  <c r="S99" s="1"/>
  <c r="Z97" l="1"/>
  <c r="AC97"/>
  <c r="U99"/>
  <c r="V99"/>
  <c r="T100"/>
  <c r="W99" l="1"/>
  <c r="U100"/>
  <c r="V100"/>
  <c r="T101"/>
  <c r="Z99" l="1"/>
  <c r="AC99"/>
  <c r="W100"/>
  <c r="U101"/>
  <c r="V101"/>
  <c r="T102"/>
  <c r="Z100" l="1"/>
  <c r="AC100"/>
  <c r="W101"/>
  <c r="U102"/>
  <c r="V102"/>
  <c r="T103"/>
  <c r="Z101" l="1"/>
  <c r="AC101"/>
  <c r="W102"/>
  <c r="U103"/>
  <c r="V103"/>
  <c r="T104"/>
  <c r="Z102" l="1"/>
  <c r="AC102"/>
  <c r="W103"/>
  <c r="U104"/>
  <c r="V104"/>
  <c r="T105"/>
  <c r="S105" s="1"/>
  <c r="Z103" l="1"/>
  <c r="AC103"/>
  <c r="U105"/>
  <c r="V105"/>
  <c r="T106"/>
  <c r="W105" l="1"/>
  <c r="U106"/>
  <c r="V106"/>
  <c r="T107"/>
  <c r="Z105" l="1"/>
  <c r="AC105"/>
  <c r="W106"/>
  <c r="U107"/>
  <c r="V107"/>
  <c r="T108"/>
  <c r="Z106" l="1"/>
  <c r="AC106"/>
  <c r="W107"/>
  <c r="U108"/>
  <c r="V108"/>
  <c r="T109"/>
  <c r="Z107" l="1"/>
  <c r="AC107"/>
  <c r="W108"/>
  <c r="U109"/>
  <c r="V109"/>
  <c r="T110"/>
  <c r="Z108" l="1"/>
  <c r="AC108"/>
  <c r="W109"/>
  <c r="U110"/>
  <c r="V110"/>
  <c r="T111"/>
  <c r="S111" s="1"/>
  <c r="Z109" l="1"/>
  <c r="AC109"/>
  <c r="U111"/>
  <c r="V111"/>
  <c r="T112"/>
  <c r="W111" l="1"/>
  <c r="U112"/>
  <c r="V112"/>
  <c r="T113"/>
  <c r="Z111" l="1"/>
  <c r="AC111"/>
  <c r="W112"/>
  <c r="U113"/>
  <c r="V113"/>
  <c r="T114"/>
  <c r="Z112" l="1"/>
  <c r="AC112"/>
  <c r="W113"/>
  <c r="U114"/>
  <c r="V114"/>
  <c r="T115"/>
  <c r="Z113" l="1"/>
  <c r="AC113"/>
  <c r="W114"/>
  <c r="U115"/>
  <c r="V115"/>
  <c r="T116"/>
  <c r="Z114" l="1"/>
  <c r="AC114"/>
  <c r="W115"/>
  <c r="U116"/>
  <c r="V116"/>
  <c r="T117"/>
  <c r="S117" s="1"/>
  <c r="Z115" l="1"/>
  <c r="AC115"/>
  <c r="U117"/>
  <c r="V117"/>
  <c r="T118"/>
  <c r="W117" l="1"/>
  <c r="U118"/>
  <c r="V118"/>
  <c r="T119"/>
  <c r="Z117" l="1"/>
  <c r="AC117"/>
  <c r="W118"/>
  <c r="U119"/>
  <c r="V119"/>
  <c r="T120"/>
  <c r="Z118" l="1"/>
  <c r="AC118"/>
  <c r="W119"/>
  <c r="U120"/>
  <c r="V120"/>
  <c r="T121"/>
  <c r="Z119" l="1"/>
  <c r="AC119"/>
  <c r="W120"/>
  <c r="U121"/>
  <c r="V121"/>
  <c r="T122"/>
  <c r="Z120" l="1"/>
  <c r="AC120"/>
  <c r="W121"/>
  <c r="U122"/>
  <c r="V122"/>
  <c r="T123"/>
  <c r="S123" s="1"/>
  <c r="Z121" l="1"/>
  <c r="AC121"/>
  <c r="U123"/>
  <c r="V123"/>
  <c r="T124"/>
  <c r="W123" l="1"/>
  <c r="U124"/>
  <c r="V124"/>
  <c r="T125"/>
  <c r="Z123" l="1"/>
  <c r="AC123"/>
  <c r="W124"/>
  <c r="U125"/>
  <c r="V125"/>
  <c r="T126"/>
  <c r="Z124" l="1"/>
  <c r="AC124"/>
  <c r="W125"/>
  <c r="U126"/>
  <c r="V126"/>
  <c r="T127"/>
  <c r="Z125" l="1"/>
  <c r="AC125"/>
  <c r="W126"/>
  <c r="U127"/>
  <c r="V127"/>
  <c r="T128"/>
  <c r="Z126" l="1"/>
  <c r="AC126"/>
  <c r="W127"/>
  <c r="U128"/>
  <c r="V128"/>
  <c r="T129"/>
  <c r="S129" s="1"/>
  <c r="Z127" l="1"/>
  <c r="AC127"/>
  <c r="U129"/>
  <c r="V129"/>
  <c r="T130"/>
  <c r="W129" l="1"/>
  <c r="U130"/>
  <c r="V130"/>
  <c r="T131"/>
  <c r="Z129" l="1"/>
  <c r="AC129"/>
  <c r="W130"/>
  <c r="U131"/>
  <c r="V131"/>
  <c r="T132"/>
  <c r="Z130" l="1"/>
  <c r="AC130"/>
  <c r="W131"/>
  <c r="U132"/>
  <c r="V132"/>
  <c r="T133"/>
  <c r="Z131" l="1"/>
  <c r="AC131"/>
  <c r="W132"/>
  <c r="U133"/>
  <c r="V133"/>
  <c r="T134"/>
  <c r="Z132" l="1"/>
  <c r="AC132"/>
  <c r="W133"/>
  <c r="U134"/>
  <c r="V134"/>
  <c r="T135"/>
  <c r="S135" s="1"/>
  <c r="Z133" l="1"/>
  <c r="AC133"/>
  <c r="U135"/>
  <c r="V135"/>
  <c r="T136"/>
  <c r="W135" l="1"/>
  <c r="U136"/>
  <c r="V136"/>
  <c r="T137"/>
  <c r="Z135" l="1"/>
  <c r="AC135"/>
  <c r="W136"/>
  <c r="U137"/>
  <c r="V137"/>
  <c r="T138"/>
  <c r="Z136" l="1"/>
  <c r="AC136"/>
  <c r="W137"/>
  <c r="U138"/>
  <c r="V138"/>
  <c r="T139"/>
  <c r="Z137" l="1"/>
  <c r="AC137"/>
  <c r="W138"/>
  <c r="U139"/>
  <c r="V139"/>
  <c r="T140"/>
  <c r="Z138" l="1"/>
  <c r="AC138"/>
  <c r="W139"/>
  <c r="U140"/>
  <c r="V140"/>
  <c r="T141"/>
  <c r="S141" s="1"/>
  <c r="Z139" l="1"/>
  <c r="AC139"/>
  <c r="U141"/>
  <c r="V141"/>
  <c r="T142"/>
  <c r="W141" l="1"/>
  <c r="U142"/>
  <c r="V142"/>
  <c r="T143"/>
  <c r="Z141" l="1"/>
  <c r="AC141"/>
  <c r="W142"/>
  <c r="U143"/>
  <c r="V143"/>
  <c r="T144"/>
  <c r="Z142" l="1"/>
  <c r="AC142"/>
  <c r="W143"/>
  <c r="U144"/>
  <c r="V144"/>
  <c r="T145"/>
  <c r="Z143" l="1"/>
  <c r="AC143"/>
  <c r="W144"/>
  <c r="U145"/>
  <c r="V145"/>
  <c r="T146"/>
  <c r="Z144" l="1"/>
  <c r="AC144"/>
  <c r="W145"/>
  <c r="U146"/>
  <c r="V146"/>
  <c r="T147"/>
  <c r="S147" s="1"/>
  <c r="Z145" l="1"/>
  <c r="AC145"/>
  <c r="U147"/>
  <c r="V147"/>
  <c r="T148"/>
  <c r="W147" l="1"/>
  <c r="U148"/>
  <c r="V148"/>
  <c r="T149"/>
  <c r="Z147" l="1"/>
  <c r="AC147"/>
  <c r="W148"/>
  <c r="U149"/>
  <c r="V149"/>
  <c r="T150"/>
  <c r="Z148" l="1"/>
  <c r="AC148"/>
  <c r="W149"/>
  <c r="U150"/>
  <c r="V150"/>
  <c r="T151"/>
  <c r="Z149" l="1"/>
  <c r="AC149"/>
  <c r="W150"/>
  <c r="U151"/>
  <c r="V151"/>
  <c r="T152"/>
  <c r="Z150" l="1"/>
  <c r="AC150"/>
  <c r="W151"/>
  <c r="U152"/>
  <c r="V152"/>
  <c r="T153"/>
  <c r="S153" s="1"/>
  <c r="Z151" l="1"/>
  <c r="AC151"/>
  <c r="U153"/>
  <c r="V153"/>
  <c r="T154"/>
  <c r="W153" l="1"/>
  <c r="U154"/>
  <c r="V154"/>
  <c r="T155"/>
  <c r="Z153" l="1"/>
  <c r="AC153"/>
  <c r="W154"/>
  <c r="U155"/>
  <c r="V155"/>
  <c r="T156"/>
  <c r="Z154" l="1"/>
  <c r="AC154"/>
  <c r="W155"/>
  <c r="U156"/>
  <c r="V156"/>
  <c r="T157"/>
  <c r="Z155" l="1"/>
  <c r="AC155"/>
  <c r="W156"/>
  <c r="U157"/>
  <c r="V157"/>
  <c r="T158"/>
  <c r="Z156" l="1"/>
  <c r="AC156"/>
  <c r="W157"/>
  <c r="U158"/>
  <c r="V158"/>
  <c r="T159"/>
  <c r="S159" s="1"/>
  <c r="Z157" l="1"/>
  <c r="AC157"/>
  <c r="U159"/>
  <c r="V159"/>
  <c r="T160"/>
  <c r="W159" l="1"/>
  <c r="U160"/>
  <c r="V160"/>
  <c r="T161"/>
  <c r="Z159" l="1"/>
  <c r="AC159"/>
  <c r="W160"/>
  <c r="U161"/>
  <c r="V161"/>
  <c r="T162"/>
  <c r="Z160" l="1"/>
  <c r="AC160"/>
  <c r="W161"/>
  <c r="U162"/>
  <c r="V162"/>
  <c r="T163"/>
  <c r="Z161" l="1"/>
  <c r="AC161"/>
  <c r="W162"/>
  <c r="U163"/>
  <c r="V163"/>
  <c r="T164"/>
  <c r="Z162" l="1"/>
  <c r="AC162"/>
  <c r="W163"/>
  <c r="U164"/>
  <c r="V164"/>
  <c r="T165"/>
  <c r="S165" s="1"/>
  <c r="Z163" l="1"/>
  <c r="AC163"/>
  <c r="U165"/>
  <c r="V165"/>
  <c r="T166"/>
  <c r="W165" l="1"/>
  <c r="U166"/>
  <c r="V166"/>
  <c r="T167"/>
  <c r="Z165" l="1"/>
  <c r="AC165"/>
  <c r="W166"/>
  <c r="U167"/>
  <c r="V167"/>
  <c r="T168"/>
  <c r="Z166" l="1"/>
  <c r="AC166"/>
  <c r="W167"/>
  <c r="U168"/>
  <c r="V168"/>
  <c r="T169"/>
  <c r="Z167" l="1"/>
  <c r="AC167"/>
  <c r="W168"/>
  <c r="U169"/>
  <c r="V169"/>
  <c r="T170"/>
  <c r="Z168" l="1"/>
  <c r="AC168"/>
  <c r="W169"/>
  <c r="U170"/>
  <c r="V170"/>
  <c r="T171"/>
  <c r="S171" s="1"/>
  <c r="Z169" l="1"/>
  <c r="AC169"/>
  <c r="U171"/>
  <c r="V171"/>
  <c r="T172"/>
  <c r="W171" l="1"/>
  <c r="U172"/>
  <c r="V172"/>
  <c r="T173"/>
  <c r="Z171" l="1"/>
  <c r="AC171"/>
  <c r="W172"/>
  <c r="U173"/>
  <c r="V173"/>
  <c r="T174"/>
  <c r="Z172" l="1"/>
  <c r="AC172"/>
  <c r="W173"/>
  <c r="U174"/>
  <c r="V174"/>
  <c r="T175"/>
  <c r="Z173" l="1"/>
  <c r="AC173"/>
  <c r="W174"/>
  <c r="U175"/>
  <c r="V175"/>
  <c r="T176"/>
  <c r="Z174" l="1"/>
  <c r="AC174"/>
  <c r="W175"/>
  <c r="U176"/>
  <c r="V176"/>
  <c r="T177"/>
  <c r="S177" s="1"/>
  <c r="Z175" l="1"/>
  <c r="AC175"/>
  <c r="U177"/>
  <c r="V177"/>
  <c r="T178"/>
  <c r="W177" l="1"/>
  <c r="U178"/>
  <c r="V178"/>
  <c r="T179"/>
  <c r="Z177" l="1"/>
  <c r="AC177"/>
  <c r="W178"/>
  <c r="U179"/>
  <c r="V179"/>
  <c r="T180"/>
  <c r="Z178" l="1"/>
  <c r="AC178"/>
  <c r="W179"/>
  <c r="U180"/>
  <c r="V180"/>
  <c r="T181"/>
  <c r="Z179" l="1"/>
  <c r="AC179"/>
  <c r="W180"/>
  <c r="U181"/>
  <c r="V181"/>
  <c r="T182"/>
  <c r="Z180" l="1"/>
  <c r="AC180"/>
  <c r="W181"/>
  <c r="U182"/>
  <c r="V182"/>
  <c r="T183"/>
  <c r="S183" s="1"/>
  <c r="Z181" l="1"/>
  <c r="AC181"/>
  <c r="U183"/>
  <c r="V183"/>
  <c r="T184"/>
  <c r="W183" l="1"/>
  <c r="U184"/>
  <c r="V184"/>
  <c r="T185"/>
  <c r="Z183" l="1"/>
  <c r="AC183"/>
  <c r="W184"/>
  <c r="U185"/>
  <c r="V185"/>
  <c r="T186"/>
  <c r="Z184" l="1"/>
  <c r="AC184"/>
  <c r="W185"/>
  <c r="U186"/>
  <c r="V186"/>
  <c r="T187"/>
  <c r="Z185" l="1"/>
  <c r="AC185"/>
  <c r="W186"/>
  <c r="U187"/>
  <c r="V187"/>
  <c r="T188"/>
  <c r="Z186" l="1"/>
  <c r="AC186"/>
  <c r="W187"/>
  <c r="U188"/>
  <c r="V188"/>
  <c r="T189"/>
  <c r="S189" s="1"/>
  <c r="Z187" l="1"/>
  <c r="AC187"/>
  <c r="U189"/>
  <c r="V189"/>
  <c r="T190"/>
  <c r="W189" l="1"/>
  <c r="U190"/>
  <c r="V190"/>
  <c r="T191"/>
  <c r="Z189" l="1"/>
  <c r="AC189"/>
  <c r="W190"/>
  <c r="U191"/>
  <c r="V191"/>
  <c r="T192"/>
  <c r="Z190" l="1"/>
  <c r="AC190"/>
  <c r="W191"/>
  <c r="U192"/>
  <c r="V192"/>
  <c r="T193"/>
  <c r="Z191" l="1"/>
  <c r="AC191"/>
  <c r="W192"/>
  <c r="U193"/>
  <c r="V193"/>
  <c r="T194"/>
  <c r="Z192" l="1"/>
  <c r="AC192"/>
  <c r="W193"/>
  <c r="U194"/>
  <c r="V194"/>
  <c r="T195"/>
  <c r="S195" s="1"/>
  <c r="Z193" l="1"/>
  <c r="AC193"/>
  <c r="U195"/>
  <c r="V195"/>
  <c r="T196"/>
  <c r="W195" l="1"/>
  <c r="U196"/>
  <c r="V196"/>
  <c r="T197"/>
  <c r="Z195" l="1"/>
  <c r="AC195"/>
  <c r="W196"/>
  <c r="U197"/>
  <c r="V197"/>
  <c r="T198"/>
  <c r="Z196" l="1"/>
  <c r="AC196"/>
  <c r="W197"/>
  <c r="U198"/>
  <c r="V198"/>
  <c r="T199"/>
  <c r="Z197" l="1"/>
  <c r="AC197"/>
  <c r="W198"/>
  <c r="U199"/>
  <c r="V199"/>
  <c r="T200"/>
  <c r="Z198" l="1"/>
  <c r="AC198"/>
  <c r="W199"/>
  <c r="U200"/>
  <c r="V200"/>
  <c r="T201"/>
  <c r="S201" s="1"/>
  <c r="Z199" l="1"/>
  <c r="AC199"/>
  <c r="U201"/>
  <c r="V201"/>
  <c r="T202"/>
  <c r="W201" l="1"/>
  <c r="U202"/>
  <c r="V202"/>
  <c r="T203"/>
  <c r="Z201" l="1"/>
  <c r="AC201"/>
  <c r="W202"/>
  <c r="U203"/>
  <c r="V203"/>
  <c r="T204"/>
  <c r="Z202" l="1"/>
  <c r="AC202"/>
  <c r="W203"/>
  <c r="U204"/>
  <c r="V204"/>
  <c r="T205"/>
  <c r="Z203" l="1"/>
  <c r="AC203"/>
  <c r="W204"/>
  <c r="U205"/>
  <c r="V205"/>
  <c r="T206"/>
  <c r="Z204" l="1"/>
  <c r="AC204"/>
  <c r="W205"/>
  <c r="U206"/>
  <c r="V206"/>
  <c r="T207"/>
  <c r="S207" s="1"/>
  <c r="Z205" l="1"/>
  <c r="AC205"/>
  <c r="U207"/>
  <c r="V207"/>
  <c r="T208"/>
  <c r="W207" l="1"/>
  <c r="U208"/>
  <c r="V208"/>
  <c r="T209"/>
  <c r="Z207" l="1"/>
  <c r="AC207"/>
  <c r="W208"/>
  <c r="U209"/>
  <c r="V209"/>
  <c r="T210"/>
  <c r="Z208" l="1"/>
  <c r="AC208"/>
  <c r="W209"/>
  <c r="U210"/>
  <c r="V210"/>
  <c r="T211"/>
  <c r="Z209" l="1"/>
  <c r="AC209"/>
  <c r="W210"/>
  <c r="U211"/>
  <c r="V211"/>
  <c r="T212"/>
  <c r="Z210" l="1"/>
  <c r="AC210"/>
  <c r="W211"/>
  <c r="U212"/>
  <c r="V212"/>
  <c r="T213"/>
  <c r="S213" s="1"/>
  <c r="Z211" l="1"/>
  <c r="AC211"/>
  <c r="U213"/>
  <c r="V213"/>
  <c r="T214"/>
  <c r="W213" l="1"/>
  <c r="U214"/>
  <c r="V214"/>
  <c r="T215"/>
  <c r="Z213" l="1"/>
  <c r="AC213"/>
  <c r="W214"/>
  <c r="U215"/>
  <c r="V215"/>
  <c r="T216"/>
  <c r="Z214" l="1"/>
  <c r="AC214"/>
  <c r="W215"/>
  <c r="U216"/>
  <c r="V216"/>
  <c r="T217"/>
  <c r="Z215" l="1"/>
  <c r="AC215"/>
  <c r="W216"/>
  <c r="U217"/>
  <c r="V217"/>
  <c r="T218"/>
  <c r="Z216" l="1"/>
  <c r="AC216"/>
  <c r="W217"/>
  <c r="U218"/>
  <c r="V218"/>
  <c r="T219"/>
  <c r="S219" s="1"/>
  <c r="Z217" l="1"/>
  <c r="AC217"/>
  <c r="U219"/>
  <c r="V219"/>
  <c r="T220"/>
  <c r="W219" l="1"/>
  <c r="U220"/>
  <c r="V220"/>
  <c r="T221"/>
  <c r="Z219" l="1"/>
  <c r="AC219"/>
  <c r="W220"/>
  <c r="U221"/>
  <c r="V221"/>
  <c r="T222"/>
  <c r="Z220" l="1"/>
  <c r="AC220"/>
  <c r="W221"/>
  <c r="U222"/>
  <c r="V222"/>
  <c r="T223"/>
  <c r="Z221" l="1"/>
  <c r="AC221"/>
  <c r="W222"/>
  <c r="U223"/>
  <c r="V223"/>
  <c r="T224"/>
  <c r="Z222" l="1"/>
  <c r="AC222"/>
  <c r="W223"/>
  <c r="U224"/>
  <c r="V224"/>
  <c r="T225"/>
  <c r="S225" s="1"/>
  <c r="Z223" l="1"/>
  <c r="AC223"/>
  <c r="U225"/>
  <c r="V225"/>
  <c r="T226"/>
  <c r="W225" l="1"/>
  <c r="U226"/>
  <c r="V226"/>
  <c r="T227"/>
  <c r="Z225" l="1"/>
  <c r="AC225"/>
  <c r="W226"/>
  <c r="U227"/>
  <c r="V227"/>
  <c r="T228"/>
  <c r="Z226" l="1"/>
  <c r="AC226"/>
  <c r="W227"/>
  <c r="U228"/>
  <c r="V228"/>
  <c r="T229"/>
  <c r="Z227" l="1"/>
  <c r="AC227"/>
  <c r="W228"/>
  <c r="U229"/>
  <c r="V229"/>
  <c r="T230"/>
  <c r="Z228" l="1"/>
  <c r="AC228"/>
  <c r="W229"/>
  <c r="U230"/>
  <c r="V230"/>
  <c r="T231"/>
  <c r="S231" s="1"/>
  <c r="Z229" l="1"/>
  <c r="AC229"/>
  <c r="U231"/>
  <c r="V231"/>
  <c r="T232"/>
  <c r="W231" l="1"/>
  <c r="U232"/>
  <c r="V232"/>
  <c r="T233"/>
  <c r="Z231" l="1"/>
  <c r="AC231"/>
  <c r="W232"/>
  <c r="U233"/>
  <c r="V233"/>
  <c r="T234"/>
  <c r="Z232" l="1"/>
  <c r="AC232"/>
  <c r="W233"/>
  <c r="U234"/>
  <c r="V234"/>
  <c r="T235"/>
  <c r="Z233" l="1"/>
  <c r="AC233"/>
  <c r="W234"/>
  <c r="U235"/>
  <c r="V235"/>
  <c r="T236"/>
  <c r="Z234" l="1"/>
  <c r="AC234"/>
  <c r="W235"/>
  <c r="U236"/>
  <c r="V236"/>
  <c r="T237"/>
  <c r="S237" s="1"/>
  <c r="Z235" l="1"/>
  <c r="AC235"/>
  <c r="U237"/>
  <c r="V237"/>
  <c r="T238"/>
  <c r="W237" l="1"/>
  <c r="U238"/>
  <c r="V238"/>
  <c r="T239"/>
  <c r="Z237" l="1"/>
  <c r="AC237"/>
  <c r="W238"/>
  <c r="U239"/>
  <c r="V239"/>
  <c r="T240"/>
  <c r="Z238" l="1"/>
  <c r="AC238"/>
  <c r="W239"/>
  <c r="U240"/>
  <c r="V240"/>
  <c r="T241"/>
  <c r="Z239" l="1"/>
  <c r="AC239"/>
  <c r="W240"/>
  <c r="U241"/>
  <c r="V241"/>
  <c r="T242"/>
  <c r="Z240" l="1"/>
  <c r="AC240"/>
  <c r="W241"/>
  <c r="U242"/>
  <c r="V242"/>
  <c r="T243"/>
  <c r="S243" s="1"/>
  <c r="Z241" l="1"/>
  <c r="AC241"/>
  <c r="U243"/>
  <c r="V243"/>
  <c r="T244"/>
  <c r="W243" l="1"/>
  <c r="U244"/>
  <c r="V244"/>
  <c r="T245"/>
  <c r="Z243" l="1"/>
  <c r="AC243"/>
  <c r="W244"/>
  <c r="U245"/>
  <c r="V245"/>
  <c r="T246"/>
  <c r="Z244" l="1"/>
  <c r="AC244"/>
  <c r="W245"/>
  <c r="U246"/>
  <c r="V246"/>
  <c r="T247"/>
  <c r="Z245" l="1"/>
  <c r="AC245"/>
  <c r="W246"/>
  <c r="U247"/>
  <c r="V247"/>
  <c r="T248"/>
  <c r="Z246" l="1"/>
  <c r="AC246"/>
  <c r="W247"/>
  <c r="U248"/>
  <c r="V248"/>
  <c r="T249"/>
  <c r="S249" s="1"/>
  <c r="Z247" l="1"/>
  <c r="AC247"/>
  <c r="U249"/>
  <c r="V249"/>
  <c r="T250"/>
  <c r="W249" l="1"/>
  <c r="U250"/>
  <c r="V250"/>
  <c r="T251"/>
  <c r="Z249" l="1"/>
  <c r="AC249"/>
  <c r="W250"/>
  <c r="U251"/>
  <c r="V251"/>
  <c r="T252"/>
  <c r="Z250" l="1"/>
  <c r="AC250"/>
  <c r="W251"/>
  <c r="U252"/>
  <c r="V252"/>
  <c r="T253"/>
  <c r="Z251" l="1"/>
  <c r="AC251"/>
  <c r="W252"/>
  <c r="U253"/>
  <c r="V253"/>
  <c r="T254"/>
  <c r="Z252" l="1"/>
  <c r="AC252"/>
  <c r="W253"/>
  <c r="U254"/>
  <c r="V254"/>
  <c r="T255"/>
  <c r="S255" s="1"/>
  <c r="Z253" l="1"/>
  <c r="AC253"/>
  <c r="U255"/>
  <c r="V255"/>
  <c r="T256"/>
  <c r="W255" l="1"/>
  <c r="U256"/>
  <c r="V256"/>
  <c r="T257"/>
  <c r="Z255" l="1"/>
  <c r="AC255"/>
  <c r="W256"/>
  <c r="U257"/>
  <c r="V257"/>
  <c r="T258"/>
  <c r="Z256" l="1"/>
  <c r="AC256"/>
  <c r="W257"/>
  <c r="U258"/>
  <c r="V258"/>
  <c r="T259"/>
  <c r="Z257" l="1"/>
  <c r="AC257"/>
  <c r="W258"/>
  <c r="U259"/>
  <c r="V259"/>
  <c r="T260"/>
  <c r="Z258" l="1"/>
  <c r="AC258"/>
  <c r="W259"/>
  <c r="U260"/>
  <c r="V260"/>
  <c r="T261"/>
  <c r="S261" s="1"/>
  <c r="Z259" l="1"/>
  <c r="AC259"/>
  <c r="U261"/>
  <c r="V261"/>
  <c r="T262"/>
  <c r="W261" l="1"/>
  <c r="U262"/>
  <c r="V262"/>
  <c r="T263"/>
  <c r="Z261" l="1"/>
  <c r="AC261"/>
  <c r="W262"/>
  <c r="U263"/>
  <c r="V263"/>
  <c r="T264"/>
  <c r="Z262" l="1"/>
  <c r="AC262"/>
  <c r="W263"/>
  <c r="U264"/>
  <c r="V264"/>
  <c r="T265"/>
  <c r="Z263" l="1"/>
  <c r="AC263"/>
  <c r="W264"/>
  <c r="U265"/>
  <c r="V265"/>
  <c r="T266"/>
  <c r="Z264" l="1"/>
  <c r="AC264"/>
  <c r="W265"/>
  <c r="U266"/>
  <c r="V266"/>
  <c r="T267"/>
  <c r="S267" s="1"/>
  <c r="Z265" l="1"/>
  <c r="AC265"/>
  <c r="U267"/>
  <c r="V267"/>
  <c r="T268"/>
  <c r="W267" l="1"/>
  <c r="U268"/>
  <c r="V268"/>
  <c r="T269"/>
  <c r="Z267" l="1"/>
  <c r="AC267"/>
  <c r="W268"/>
  <c r="U269"/>
  <c r="V269"/>
  <c r="T270"/>
  <c r="Z268" l="1"/>
  <c r="AC268"/>
  <c r="W269"/>
  <c r="U270"/>
  <c r="V270"/>
  <c r="T271"/>
  <c r="Z269" l="1"/>
  <c r="AC269"/>
  <c r="W270"/>
  <c r="U271"/>
  <c r="V271"/>
  <c r="T272"/>
  <c r="Z270" l="1"/>
  <c r="AC270"/>
  <c r="W271"/>
  <c r="T273"/>
  <c r="U272"/>
  <c r="V272"/>
  <c r="Z271" l="1"/>
  <c r="AC271"/>
  <c r="T274"/>
  <c r="V274" s="1"/>
  <c r="S273"/>
  <c r="U274"/>
  <c r="U273"/>
  <c r="W273" s="1"/>
  <c r="AC273" s="1"/>
  <c r="V273"/>
  <c r="T275"/>
  <c r="W274" l="1"/>
  <c r="Z273"/>
  <c r="U275"/>
  <c r="V275"/>
  <c r="T276"/>
  <c r="Z274" l="1"/>
  <c r="AC274"/>
  <c r="W275"/>
  <c r="U276"/>
  <c r="V276"/>
  <c r="T277"/>
  <c r="Z275" l="1"/>
  <c r="AC275"/>
  <c r="W276"/>
  <c r="U277"/>
  <c r="V277"/>
  <c r="T278"/>
  <c r="Z276" l="1"/>
  <c r="AC276"/>
  <c r="W277"/>
  <c r="U278"/>
  <c r="V278"/>
  <c r="T279"/>
  <c r="S279" s="1"/>
  <c r="Z277" l="1"/>
  <c r="AC277"/>
  <c r="U279"/>
  <c r="V279"/>
  <c r="T280"/>
  <c r="W279" l="1"/>
  <c r="U280"/>
  <c r="V280"/>
  <c r="T281"/>
  <c r="Z279" l="1"/>
  <c r="AC279"/>
  <c r="W280"/>
  <c r="U281"/>
  <c r="V281"/>
  <c r="T282"/>
  <c r="Z280" l="1"/>
  <c r="AC280"/>
  <c r="W281"/>
  <c r="U282"/>
  <c r="V282"/>
  <c r="T283"/>
  <c r="Z281" l="1"/>
  <c r="AC281"/>
  <c r="W282"/>
  <c r="U283"/>
  <c r="V283"/>
  <c r="T284"/>
  <c r="Z282" l="1"/>
  <c r="AC282"/>
  <c r="W283"/>
  <c r="U284"/>
  <c r="V284"/>
  <c r="T285"/>
  <c r="S285" s="1"/>
  <c r="Z283" l="1"/>
  <c r="AC283"/>
  <c r="U285"/>
  <c r="V285"/>
  <c r="T286"/>
  <c r="W285" l="1"/>
  <c r="U286"/>
  <c r="V286"/>
  <c r="T287"/>
  <c r="Z285" l="1"/>
  <c r="AC285"/>
  <c r="W286"/>
  <c r="U287"/>
  <c r="V287"/>
  <c r="T288"/>
  <c r="Z286" l="1"/>
  <c r="AC286"/>
  <c r="W287"/>
  <c r="U288"/>
  <c r="V288"/>
  <c r="T289"/>
  <c r="Z287" l="1"/>
  <c r="AC287"/>
  <c r="W288"/>
  <c r="U289"/>
  <c r="V289"/>
  <c r="T290"/>
  <c r="Z288" l="1"/>
  <c r="AC288"/>
  <c r="W289"/>
  <c r="U290"/>
  <c r="V290"/>
  <c r="T291"/>
  <c r="S291" s="1"/>
  <c r="Z289" l="1"/>
  <c r="AC289"/>
  <c r="U291"/>
  <c r="V291"/>
  <c r="T292"/>
  <c r="W291" l="1"/>
  <c r="U292"/>
  <c r="V292"/>
  <c r="T293"/>
  <c r="Z291" l="1"/>
  <c r="AC291"/>
  <c r="W292"/>
  <c r="U293"/>
  <c r="V293"/>
  <c r="T294"/>
  <c r="Z292" l="1"/>
  <c r="AC292"/>
  <c r="W293"/>
  <c r="U294"/>
  <c r="V294"/>
  <c r="T295"/>
  <c r="Z293" l="1"/>
  <c r="AC293"/>
  <c r="W294"/>
  <c r="U295"/>
  <c r="V295"/>
  <c r="T296"/>
  <c r="Z294" l="1"/>
  <c r="AC294"/>
  <c r="W295"/>
  <c r="U296"/>
  <c r="V296"/>
  <c r="T297"/>
  <c r="S297" s="1"/>
  <c r="Z295" l="1"/>
  <c r="AC295"/>
  <c r="U297"/>
  <c r="V297"/>
  <c r="T298"/>
  <c r="W297" l="1"/>
  <c r="U298"/>
  <c r="V298"/>
  <c r="T299"/>
  <c r="Z297" l="1"/>
  <c r="AC297"/>
  <c r="W298"/>
  <c r="U299"/>
  <c r="V299"/>
  <c r="T300"/>
  <c r="Z298" l="1"/>
  <c r="AC298"/>
  <c r="W299"/>
  <c r="U300"/>
  <c r="V300"/>
  <c r="T301"/>
  <c r="Z299" l="1"/>
  <c r="AC299"/>
  <c r="W300"/>
  <c r="U301"/>
  <c r="V301"/>
  <c r="T302"/>
  <c r="Z300" l="1"/>
  <c r="AC300"/>
  <c r="W301"/>
  <c r="U302"/>
  <c r="V302"/>
  <c r="T303"/>
  <c r="S303" s="1"/>
  <c r="Z301" l="1"/>
  <c r="AC301"/>
  <c r="U303"/>
  <c r="V303"/>
  <c r="T304"/>
  <c r="W303" l="1"/>
  <c r="U304"/>
  <c r="V304"/>
  <c r="T305"/>
  <c r="Z303" l="1"/>
  <c r="AC303"/>
  <c r="W304"/>
  <c r="U305"/>
  <c r="V305"/>
  <c r="T306"/>
  <c r="Z304" l="1"/>
  <c r="AC304"/>
  <c r="W305"/>
  <c r="U306"/>
  <c r="V306"/>
  <c r="T307"/>
  <c r="Z305" l="1"/>
  <c r="AC305"/>
  <c r="W306"/>
  <c r="U307"/>
  <c r="V307"/>
  <c r="T308"/>
  <c r="Z306" l="1"/>
  <c r="AC306"/>
  <c r="W307"/>
  <c r="U308"/>
  <c r="V308"/>
  <c r="T309"/>
  <c r="S309" s="1"/>
  <c r="Z307" l="1"/>
  <c r="AC307"/>
  <c r="U309"/>
  <c r="V309"/>
  <c r="T310"/>
  <c r="W309" l="1"/>
  <c r="U310"/>
  <c r="V310"/>
  <c r="T311"/>
  <c r="Z309" l="1"/>
  <c r="AC309"/>
  <c r="W310"/>
  <c r="U311"/>
  <c r="V311"/>
  <c r="T312"/>
  <c r="Z310" l="1"/>
  <c r="AC310"/>
  <c r="W311"/>
  <c r="U312"/>
  <c r="V312"/>
  <c r="T313"/>
  <c r="Z311" l="1"/>
  <c r="AC311"/>
  <c r="W312"/>
  <c r="U313"/>
  <c r="V313"/>
  <c r="T314"/>
  <c r="Z312" l="1"/>
  <c r="AC312"/>
  <c r="W313"/>
  <c r="U314"/>
  <c r="V314"/>
  <c r="T315"/>
  <c r="S315" s="1"/>
  <c r="Z313" l="1"/>
  <c r="AC313"/>
  <c r="U315"/>
  <c r="V315"/>
  <c r="T316"/>
  <c r="W315" l="1"/>
  <c r="U316"/>
  <c r="V316"/>
  <c r="T317"/>
  <c r="Z315" l="1"/>
  <c r="AC315"/>
  <c r="W316"/>
  <c r="U317"/>
  <c r="V317"/>
  <c r="T318"/>
  <c r="Z316" l="1"/>
  <c r="AC316"/>
  <c r="W317"/>
  <c r="U318"/>
  <c r="V318"/>
  <c r="T319"/>
  <c r="Z317" l="1"/>
  <c r="AC317"/>
  <c r="W318"/>
  <c r="U319"/>
  <c r="V319"/>
  <c r="T320"/>
  <c r="Z318" l="1"/>
  <c r="AC318"/>
  <c r="W319"/>
  <c r="U320"/>
  <c r="V320"/>
  <c r="T321"/>
  <c r="S321" s="1"/>
  <c r="Z319" l="1"/>
  <c r="AC319"/>
  <c r="U321"/>
  <c r="V321"/>
  <c r="T322"/>
  <c r="W321" l="1"/>
  <c r="U322"/>
  <c r="V322"/>
  <c r="T323"/>
  <c r="Z321" l="1"/>
  <c r="AC321"/>
  <c r="W322"/>
  <c r="U323"/>
  <c r="V323"/>
  <c r="T324"/>
  <c r="Z322" l="1"/>
  <c r="AC322"/>
  <c r="W323"/>
  <c r="U324"/>
  <c r="V324"/>
  <c r="T325"/>
  <c r="Z323" l="1"/>
  <c r="AC323"/>
  <c r="W324"/>
  <c r="U325"/>
  <c r="V325"/>
  <c r="T326"/>
  <c r="Z324" l="1"/>
  <c r="AC324"/>
  <c r="W325"/>
  <c r="U326"/>
  <c r="V326"/>
  <c r="T327"/>
  <c r="S327" s="1"/>
  <c r="Z325" l="1"/>
  <c r="AC325"/>
  <c r="U327"/>
  <c r="V327"/>
  <c r="T328"/>
  <c r="W327" l="1"/>
  <c r="U328"/>
  <c r="V328"/>
  <c r="T329"/>
  <c r="Z327" l="1"/>
  <c r="AC327"/>
  <c r="W328"/>
  <c r="U329"/>
  <c r="V329"/>
  <c r="T330"/>
  <c r="Z328" l="1"/>
  <c r="AC328"/>
  <c r="W329"/>
  <c r="U330"/>
  <c r="V330"/>
  <c r="T331"/>
  <c r="Z329" l="1"/>
  <c r="AC329"/>
  <c r="W330"/>
  <c r="U331"/>
  <c r="V331"/>
  <c r="T332"/>
  <c r="Z330" l="1"/>
  <c r="AC330"/>
  <c r="W331"/>
  <c r="U332"/>
  <c r="V332"/>
  <c r="T333"/>
  <c r="S333" s="1"/>
  <c r="Z331" l="1"/>
  <c r="AC331"/>
  <c r="U333"/>
  <c r="V333"/>
  <c r="T334"/>
  <c r="W333" l="1"/>
  <c r="U334"/>
  <c r="V334"/>
  <c r="T335"/>
  <c r="Z333" l="1"/>
  <c r="AC333"/>
  <c r="W334"/>
  <c r="U335"/>
  <c r="V335"/>
  <c r="T336"/>
  <c r="Z334" l="1"/>
  <c r="AC334"/>
  <c r="W335"/>
  <c r="U336"/>
  <c r="V336"/>
  <c r="T337"/>
  <c r="Z335" l="1"/>
  <c r="AC335"/>
  <c r="W336"/>
  <c r="U337"/>
  <c r="V337"/>
  <c r="T338"/>
  <c r="Z336" l="1"/>
  <c r="AC336"/>
  <c r="W337"/>
  <c r="U338"/>
  <c r="V338"/>
  <c r="T339"/>
  <c r="S339" s="1"/>
  <c r="Z337" l="1"/>
  <c r="AC337"/>
  <c r="U339"/>
  <c r="V339"/>
  <c r="T340"/>
  <c r="W339" l="1"/>
  <c r="U340"/>
  <c r="V340"/>
  <c r="T341"/>
  <c r="Z339" l="1"/>
  <c r="AC339"/>
  <c r="W340"/>
  <c r="U341"/>
  <c r="V341"/>
  <c r="T342"/>
  <c r="Z340" l="1"/>
  <c r="AC340"/>
  <c r="W341"/>
  <c r="U342"/>
  <c r="V342"/>
  <c r="T343"/>
  <c r="Z341" l="1"/>
  <c r="AC341"/>
  <c r="W342"/>
  <c r="U343"/>
  <c r="V343"/>
  <c r="T344"/>
  <c r="Z342" l="1"/>
  <c r="AC342"/>
  <c r="W343"/>
  <c r="U344"/>
  <c r="V344"/>
  <c r="T345"/>
  <c r="S345" s="1"/>
  <c r="Z343" l="1"/>
  <c r="AC343"/>
  <c r="U345"/>
  <c r="V345"/>
  <c r="T346"/>
  <c r="W345" l="1"/>
  <c r="U346"/>
  <c r="V346"/>
  <c r="T347"/>
  <c r="Z345" l="1"/>
  <c r="AC345"/>
  <c r="W346"/>
  <c r="U347"/>
  <c r="V347"/>
  <c r="T348"/>
  <c r="Z346" l="1"/>
  <c r="AC346"/>
  <c r="W347"/>
  <c r="U348"/>
  <c r="V348"/>
  <c r="T349"/>
  <c r="Z347" l="1"/>
  <c r="AC347"/>
  <c r="W348"/>
  <c r="U349"/>
  <c r="V349"/>
  <c r="T350"/>
  <c r="Z348" l="1"/>
  <c r="AC348"/>
  <c r="W349"/>
  <c r="U350"/>
  <c r="V350"/>
  <c r="T351"/>
  <c r="S351" s="1"/>
  <c r="Z349" l="1"/>
  <c r="AC349"/>
  <c r="U351"/>
  <c r="V351"/>
  <c r="T352"/>
  <c r="W351" l="1"/>
  <c r="U352"/>
  <c r="V352"/>
  <c r="T353"/>
  <c r="Z351" l="1"/>
  <c r="AC351"/>
  <c r="W352"/>
  <c r="U353"/>
  <c r="V353"/>
  <c r="T354"/>
  <c r="Z352" l="1"/>
  <c r="AC352"/>
  <c r="W353"/>
  <c r="U354"/>
  <c r="V354"/>
  <c r="T355"/>
  <c r="Z353" l="1"/>
  <c r="AC353"/>
  <c r="W354"/>
  <c r="U355"/>
  <c r="V355"/>
  <c r="T356"/>
  <c r="Z354" l="1"/>
  <c r="AC354"/>
  <c r="W355"/>
  <c r="U356"/>
  <c r="V356"/>
  <c r="T357"/>
  <c r="S357" s="1"/>
  <c r="Z355" l="1"/>
  <c r="AC355"/>
  <c r="U357"/>
  <c r="V357"/>
  <c r="T358"/>
  <c r="W357" l="1"/>
  <c r="U358"/>
  <c r="V358"/>
  <c r="T359"/>
  <c r="Z357" l="1"/>
  <c r="AC357"/>
  <c r="W358"/>
  <c r="U359"/>
  <c r="V359"/>
  <c r="T360"/>
  <c r="Z358" l="1"/>
  <c r="AC358"/>
  <c r="W359"/>
  <c r="U360"/>
  <c r="V360"/>
  <c r="T361"/>
  <c r="Z359" l="1"/>
  <c r="AC359"/>
  <c r="W360"/>
  <c r="U361"/>
  <c r="V361"/>
  <c r="T362"/>
  <c r="Z360" l="1"/>
  <c r="AC360"/>
  <c r="W361"/>
  <c r="U362"/>
  <c r="V362"/>
  <c r="T363"/>
  <c r="S363" s="1"/>
  <c r="Z361" l="1"/>
  <c r="AC361"/>
  <c r="U363"/>
  <c r="V363"/>
  <c r="T364"/>
  <c r="W363" l="1"/>
  <c r="U364"/>
  <c r="V364"/>
  <c r="T365"/>
  <c r="Z363" l="1"/>
  <c r="AC363"/>
  <c r="W364"/>
  <c r="U365"/>
  <c r="V365"/>
  <c r="T366"/>
  <c r="Z364" l="1"/>
  <c r="AC364"/>
  <c r="W365"/>
  <c r="U366"/>
  <c r="V366"/>
  <c r="T367"/>
  <c r="Z365" l="1"/>
  <c r="AC365"/>
  <c r="W366"/>
  <c r="U367"/>
  <c r="V367"/>
  <c r="T368"/>
  <c r="Z366" l="1"/>
  <c r="AC366"/>
  <c r="W367"/>
  <c r="U368"/>
  <c r="V368"/>
  <c r="T369"/>
  <c r="S369" s="1"/>
  <c r="Z367" l="1"/>
  <c r="AC367"/>
  <c r="U369"/>
  <c r="V369"/>
  <c r="T370"/>
  <c r="W369" l="1"/>
  <c r="U370"/>
  <c r="V370"/>
  <c r="T371"/>
  <c r="Z369" l="1"/>
  <c r="AC369"/>
  <c r="W370"/>
  <c r="U371"/>
  <c r="V371"/>
  <c r="T372"/>
  <c r="Z370" l="1"/>
  <c r="AC370"/>
  <c r="W371"/>
  <c r="U372"/>
  <c r="V372"/>
  <c r="T373"/>
  <c r="Z371" l="1"/>
  <c r="AC371"/>
  <c r="W372"/>
  <c r="U373"/>
  <c r="V373"/>
  <c r="T374"/>
  <c r="Z372" l="1"/>
  <c r="AC372"/>
  <c r="W373"/>
  <c r="U374"/>
  <c r="V374"/>
  <c r="T375"/>
  <c r="S375" s="1"/>
  <c r="Z373" l="1"/>
  <c r="AC373"/>
  <c r="U375"/>
  <c r="V375"/>
  <c r="T376"/>
  <c r="W375" l="1"/>
  <c r="U376"/>
  <c r="V376"/>
  <c r="T377"/>
  <c r="Z375" l="1"/>
  <c r="AC375"/>
  <c r="W376"/>
  <c r="U377"/>
  <c r="V377"/>
  <c r="T378"/>
  <c r="Z376" l="1"/>
  <c r="AC376"/>
  <c r="W377"/>
  <c r="U378"/>
  <c r="V378"/>
  <c r="T379"/>
  <c r="Z377" l="1"/>
  <c r="AC377"/>
  <c r="W378"/>
  <c r="U379"/>
  <c r="V379"/>
  <c r="T380"/>
  <c r="Z378" l="1"/>
  <c r="AC378"/>
  <c r="W379"/>
  <c r="U380"/>
  <c r="V380"/>
  <c r="T381"/>
  <c r="S381" s="1"/>
  <c r="Z379" l="1"/>
  <c r="AC379"/>
  <c r="U381"/>
  <c r="V381"/>
  <c r="T382"/>
  <c r="W381" l="1"/>
  <c r="U382"/>
  <c r="V382"/>
  <c r="T383"/>
  <c r="Z381" l="1"/>
  <c r="AC381"/>
  <c r="W382"/>
  <c r="U383"/>
  <c r="V383"/>
  <c r="T384"/>
  <c r="Z382" l="1"/>
  <c r="AC382"/>
  <c r="W383"/>
  <c r="U384"/>
  <c r="V384"/>
  <c r="T385"/>
  <c r="Z383" l="1"/>
  <c r="AC383"/>
  <c r="W384"/>
  <c r="U385"/>
  <c r="V385"/>
  <c r="T386"/>
  <c r="Z384" l="1"/>
  <c r="AC384"/>
  <c r="W385"/>
  <c r="U386"/>
  <c r="V386"/>
  <c r="T387"/>
  <c r="S387" s="1"/>
  <c r="Z385" l="1"/>
  <c r="AC385"/>
  <c r="U387"/>
  <c r="V387"/>
  <c r="T388"/>
  <c r="W387" l="1"/>
  <c r="U388"/>
  <c r="V388"/>
  <c r="T389"/>
  <c r="Z387" l="1"/>
  <c r="AC387"/>
  <c r="W388"/>
  <c r="U389"/>
  <c r="V389"/>
  <c r="T390"/>
  <c r="Z388" l="1"/>
  <c r="AC388"/>
  <c r="W389"/>
  <c r="U390"/>
  <c r="V390"/>
  <c r="T391"/>
  <c r="Z389" l="1"/>
  <c r="AC389"/>
  <c r="W390"/>
  <c r="U391"/>
  <c r="V391"/>
  <c r="T392"/>
  <c r="Z390" l="1"/>
  <c r="AC390"/>
  <c r="W391"/>
  <c r="U392"/>
  <c r="V392"/>
  <c r="T393"/>
  <c r="S393" s="1"/>
  <c r="Z391" l="1"/>
  <c r="AC391"/>
  <c r="U393"/>
  <c r="V393"/>
  <c r="T394"/>
  <c r="W393" l="1"/>
  <c r="U394"/>
  <c r="V394"/>
  <c r="T395"/>
  <c r="Z393" l="1"/>
  <c r="AC393"/>
  <c r="W394"/>
  <c r="U395"/>
  <c r="V395"/>
  <c r="T396"/>
  <c r="Z394" l="1"/>
  <c r="AC394"/>
  <c r="W395"/>
  <c r="U396"/>
  <c r="V396"/>
  <c r="T397"/>
  <c r="Z395" l="1"/>
  <c r="AC395"/>
  <c r="W396"/>
  <c r="U397"/>
  <c r="V397"/>
  <c r="T398"/>
  <c r="Z396" l="1"/>
  <c r="AC396"/>
  <c r="W397"/>
  <c r="U398"/>
  <c r="V398"/>
  <c r="T399"/>
  <c r="S399" s="1"/>
  <c r="Z397" l="1"/>
  <c r="AC397"/>
  <c r="U399"/>
  <c r="V399"/>
  <c r="T400"/>
  <c r="W399" l="1"/>
  <c r="U400"/>
  <c r="V400"/>
  <c r="T401"/>
  <c r="Z399" l="1"/>
  <c r="AC399"/>
  <c r="W400"/>
  <c r="U401"/>
  <c r="V401"/>
  <c r="T402"/>
  <c r="Z400" l="1"/>
  <c r="AC400"/>
  <c r="W401"/>
  <c r="U402"/>
  <c r="V402"/>
  <c r="T403"/>
  <c r="Z401" l="1"/>
  <c r="AC401"/>
  <c r="W402"/>
  <c r="U403"/>
  <c r="V403"/>
  <c r="T404"/>
  <c r="Z402" l="1"/>
  <c r="AC402"/>
  <c r="W403"/>
  <c r="U404"/>
  <c r="V404"/>
  <c r="T405"/>
  <c r="S405" s="1"/>
  <c r="Z403" l="1"/>
  <c r="AC403"/>
  <c r="U405"/>
  <c r="V405"/>
  <c r="T406"/>
  <c r="W405" l="1"/>
  <c r="U406"/>
  <c r="V406"/>
  <c r="T407"/>
  <c r="Z405" l="1"/>
  <c r="AC405"/>
  <c r="W406"/>
  <c r="U407"/>
  <c r="V407"/>
  <c r="T408"/>
  <c r="Z406" l="1"/>
  <c r="AC406"/>
  <c r="W407"/>
  <c r="U408"/>
  <c r="V408"/>
  <c r="T409"/>
  <c r="Z407" l="1"/>
  <c r="AC407"/>
  <c r="W408"/>
  <c r="U409"/>
  <c r="V409"/>
  <c r="T410"/>
  <c r="Z408" l="1"/>
  <c r="AC408"/>
  <c r="W409"/>
  <c r="U410"/>
  <c r="V410"/>
  <c r="T411"/>
  <c r="S411" s="1"/>
  <c r="Z409" l="1"/>
  <c r="AC409"/>
  <c r="U411"/>
  <c r="V411"/>
  <c r="T412"/>
  <c r="W411" l="1"/>
  <c r="U412"/>
  <c r="V412"/>
  <c r="T413"/>
  <c r="Z411" l="1"/>
  <c r="AC411"/>
  <c r="W412"/>
  <c r="U413"/>
  <c r="V413"/>
  <c r="T414"/>
  <c r="Z412" l="1"/>
  <c r="AC412"/>
  <c r="W413"/>
  <c r="U414"/>
  <c r="V414"/>
  <c r="T415"/>
  <c r="Z413" l="1"/>
  <c r="AC413"/>
  <c r="W414"/>
  <c r="U415"/>
  <c r="V415"/>
  <c r="T416"/>
  <c r="Z414" l="1"/>
  <c r="AC414"/>
  <c r="W415"/>
  <c r="U416"/>
  <c r="V416"/>
  <c r="T417"/>
  <c r="S417" s="1"/>
  <c r="Z415" l="1"/>
  <c r="AC415"/>
  <c r="U417"/>
  <c r="V417"/>
  <c r="T418"/>
  <c r="W417" l="1"/>
  <c r="U418"/>
  <c r="V418"/>
  <c r="T419"/>
  <c r="Z417" l="1"/>
  <c r="AC417"/>
  <c r="W418"/>
  <c r="U419"/>
  <c r="V419"/>
  <c r="T420"/>
  <c r="Z418" l="1"/>
  <c r="AC418"/>
  <c r="W419"/>
  <c r="U420"/>
  <c r="V420"/>
  <c r="T421"/>
  <c r="Z419" l="1"/>
  <c r="AC419"/>
  <c r="W420"/>
  <c r="U421"/>
  <c r="V421"/>
  <c r="T422"/>
  <c r="Z420" l="1"/>
  <c r="AC420"/>
  <c r="W421"/>
  <c r="U422"/>
  <c r="V422"/>
  <c r="T423"/>
  <c r="S423" s="1"/>
  <c r="Z421" l="1"/>
  <c r="AC421"/>
  <c r="U423"/>
  <c r="V423"/>
  <c r="T424"/>
  <c r="W423" l="1"/>
  <c r="U424"/>
  <c r="V424"/>
  <c r="T425"/>
  <c r="Z423" l="1"/>
  <c r="AC423"/>
  <c r="W424"/>
  <c r="U425"/>
  <c r="V425"/>
  <c r="T426"/>
  <c r="Z424" l="1"/>
  <c r="AC424"/>
  <c r="W425"/>
  <c r="U426"/>
  <c r="V426"/>
  <c r="T427"/>
  <c r="Z425" l="1"/>
  <c r="AC425"/>
  <c r="W426"/>
  <c r="U427"/>
  <c r="V427"/>
  <c r="T428"/>
  <c r="Z426" l="1"/>
  <c r="AC426"/>
  <c r="W427"/>
  <c r="U428"/>
  <c r="V428"/>
  <c r="T429"/>
  <c r="S429" s="1"/>
  <c r="Z427" l="1"/>
  <c r="AC427"/>
  <c r="U429"/>
  <c r="V429"/>
  <c r="T430"/>
  <c r="W429" l="1"/>
  <c r="U430"/>
  <c r="V430"/>
  <c r="T431"/>
  <c r="Z429" l="1"/>
  <c r="AC429"/>
  <c r="W430"/>
  <c r="U431"/>
  <c r="V431"/>
  <c r="T432"/>
  <c r="Z430" l="1"/>
  <c r="AC430"/>
  <c r="W431"/>
  <c r="U432"/>
  <c r="V432"/>
  <c r="T433"/>
  <c r="Z431" l="1"/>
  <c r="AC431"/>
  <c r="W432"/>
  <c r="U433"/>
  <c r="V433"/>
  <c r="T434"/>
  <c r="Z432" l="1"/>
  <c r="AC432"/>
  <c r="W433"/>
  <c r="U434"/>
  <c r="V434"/>
  <c r="T435"/>
  <c r="S435" s="1"/>
  <c r="Z433" l="1"/>
  <c r="AC433"/>
  <c r="U435"/>
  <c r="V435"/>
  <c r="T436"/>
  <c r="W435" l="1"/>
  <c r="U436"/>
  <c r="V436"/>
  <c r="T437"/>
  <c r="Z435" l="1"/>
  <c r="AC435"/>
  <c r="W436"/>
  <c r="U437"/>
  <c r="V437"/>
  <c r="T438"/>
  <c r="Z436" l="1"/>
  <c r="AC436"/>
  <c r="W437"/>
  <c r="U438"/>
  <c r="V438"/>
  <c r="T439"/>
  <c r="Z437" l="1"/>
  <c r="AC437"/>
  <c r="W438"/>
  <c r="U439"/>
  <c r="V439"/>
  <c r="T440"/>
  <c r="Z438" l="1"/>
  <c r="AC438"/>
  <c r="W439"/>
  <c r="U440"/>
  <c r="V440"/>
  <c r="T441"/>
  <c r="S441" s="1"/>
  <c r="Z439" l="1"/>
  <c r="AC439"/>
  <c r="U441"/>
  <c r="V441"/>
  <c r="T442"/>
  <c r="W441" l="1"/>
  <c r="U442"/>
  <c r="V442"/>
  <c r="T443"/>
  <c r="Z441" l="1"/>
  <c r="AC441"/>
  <c r="W442"/>
  <c r="U443"/>
  <c r="V443"/>
  <c r="T444"/>
  <c r="Z442" l="1"/>
  <c r="AC442"/>
  <c r="W443"/>
  <c r="U444"/>
  <c r="V444"/>
  <c r="T445"/>
  <c r="Z443" l="1"/>
  <c r="AC443"/>
  <c r="W444"/>
  <c r="U445"/>
  <c r="V445"/>
  <c r="T446"/>
  <c r="Z444" l="1"/>
  <c r="AC444"/>
  <c r="W445"/>
  <c r="U446"/>
  <c r="V446"/>
  <c r="T447"/>
  <c r="S447" s="1"/>
  <c r="Z445" l="1"/>
  <c r="AC445"/>
  <c r="U447"/>
  <c r="V447"/>
  <c r="T448"/>
  <c r="W447" l="1"/>
  <c r="U448"/>
  <c r="V448"/>
  <c r="T449"/>
  <c r="Z447" l="1"/>
  <c r="AC447"/>
  <c r="W448"/>
  <c r="U449"/>
  <c r="V449"/>
  <c r="T450"/>
  <c r="Z448" l="1"/>
  <c r="AC448"/>
  <c r="W449"/>
  <c r="U450"/>
  <c r="V450"/>
  <c r="T451"/>
  <c r="Z449" l="1"/>
  <c r="AC449"/>
  <c r="W450"/>
  <c r="U451"/>
  <c r="V451"/>
  <c r="T452"/>
  <c r="Z450" l="1"/>
  <c r="AC450"/>
  <c r="W451"/>
  <c r="U452"/>
  <c r="V452"/>
  <c r="T453"/>
  <c r="S453" s="1"/>
  <c r="Z451" l="1"/>
  <c r="AC451"/>
  <c r="U453"/>
  <c r="V453"/>
  <c r="T454"/>
  <c r="W453" l="1"/>
  <c r="U454"/>
  <c r="V454"/>
  <c r="T455"/>
  <c r="Z453" l="1"/>
  <c r="AC453"/>
  <c r="W454"/>
  <c r="U455"/>
  <c r="V455"/>
  <c r="T456"/>
  <c r="Z454" l="1"/>
  <c r="AC454"/>
  <c r="W455"/>
  <c r="U456"/>
  <c r="V456"/>
  <c r="T457"/>
  <c r="Z455" l="1"/>
  <c r="AC455"/>
  <c r="W456"/>
  <c r="U457"/>
  <c r="V457"/>
  <c r="T458"/>
  <c r="Z456" l="1"/>
  <c r="AC456"/>
  <c r="W457"/>
  <c r="U458"/>
  <c r="V458"/>
  <c r="T459"/>
  <c r="S459" s="1"/>
  <c r="Z457" l="1"/>
  <c r="AC457"/>
  <c r="U459"/>
  <c r="V459"/>
  <c r="T460"/>
  <c r="W459" l="1"/>
  <c r="U460"/>
  <c r="V460"/>
  <c r="T461"/>
  <c r="Z459" l="1"/>
  <c r="AC459"/>
  <c r="W460"/>
  <c r="U461"/>
  <c r="V461"/>
  <c r="T462"/>
  <c r="Z460" l="1"/>
  <c r="AC460"/>
  <c r="W461"/>
  <c r="U462"/>
  <c r="V462"/>
  <c r="T463"/>
  <c r="Z461" l="1"/>
  <c r="AC461"/>
  <c r="W462"/>
  <c r="U463"/>
  <c r="V463"/>
  <c r="T464"/>
  <c r="Z462" l="1"/>
  <c r="AC462"/>
  <c r="W463"/>
  <c r="U464"/>
  <c r="V464"/>
  <c r="T465"/>
  <c r="S465" s="1"/>
  <c r="Z463" l="1"/>
  <c r="AC463"/>
  <c r="U465"/>
  <c r="V465"/>
  <c r="T466"/>
  <c r="W465" l="1"/>
  <c r="U466"/>
  <c r="V466"/>
  <c r="T467"/>
  <c r="Z465" l="1"/>
  <c r="AC465"/>
  <c r="W466"/>
  <c r="U467"/>
  <c r="V467"/>
  <c r="T468"/>
  <c r="Z466" l="1"/>
  <c r="AC466"/>
  <c r="W467"/>
  <c r="U468"/>
  <c r="V468"/>
  <c r="T469"/>
  <c r="Z467" l="1"/>
  <c r="AC467"/>
  <c r="W468"/>
  <c r="U469"/>
  <c r="V469"/>
  <c r="T470"/>
  <c r="Z468" l="1"/>
  <c r="AC468"/>
  <c r="W469"/>
  <c r="U470"/>
  <c r="V470"/>
  <c r="T471"/>
  <c r="S471" s="1"/>
  <c r="Z469" l="1"/>
  <c r="AC469"/>
  <c r="U471"/>
  <c r="V471"/>
  <c r="T472"/>
  <c r="W471" l="1"/>
  <c r="U472"/>
  <c r="V472"/>
  <c r="T473"/>
  <c r="Z471" l="1"/>
  <c r="AC471"/>
  <c r="W472"/>
  <c r="U473"/>
  <c r="V473"/>
  <c r="T474"/>
  <c r="Z472" l="1"/>
  <c r="AC472"/>
  <c r="W473"/>
  <c r="U474"/>
  <c r="V474"/>
  <c r="T475"/>
  <c r="Z473" l="1"/>
  <c r="AC473"/>
  <c r="W474"/>
  <c r="U475"/>
  <c r="V475"/>
  <c r="T476"/>
  <c r="Z474" l="1"/>
  <c r="AC474"/>
  <c r="W475"/>
  <c r="U476"/>
  <c r="V476"/>
  <c r="T477"/>
  <c r="S477" s="1"/>
  <c r="Z475" l="1"/>
  <c r="AC475"/>
  <c r="U477"/>
  <c r="V477"/>
  <c r="T478"/>
  <c r="W477" l="1"/>
  <c r="U478"/>
  <c r="V478"/>
  <c r="T479"/>
  <c r="Z477" l="1"/>
  <c r="AC477"/>
  <c r="W478"/>
  <c r="U479"/>
  <c r="V479"/>
  <c r="T480"/>
  <c r="Z478" l="1"/>
  <c r="AC478"/>
  <c r="W479"/>
  <c r="U480"/>
  <c r="V480"/>
  <c r="T481"/>
  <c r="Z479" l="1"/>
  <c r="AC479"/>
  <c r="W480"/>
  <c r="U481"/>
  <c r="V481"/>
  <c r="T482"/>
  <c r="Z480" l="1"/>
  <c r="AC480"/>
  <c r="W481"/>
  <c r="U482"/>
  <c r="V482"/>
  <c r="T483"/>
  <c r="S483" s="1"/>
  <c r="Z481" l="1"/>
  <c r="AC481"/>
  <c r="U483"/>
  <c r="V483"/>
  <c r="T484"/>
  <c r="W483" l="1"/>
  <c r="U484"/>
  <c r="V484"/>
  <c r="T485"/>
  <c r="Z483" l="1"/>
  <c r="AC483"/>
  <c r="W484"/>
  <c r="U485"/>
  <c r="V485"/>
  <c r="T486"/>
  <c r="Z484" l="1"/>
  <c r="AC484"/>
  <c r="W485"/>
  <c r="U486"/>
  <c r="V486"/>
  <c r="T487"/>
  <c r="Z485" l="1"/>
  <c r="AC485"/>
  <c r="W486"/>
  <c r="U487"/>
  <c r="V487"/>
  <c r="T488"/>
  <c r="Z486" l="1"/>
  <c r="AC486"/>
  <c r="W487"/>
  <c r="U488"/>
  <c r="V488"/>
  <c r="T489"/>
  <c r="S489" s="1"/>
  <c r="Z487" l="1"/>
  <c r="AC487"/>
  <c r="U489"/>
  <c r="V489"/>
  <c r="T490"/>
  <c r="W489" l="1"/>
  <c r="U490"/>
  <c r="V490"/>
  <c r="T491"/>
  <c r="Z489" l="1"/>
  <c r="AC489"/>
  <c r="W490"/>
  <c r="U491"/>
  <c r="V491"/>
  <c r="T492"/>
  <c r="Z490" l="1"/>
  <c r="AC490"/>
  <c r="W491"/>
  <c r="U492"/>
  <c r="V492"/>
  <c r="T493"/>
  <c r="Z491" l="1"/>
  <c r="AC491"/>
  <c r="W492"/>
  <c r="U493"/>
  <c r="V493"/>
  <c r="T494"/>
  <c r="Z492" l="1"/>
  <c r="AC492"/>
  <c r="W493"/>
  <c r="U494"/>
  <c r="V494"/>
  <c r="T495"/>
  <c r="S495" s="1"/>
  <c r="Z493" l="1"/>
  <c r="AC493"/>
  <c r="U495"/>
  <c r="V495"/>
  <c r="T496"/>
  <c r="W495" l="1"/>
  <c r="U496"/>
  <c r="V496"/>
  <c r="T497"/>
  <c r="Z495" l="1"/>
  <c r="AC495"/>
  <c r="W496"/>
  <c r="U497"/>
  <c r="V497"/>
  <c r="T498"/>
  <c r="Z496" l="1"/>
  <c r="AC496"/>
  <c r="W497"/>
  <c r="U498"/>
  <c r="V498"/>
  <c r="T499"/>
  <c r="Z497" l="1"/>
  <c r="AC497"/>
  <c r="W498"/>
  <c r="U499"/>
  <c r="V499"/>
  <c r="T500"/>
  <c r="Z498" l="1"/>
  <c r="AC498"/>
  <c r="W499"/>
  <c r="U500"/>
  <c r="V500"/>
  <c r="T501"/>
  <c r="S501" s="1"/>
  <c r="Z499" l="1"/>
  <c r="AC499"/>
  <c r="U501"/>
  <c r="V501"/>
  <c r="T502"/>
  <c r="W501" l="1"/>
  <c r="U502"/>
  <c r="V502"/>
  <c r="T503"/>
  <c r="Z501" l="1"/>
  <c r="AC501"/>
  <c r="W502"/>
  <c r="U503"/>
  <c r="V503"/>
  <c r="T504"/>
  <c r="Z502" l="1"/>
  <c r="AC502"/>
  <c r="W503"/>
  <c r="U504"/>
  <c r="V504"/>
  <c r="T505"/>
  <c r="Z503" l="1"/>
  <c r="AC503"/>
  <c r="W504"/>
  <c r="U505"/>
  <c r="V505"/>
  <c r="T506"/>
  <c r="Z504" l="1"/>
  <c r="AC504"/>
  <c r="W505"/>
  <c r="U506"/>
  <c r="V506"/>
  <c r="T507"/>
  <c r="S507" s="1"/>
  <c r="Z505" l="1"/>
  <c r="AC505"/>
  <c r="U507"/>
  <c r="V507"/>
  <c r="T508"/>
  <c r="W507" l="1"/>
  <c r="U508"/>
  <c r="V508"/>
  <c r="T509"/>
  <c r="Z507" l="1"/>
  <c r="AC507"/>
  <c r="W508"/>
  <c r="U509"/>
  <c r="V509"/>
  <c r="T510"/>
  <c r="Z508" l="1"/>
  <c r="AC508"/>
  <c r="W509"/>
  <c r="U510"/>
  <c r="V510"/>
  <c r="T511"/>
  <c r="Z509" l="1"/>
  <c r="AC509"/>
  <c r="W510"/>
  <c r="U511"/>
  <c r="V511"/>
  <c r="T512"/>
  <c r="Z510" l="1"/>
  <c r="AC510"/>
  <c r="W511"/>
  <c r="U512"/>
  <c r="V512"/>
  <c r="T513"/>
  <c r="S513" s="1"/>
  <c r="Z511" l="1"/>
  <c r="AC511"/>
  <c r="U513"/>
  <c r="V513"/>
  <c r="T514"/>
  <c r="W513" l="1"/>
  <c r="U514"/>
  <c r="V514"/>
  <c r="T515"/>
  <c r="Z513" l="1"/>
  <c r="AC513"/>
  <c r="W514"/>
  <c r="U515"/>
  <c r="V515"/>
  <c r="T516"/>
  <c r="Z514" l="1"/>
  <c r="AC514"/>
  <c r="W515"/>
  <c r="U516"/>
  <c r="V516"/>
  <c r="T517"/>
  <c r="Z515" l="1"/>
  <c r="AC515"/>
  <c r="W516"/>
  <c r="U517"/>
  <c r="V517"/>
  <c r="T518"/>
  <c r="Z516" l="1"/>
  <c r="AC516"/>
  <c r="W517"/>
  <c r="U518"/>
  <c r="V518"/>
  <c r="T519"/>
  <c r="S519" s="1"/>
  <c r="Z517" l="1"/>
  <c r="AC517"/>
  <c r="U519"/>
  <c r="V519"/>
  <c r="T520"/>
  <c r="W519" l="1"/>
  <c r="U520"/>
  <c r="V520"/>
  <c r="T521"/>
  <c r="Z519" l="1"/>
  <c r="AC519"/>
  <c r="W520"/>
  <c r="U521"/>
  <c r="V521"/>
  <c r="T522"/>
  <c r="Z520" l="1"/>
  <c r="AC520"/>
  <c r="W521"/>
  <c r="U522"/>
  <c r="V522"/>
  <c r="T523"/>
  <c r="Z521" l="1"/>
  <c r="AC521"/>
  <c r="W522"/>
  <c r="U523"/>
  <c r="V523"/>
  <c r="T524"/>
  <c r="Z522" l="1"/>
  <c r="AC522"/>
  <c r="W523"/>
  <c r="U524"/>
  <c r="V524"/>
  <c r="T525"/>
  <c r="S525" s="1"/>
  <c r="Z523" l="1"/>
  <c r="AC523"/>
  <c r="U525"/>
  <c r="V525"/>
  <c r="T526"/>
  <c r="W525" l="1"/>
  <c r="U526"/>
  <c r="V526"/>
  <c r="T527"/>
  <c r="Z525" l="1"/>
  <c r="AC525"/>
  <c r="W526"/>
  <c r="U527"/>
  <c r="V527"/>
  <c r="T528"/>
  <c r="Z526" l="1"/>
  <c r="AC526"/>
  <c r="W527"/>
  <c r="U528"/>
  <c r="V528"/>
  <c r="T529"/>
  <c r="Z527" l="1"/>
  <c r="AC527"/>
  <c r="W528"/>
  <c r="U529"/>
  <c r="V529"/>
  <c r="T530"/>
  <c r="Z528" l="1"/>
  <c r="AC528"/>
  <c r="W529"/>
  <c r="U530"/>
  <c r="V530"/>
  <c r="T531"/>
  <c r="S531" s="1"/>
  <c r="Z529" l="1"/>
  <c r="AC529"/>
  <c r="U531"/>
  <c r="V531"/>
  <c r="T532"/>
  <c r="W531" l="1"/>
  <c r="U532"/>
  <c r="V532"/>
  <c r="T533"/>
  <c r="Z531" l="1"/>
  <c r="AC531"/>
  <c r="W532"/>
  <c r="U533"/>
  <c r="V533"/>
  <c r="T534"/>
  <c r="Z532" l="1"/>
  <c r="AC532"/>
  <c r="W533"/>
  <c r="U534"/>
  <c r="V534"/>
  <c r="T535"/>
  <c r="Z533" l="1"/>
  <c r="AC533"/>
  <c r="W534"/>
  <c r="U535"/>
  <c r="V535"/>
  <c r="T536"/>
  <c r="Z534" l="1"/>
  <c r="AC534"/>
  <c r="W535"/>
  <c r="U536"/>
  <c r="V536"/>
  <c r="T537"/>
  <c r="S537" s="1"/>
  <c r="Z535" l="1"/>
  <c r="AC535"/>
  <c r="U537"/>
  <c r="V537"/>
  <c r="T538"/>
  <c r="W537" l="1"/>
  <c r="U538"/>
  <c r="V538"/>
  <c r="T539"/>
  <c r="Z537" l="1"/>
  <c r="AC537"/>
  <c r="W538"/>
  <c r="U539"/>
  <c r="V539"/>
  <c r="T540"/>
  <c r="Z538" l="1"/>
  <c r="AC538"/>
  <c r="W539"/>
  <c r="U540"/>
  <c r="V540"/>
  <c r="T541"/>
  <c r="Z539" l="1"/>
  <c r="AC539"/>
  <c r="W540"/>
  <c r="U541"/>
  <c r="V541"/>
  <c r="T542"/>
  <c r="Z540" l="1"/>
  <c r="AC540"/>
  <c r="W541"/>
  <c r="U542"/>
  <c r="V542"/>
  <c r="T543"/>
  <c r="S543" s="1"/>
  <c r="Z541" l="1"/>
  <c r="AC541"/>
  <c r="U543"/>
  <c r="V543"/>
  <c r="T544"/>
  <c r="W543" l="1"/>
  <c r="U544"/>
  <c r="V544"/>
  <c r="T545"/>
  <c r="Z543" l="1"/>
  <c r="AC543"/>
  <c r="W544"/>
  <c r="U545"/>
  <c r="V545"/>
  <c r="T546"/>
  <c r="Z544" l="1"/>
  <c r="AC544"/>
  <c r="W545"/>
  <c r="U546"/>
  <c r="V546"/>
  <c r="T547"/>
  <c r="Z545" l="1"/>
  <c r="AC545"/>
  <c r="W546"/>
  <c r="U547"/>
  <c r="V547"/>
  <c r="T548"/>
  <c r="Z546" l="1"/>
  <c r="AC546"/>
  <c r="W547"/>
  <c r="U548"/>
  <c r="V548"/>
  <c r="T549"/>
  <c r="S549" s="1"/>
  <c r="Z547" l="1"/>
  <c r="AC547"/>
  <c r="U549"/>
  <c r="V549"/>
  <c r="T550"/>
  <c r="W549" l="1"/>
  <c r="U550"/>
  <c r="V550"/>
  <c r="T551"/>
  <c r="Z549" l="1"/>
  <c r="AC549"/>
  <c r="W550"/>
  <c r="U551"/>
  <c r="V551"/>
  <c r="T552"/>
  <c r="Z550" l="1"/>
  <c r="AC550"/>
  <c r="W551"/>
  <c r="U552"/>
  <c r="V552"/>
  <c r="T553"/>
  <c r="Z551" l="1"/>
  <c r="AC551"/>
  <c r="W552"/>
  <c r="U553"/>
  <c r="V553"/>
  <c r="T554"/>
  <c r="Z552" l="1"/>
  <c r="AC552"/>
  <c r="W553"/>
  <c r="U554"/>
  <c r="V554"/>
  <c r="T555"/>
  <c r="S555" s="1"/>
  <c r="Z553" l="1"/>
  <c r="AC553"/>
  <c r="U555"/>
  <c r="V555"/>
  <c r="T556"/>
  <c r="W555" l="1"/>
  <c r="U556"/>
  <c r="V556"/>
  <c r="T557"/>
  <c r="Z555" l="1"/>
  <c r="AC555"/>
  <c r="W556"/>
  <c r="U557"/>
  <c r="V557"/>
  <c r="T558"/>
  <c r="Z556" l="1"/>
  <c r="AC556"/>
  <c r="W557"/>
  <c r="U558"/>
  <c r="V558"/>
  <c r="T559"/>
  <c r="Z557" l="1"/>
  <c r="AC557"/>
  <c r="W558"/>
  <c r="U559"/>
  <c r="V559"/>
  <c r="T560"/>
  <c r="Z558" l="1"/>
  <c r="AC558"/>
  <c r="W559"/>
  <c r="U560"/>
  <c r="V560"/>
  <c r="T561"/>
  <c r="S561" s="1"/>
  <c r="Z559" l="1"/>
  <c r="AC559"/>
  <c r="U561"/>
  <c r="V561"/>
  <c r="T562"/>
  <c r="W561" l="1"/>
  <c r="U562"/>
  <c r="V562"/>
  <c r="T563"/>
  <c r="Z561" l="1"/>
  <c r="AC561"/>
  <c r="W562"/>
  <c r="U563"/>
  <c r="V563"/>
  <c r="T564"/>
  <c r="Z562" l="1"/>
  <c r="AC562"/>
  <c r="W563"/>
  <c r="U564"/>
  <c r="V564"/>
  <c r="T565"/>
  <c r="Z563" l="1"/>
  <c r="AC563"/>
  <c r="W564"/>
  <c r="U565"/>
  <c r="V565"/>
  <c r="T566"/>
  <c r="Z564" l="1"/>
  <c r="AC564"/>
  <c r="W565"/>
  <c r="U566"/>
  <c r="V566"/>
  <c r="T567"/>
  <c r="S567" s="1"/>
  <c r="Z565" l="1"/>
  <c r="AC565"/>
  <c r="U567"/>
  <c r="V567"/>
  <c r="T568"/>
  <c r="W567" l="1"/>
  <c r="U568"/>
  <c r="V568"/>
  <c r="T569"/>
  <c r="Z567" l="1"/>
  <c r="AC567"/>
  <c r="W568"/>
  <c r="U569"/>
  <c r="V569"/>
  <c r="T570"/>
  <c r="Z568" l="1"/>
  <c r="AC568"/>
  <c r="W569"/>
  <c r="U570"/>
  <c r="V570"/>
  <c r="T571"/>
  <c r="Z569" l="1"/>
  <c r="AC569"/>
  <c r="W570"/>
  <c r="U571"/>
  <c r="V571"/>
  <c r="T572"/>
  <c r="Z570" l="1"/>
  <c r="AC570"/>
  <c r="W571"/>
  <c r="U572"/>
  <c r="V572"/>
  <c r="T573"/>
  <c r="S573" s="1"/>
  <c r="Z571" l="1"/>
  <c r="AC571"/>
  <c r="U573"/>
  <c r="V573"/>
  <c r="T574"/>
  <c r="W573" l="1"/>
  <c r="U574"/>
  <c r="V574"/>
  <c r="T575"/>
  <c r="Z573" l="1"/>
  <c r="AC573"/>
  <c r="W574"/>
  <c r="U575"/>
  <c r="V575"/>
  <c r="T576"/>
  <c r="Z574" l="1"/>
  <c r="AC574"/>
  <c r="W575"/>
  <c r="U576"/>
  <c r="V576"/>
  <c r="T577"/>
  <c r="Z575" l="1"/>
  <c r="AC575"/>
  <c r="W576"/>
  <c r="U577"/>
  <c r="V577"/>
  <c r="T578"/>
  <c r="Z576" l="1"/>
  <c r="AC576"/>
  <c r="W577"/>
  <c r="U578"/>
  <c r="V578"/>
  <c r="T579"/>
  <c r="S579" s="1"/>
  <c r="Z577" l="1"/>
  <c r="AC577"/>
  <c r="U579"/>
  <c r="V579"/>
  <c r="T580"/>
  <c r="W579" l="1"/>
  <c r="U580"/>
  <c r="V580"/>
  <c r="T581"/>
  <c r="Z579" l="1"/>
  <c r="AC579"/>
  <c r="W580"/>
  <c r="U581"/>
  <c r="V581"/>
  <c r="T582"/>
  <c r="Z580" l="1"/>
  <c r="AC580"/>
  <c r="W581"/>
  <c r="U582"/>
  <c r="V582"/>
  <c r="T583"/>
  <c r="Z581" l="1"/>
  <c r="AC581"/>
  <c r="W582"/>
  <c r="U583"/>
  <c r="V583"/>
  <c r="T584"/>
  <c r="Z582" l="1"/>
  <c r="AC582"/>
  <c r="W583"/>
  <c r="U584"/>
  <c r="V584"/>
  <c r="T585"/>
  <c r="S585" s="1"/>
  <c r="Z583" l="1"/>
  <c r="AC583"/>
  <c r="U585"/>
  <c r="V585"/>
  <c r="T586"/>
  <c r="W585" l="1"/>
  <c r="U586"/>
  <c r="V586"/>
  <c r="T587"/>
  <c r="Z585" l="1"/>
  <c r="AC585"/>
  <c r="W586"/>
  <c r="U587"/>
  <c r="V587"/>
  <c r="T588"/>
  <c r="Z586" l="1"/>
  <c r="AC586"/>
  <c r="W587"/>
  <c r="U588"/>
  <c r="V588"/>
  <c r="T589"/>
  <c r="Z587" l="1"/>
  <c r="AC587"/>
  <c r="W588"/>
  <c r="U589"/>
  <c r="V589"/>
  <c r="T590"/>
  <c r="Z588" l="1"/>
  <c r="AC588"/>
  <c r="W589"/>
  <c r="U590"/>
  <c r="V590"/>
  <c r="T591"/>
  <c r="S591" s="1"/>
  <c r="Z589" l="1"/>
  <c r="AC589"/>
  <c r="U591"/>
  <c r="V591"/>
  <c r="T592"/>
  <c r="W591" l="1"/>
  <c r="U592"/>
  <c r="V592"/>
  <c r="T593"/>
  <c r="Z591" l="1"/>
  <c r="AC591"/>
  <c r="W592"/>
  <c r="U593"/>
  <c r="V593"/>
  <c r="T594"/>
  <c r="Z592" l="1"/>
  <c r="AC592"/>
  <c r="W593"/>
  <c r="U594"/>
  <c r="V594"/>
  <c r="T595"/>
  <c r="Z593" l="1"/>
  <c r="AC593"/>
  <c r="W594"/>
  <c r="U595"/>
  <c r="V595"/>
  <c r="T596"/>
  <c r="Z594" l="1"/>
  <c r="AC594"/>
  <c r="W595"/>
  <c r="U596"/>
  <c r="V596"/>
  <c r="T597"/>
  <c r="S597" s="1"/>
  <c r="Z595" l="1"/>
  <c r="AC595"/>
  <c r="U597"/>
  <c r="V597"/>
  <c r="T598"/>
  <c r="W597" l="1"/>
  <c r="U598"/>
  <c r="V598"/>
  <c r="T599"/>
  <c r="Z597" l="1"/>
  <c r="AC597"/>
  <c r="W598"/>
  <c r="U599"/>
  <c r="V599"/>
  <c r="T600"/>
  <c r="Z598" l="1"/>
  <c r="AC598"/>
  <c r="W599"/>
  <c r="U600"/>
  <c r="V600"/>
  <c r="T601"/>
  <c r="Z599" l="1"/>
  <c r="AC599"/>
  <c r="W600"/>
  <c r="U601"/>
  <c r="V601"/>
  <c r="T602"/>
  <c r="Z600" l="1"/>
  <c r="AC600"/>
  <c r="W601"/>
  <c r="U602"/>
  <c r="V602"/>
  <c r="T603"/>
  <c r="S603" s="1"/>
  <c r="Z601" l="1"/>
  <c r="AC601"/>
  <c r="U603"/>
  <c r="V603"/>
  <c r="T604"/>
  <c r="W603" l="1"/>
  <c r="U604"/>
  <c r="V604"/>
  <c r="T605"/>
  <c r="Z603" l="1"/>
  <c r="AC603"/>
  <c r="W604"/>
  <c r="U605"/>
  <c r="V605"/>
  <c r="T606"/>
  <c r="Z604" l="1"/>
  <c r="AC604"/>
  <c r="W605"/>
  <c r="U606"/>
  <c r="V606"/>
  <c r="T607"/>
  <c r="Z605" l="1"/>
  <c r="AC605"/>
  <c r="W606"/>
  <c r="U607"/>
  <c r="V607"/>
  <c r="T608"/>
  <c r="Z606" l="1"/>
  <c r="AC606"/>
  <c r="W607"/>
  <c r="U608"/>
  <c r="V608"/>
  <c r="T609"/>
  <c r="S609" s="1"/>
  <c r="Z607" l="1"/>
  <c r="AC607"/>
  <c r="U609"/>
  <c r="V609"/>
  <c r="T610"/>
  <c r="W609" l="1"/>
  <c r="U610"/>
  <c r="V610"/>
  <c r="T611"/>
  <c r="Z609" l="1"/>
  <c r="AC609"/>
  <c r="W610"/>
  <c r="U611"/>
  <c r="V611"/>
  <c r="T612"/>
  <c r="Z610" l="1"/>
  <c r="AC610"/>
  <c r="W611"/>
  <c r="U612"/>
  <c r="V612"/>
  <c r="T613"/>
  <c r="Z611" l="1"/>
  <c r="AC611"/>
  <c r="W612"/>
  <c r="U613"/>
  <c r="V613"/>
  <c r="T614"/>
  <c r="Z612" l="1"/>
  <c r="AC612"/>
  <c r="W613"/>
  <c r="U614"/>
  <c r="V614"/>
  <c r="T615"/>
  <c r="S615" s="1"/>
  <c r="Z613" l="1"/>
  <c r="AC613"/>
  <c r="U615"/>
  <c r="V615"/>
  <c r="T616"/>
  <c r="W615" l="1"/>
  <c r="U616"/>
  <c r="V616"/>
  <c r="T617"/>
  <c r="Z615" l="1"/>
  <c r="AC615"/>
  <c r="W616"/>
  <c r="U617"/>
  <c r="V617"/>
  <c r="T618"/>
  <c r="Z616" l="1"/>
  <c r="AC616"/>
  <c r="W617"/>
  <c r="U618"/>
  <c r="V618"/>
  <c r="T619"/>
  <c r="Z617" l="1"/>
  <c r="AC617"/>
  <c r="W618"/>
  <c r="U619"/>
  <c r="V619"/>
  <c r="T620"/>
  <c r="Z618" l="1"/>
  <c r="AC618"/>
  <c r="W619"/>
  <c r="U620"/>
  <c r="V620"/>
  <c r="T621"/>
  <c r="S621" s="1"/>
  <c r="Z619" l="1"/>
  <c r="AC619"/>
  <c r="U621"/>
  <c r="V621"/>
  <c r="T622"/>
  <c r="W621" l="1"/>
  <c r="U622"/>
  <c r="V622"/>
  <c r="T623"/>
  <c r="Z621" l="1"/>
  <c r="AC621"/>
  <c r="W622"/>
  <c r="U623"/>
  <c r="V623"/>
  <c r="T624"/>
  <c r="Z622" l="1"/>
  <c r="AC622"/>
  <c r="W623"/>
  <c r="U624"/>
  <c r="V624"/>
  <c r="T625"/>
  <c r="Z623" l="1"/>
  <c r="AC623"/>
  <c r="W624"/>
  <c r="U625"/>
  <c r="V625"/>
  <c r="T626"/>
  <c r="Z624" l="1"/>
  <c r="AC624"/>
  <c r="W625"/>
  <c r="U626"/>
  <c r="V626"/>
  <c r="T627"/>
  <c r="S627" s="1"/>
  <c r="Z625" l="1"/>
  <c r="AC625"/>
  <c r="U627"/>
  <c r="V627"/>
  <c r="T628"/>
  <c r="W627" l="1"/>
  <c r="U628"/>
  <c r="V628"/>
  <c r="T629"/>
  <c r="Z627" l="1"/>
  <c r="AC627"/>
  <c r="W628"/>
  <c r="U629"/>
  <c r="V629"/>
  <c r="T630"/>
  <c r="Z628" l="1"/>
  <c r="AC628"/>
  <c r="W629"/>
  <c r="U630"/>
  <c r="V630"/>
  <c r="T631"/>
  <c r="Z629" l="1"/>
  <c r="AC629"/>
  <c r="W630"/>
  <c r="U631"/>
  <c r="V631"/>
  <c r="T632"/>
  <c r="Z630" l="1"/>
  <c r="AC630"/>
  <c r="W631"/>
  <c r="U632"/>
  <c r="V632"/>
  <c r="T633"/>
  <c r="S633" s="1"/>
  <c r="Z631" l="1"/>
  <c r="AC631"/>
  <c r="U633"/>
  <c r="V633"/>
  <c r="T634"/>
  <c r="W633" l="1"/>
  <c r="U634"/>
  <c r="V634"/>
  <c r="T635"/>
  <c r="Z633" l="1"/>
  <c r="AC633"/>
  <c r="W634"/>
  <c r="U635"/>
  <c r="V635"/>
  <c r="T636"/>
  <c r="Z634" l="1"/>
  <c r="AC634"/>
  <c r="W635"/>
  <c r="U636"/>
  <c r="V636"/>
  <c r="T637"/>
  <c r="Z635" l="1"/>
  <c r="AC635"/>
  <c r="W636"/>
  <c r="U637"/>
  <c r="V637"/>
  <c r="T638"/>
  <c r="Z636" l="1"/>
  <c r="AC636"/>
  <c r="W637"/>
  <c r="U638"/>
  <c r="V638"/>
  <c r="T639"/>
  <c r="S639" s="1"/>
  <c r="Z637" l="1"/>
  <c r="AC637"/>
  <c r="U639"/>
  <c r="V639"/>
  <c r="T640"/>
  <c r="W639" l="1"/>
  <c r="U640"/>
  <c r="V640"/>
  <c r="T641"/>
  <c r="Z639" l="1"/>
  <c r="AC639"/>
  <c r="W640"/>
  <c r="U641"/>
  <c r="V641"/>
  <c r="T642"/>
  <c r="Z640" l="1"/>
  <c r="AC640"/>
  <c r="W641"/>
  <c r="U642"/>
  <c r="V642"/>
  <c r="T643"/>
  <c r="Z641" l="1"/>
  <c r="AC641"/>
  <c r="W642"/>
  <c r="U643"/>
  <c r="V643"/>
  <c r="T644"/>
  <c r="Z642" l="1"/>
  <c r="AC642"/>
  <c r="W643"/>
  <c r="U644"/>
  <c r="V644"/>
  <c r="T645"/>
  <c r="S645" s="1"/>
  <c r="Z643" l="1"/>
  <c r="AC643"/>
  <c r="U645"/>
  <c r="V645"/>
  <c r="T646"/>
  <c r="W645" l="1"/>
  <c r="U646"/>
  <c r="V646"/>
  <c r="T647"/>
  <c r="Z645" l="1"/>
  <c r="AC645"/>
  <c r="W646"/>
  <c r="U647"/>
  <c r="V647"/>
  <c r="T648"/>
  <c r="Z646" l="1"/>
  <c r="AC646"/>
  <c r="W647"/>
  <c r="U648"/>
  <c r="V648"/>
  <c r="T649"/>
  <c r="Z647" l="1"/>
  <c r="AC647"/>
  <c r="W648"/>
  <c r="U649"/>
  <c r="V649"/>
  <c r="T650"/>
  <c r="Z648" l="1"/>
  <c r="AC648"/>
  <c r="W649"/>
  <c r="U650"/>
  <c r="V650"/>
  <c r="T651"/>
  <c r="S651" s="1"/>
  <c r="Z649" l="1"/>
  <c r="AC649"/>
  <c r="U651"/>
  <c r="V651"/>
  <c r="T652"/>
  <c r="W651" l="1"/>
  <c r="U652"/>
  <c r="V652"/>
  <c r="T653"/>
  <c r="Z651" l="1"/>
  <c r="AC651"/>
  <c r="W652"/>
  <c r="U653"/>
  <c r="V653"/>
  <c r="T654"/>
  <c r="Z652" l="1"/>
  <c r="AC652"/>
  <c r="W653"/>
  <c r="U654"/>
  <c r="V654"/>
  <c r="T655"/>
  <c r="Z653" l="1"/>
  <c r="AC653"/>
  <c r="W654"/>
  <c r="U655"/>
  <c r="V655"/>
  <c r="T656"/>
  <c r="Z654" l="1"/>
  <c r="AC654"/>
  <c r="W655"/>
  <c r="U656"/>
  <c r="V656"/>
  <c r="T657"/>
  <c r="S657" s="1"/>
  <c r="Z655" l="1"/>
  <c r="AC655"/>
  <c r="U657"/>
  <c r="V657"/>
  <c r="T658"/>
  <c r="W657" l="1"/>
  <c r="U658"/>
  <c r="V658"/>
  <c r="T659"/>
  <c r="Z657" l="1"/>
  <c r="AC657"/>
  <c r="W658"/>
  <c r="U659"/>
  <c r="V659"/>
  <c r="T660"/>
  <c r="Z658" l="1"/>
  <c r="AC658"/>
  <c r="W659"/>
  <c r="U660"/>
  <c r="V660"/>
  <c r="T661"/>
  <c r="Z659" l="1"/>
  <c r="AC659"/>
  <c r="W660"/>
  <c r="U661"/>
  <c r="V661"/>
  <c r="T662"/>
  <c r="Z660" l="1"/>
  <c r="AC660"/>
  <c r="W661"/>
  <c r="U662"/>
  <c r="V662"/>
  <c r="T663"/>
  <c r="S663" s="1"/>
  <c r="Z661" l="1"/>
  <c r="AC661"/>
  <c r="U663"/>
  <c r="V663"/>
  <c r="T664"/>
  <c r="W663" l="1"/>
  <c r="U664"/>
  <c r="V664"/>
  <c r="T665"/>
  <c r="Z663" l="1"/>
  <c r="AC663"/>
  <c r="W664"/>
  <c r="U665"/>
  <c r="V665"/>
  <c r="T666"/>
  <c r="Z664" l="1"/>
  <c r="AC664"/>
  <c r="W665"/>
  <c r="U666"/>
  <c r="V666"/>
  <c r="T667"/>
  <c r="Z665" l="1"/>
  <c r="AC665"/>
  <c r="W666"/>
  <c r="U667"/>
  <c r="V667"/>
  <c r="T668"/>
  <c r="Z666" l="1"/>
  <c r="AC666"/>
  <c r="W667"/>
  <c r="U668"/>
  <c r="V668"/>
  <c r="T669"/>
  <c r="S669" s="1"/>
  <c r="Z667" l="1"/>
  <c r="AC667"/>
  <c r="U669"/>
  <c r="V669"/>
  <c r="T670"/>
  <c r="W669" l="1"/>
  <c r="U670"/>
  <c r="V670"/>
  <c r="T671"/>
  <c r="Z669" l="1"/>
  <c r="AC669"/>
  <c r="W670"/>
  <c r="U671"/>
  <c r="V671"/>
  <c r="T672"/>
  <c r="Z670" l="1"/>
  <c r="AC670"/>
  <c r="W671"/>
  <c r="U672"/>
  <c r="V672"/>
  <c r="T673"/>
  <c r="Z671" l="1"/>
  <c r="AC671"/>
  <c r="W672"/>
  <c r="U673"/>
  <c r="V673"/>
  <c r="T674"/>
  <c r="Z672" l="1"/>
  <c r="AC672"/>
  <c r="W673"/>
  <c r="U674"/>
  <c r="V674"/>
  <c r="T675"/>
  <c r="S675" s="1"/>
  <c r="Z673" l="1"/>
  <c r="AC673"/>
  <c r="U675"/>
  <c r="V675"/>
  <c r="T676"/>
  <c r="W675" l="1"/>
  <c r="U676"/>
  <c r="V676"/>
  <c r="T677"/>
  <c r="Z675" l="1"/>
  <c r="AC675"/>
  <c r="W676"/>
  <c r="U677"/>
  <c r="V677"/>
  <c r="T678"/>
  <c r="Z676" l="1"/>
  <c r="AC676"/>
  <c r="W677"/>
  <c r="U678"/>
  <c r="V678"/>
  <c r="T679"/>
  <c r="Z677" l="1"/>
  <c r="AC677"/>
  <c r="W678"/>
  <c r="U679"/>
  <c r="V679"/>
  <c r="T680"/>
  <c r="Z678" l="1"/>
  <c r="AC678"/>
  <c r="W679"/>
  <c r="U680"/>
  <c r="V680"/>
  <c r="T681"/>
  <c r="S681" s="1"/>
  <c r="Z679" l="1"/>
  <c r="AC679"/>
  <c r="U681"/>
  <c r="V681"/>
  <c r="T682"/>
  <c r="W681" l="1"/>
  <c r="U682"/>
  <c r="V682"/>
  <c r="T683"/>
  <c r="Z681" l="1"/>
  <c r="AC681"/>
  <c r="W682"/>
  <c r="U683"/>
  <c r="V683"/>
  <c r="T684"/>
  <c r="Z682" l="1"/>
  <c r="AC682"/>
  <c r="W683"/>
  <c r="U684"/>
  <c r="V684"/>
  <c r="T685"/>
  <c r="Z683" l="1"/>
  <c r="AC683"/>
  <c r="W684"/>
  <c r="U685"/>
  <c r="V685"/>
  <c r="T686"/>
  <c r="Z684" l="1"/>
  <c r="AC684"/>
  <c r="W685"/>
  <c r="U686"/>
  <c r="V686"/>
  <c r="T687"/>
  <c r="S687" s="1"/>
  <c r="Z685" l="1"/>
  <c r="AC685"/>
  <c r="U687"/>
  <c r="V687"/>
  <c r="T688"/>
  <c r="W687" l="1"/>
  <c r="U688"/>
  <c r="V688"/>
  <c r="T689"/>
  <c r="Z687" l="1"/>
  <c r="AC687"/>
  <c r="W688"/>
  <c r="U689"/>
  <c r="V689"/>
  <c r="T690"/>
  <c r="Z688" l="1"/>
  <c r="AC688"/>
  <c r="W689"/>
  <c r="U690"/>
  <c r="V690"/>
  <c r="T691"/>
  <c r="Z689" l="1"/>
  <c r="AC689"/>
  <c r="W690"/>
  <c r="U691"/>
  <c r="V691"/>
  <c r="T692"/>
  <c r="Z690" l="1"/>
  <c r="AC690"/>
  <c r="W691"/>
  <c r="U692"/>
  <c r="V692"/>
  <c r="T693"/>
  <c r="S693" s="1"/>
  <c r="Z691" l="1"/>
  <c r="AC691"/>
  <c r="U693"/>
  <c r="V693"/>
  <c r="T694"/>
  <c r="W693" l="1"/>
  <c r="U694"/>
  <c r="V694"/>
  <c r="T695"/>
  <c r="Z693" l="1"/>
  <c r="AC693"/>
  <c r="W694"/>
  <c r="U695"/>
  <c r="V695"/>
  <c r="T696"/>
  <c r="Z694" l="1"/>
  <c r="AC694"/>
  <c r="W695"/>
  <c r="U696"/>
  <c r="V696"/>
  <c r="T697"/>
  <c r="Z695" l="1"/>
  <c r="AC695"/>
  <c r="W696"/>
  <c r="U697"/>
  <c r="V697"/>
  <c r="T698"/>
  <c r="Z696" l="1"/>
  <c r="AC696"/>
  <c r="W697"/>
  <c r="U698"/>
  <c r="V698"/>
  <c r="T699"/>
  <c r="S699" s="1"/>
  <c r="Z697" l="1"/>
  <c r="AC697"/>
  <c r="U699"/>
  <c r="V699"/>
  <c r="T700"/>
  <c r="W699" l="1"/>
  <c r="U700"/>
  <c r="V700"/>
  <c r="T701"/>
  <c r="Z699" l="1"/>
  <c r="AC699"/>
  <c r="W700"/>
  <c r="U701"/>
  <c r="V701"/>
  <c r="T702"/>
  <c r="Z700" l="1"/>
  <c r="AC700"/>
  <c r="W701"/>
  <c r="U702"/>
  <c r="V702"/>
  <c r="T703"/>
  <c r="Z701" l="1"/>
  <c r="AC701"/>
  <c r="W702"/>
  <c r="U703"/>
  <c r="V703"/>
  <c r="T704"/>
  <c r="Z702" l="1"/>
  <c r="AC702"/>
  <c r="W703"/>
  <c r="U704"/>
  <c r="V704"/>
  <c r="T705"/>
  <c r="S705" s="1"/>
  <c r="Z703" l="1"/>
  <c r="AC703"/>
  <c r="U705"/>
  <c r="V705"/>
  <c r="T706"/>
  <c r="W705" l="1"/>
  <c r="U706"/>
  <c r="V706"/>
  <c r="T707"/>
  <c r="Z705" l="1"/>
  <c r="AC705"/>
  <c r="W706"/>
  <c r="U707"/>
  <c r="V707"/>
  <c r="T708"/>
  <c r="Z706" l="1"/>
  <c r="AC706"/>
  <c r="W707"/>
  <c r="U708"/>
  <c r="V708"/>
  <c r="T709"/>
  <c r="Z707" l="1"/>
  <c r="AC707"/>
  <c r="W708"/>
  <c r="U709"/>
  <c r="V709"/>
  <c r="T710"/>
  <c r="Z708" l="1"/>
  <c r="AC708"/>
  <c r="W709"/>
  <c r="U710"/>
  <c r="V710"/>
  <c r="T711"/>
  <c r="S711" s="1"/>
  <c r="Z709" l="1"/>
  <c r="AC709"/>
  <c r="U711"/>
  <c r="V711"/>
  <c r="T712"/>
  <c r="W711" l="1"/>
  <c r="U712"/>
  <c r="V712"/>
  <c r="T713"/>
  <c r="Z711" l="1"/>
  <c r="AC711"/>
  <c r="W712"/>
  <c r="U713"/>
  <c r="V713"/>
  <c r="T714"/>
  <c r="Z712" l="1"/>
  <c r="AC712"/>
  <c r="W713"/>
  <c r="U714"/>
  <c r="V714"/>
  <c r="T715"/>
  <c r="Z713" l="1"/>
  <c r="AC713"/>
  <c r="W714"/>
  <c r="U715"/>
  <c r="V715"/>
  <c r="T716"/>
  <c r="Z714" l="1"/>
  <c r="AC714"/>
  <c r="W715"/>
  <c r="U716"/>
  <c r="V716"/>
  <c r="T717"/>
  <c r="S717" s="1"/>
  <c r="Z715" l="1"/>
  <c r="AC715"/>
  <c r="U717"/>
  <c r="V717"/>
  <c r="T718"/>
  <c r="W717" l="1"/>
  <c r="U718"/>
  <c r="V718"/>
  <c r="T719"/>
  <c r="Z717" l="1"/>
  <c r="AC717"/>
  <c r="W718"/>
  <c r="U719"/>
  <c r="V719"/>
  <c r="T720"/>
  <c r="Z718" l="1"/>
  <c r="AC718"/>
  <c r="W719"/>
  <c r="U720"/>
  <c r="V720"/>
  <c r="T721"/>
  <c r="Z719" l="1"/>
  <c r="AC719"/>
  <c r="W720"/>
  <c r="U721"/>
  <c r="V721"/>
  <c r="T722"/>
  <c r="T723" s="1"/>
  <c r="Z720" l="1"/>
  <c r="AC720"/>
  <c r="T724"/>
  <c r="S723"/>
  <c r="V723"/>
  <c r="U723"/>
  <c r="W723" s="1"/>
  <c r="W721"/>
  <c r="U722"/>
  <c r="V722"/>
  <c r="D221" i="2"/>
  <c r="F221" s="1"/>
  <c r="Z721" i="6" l="1"/>
  <c r="AC721"/>
  <c r="Z723"/>
  <c r="AC723"/>
  <c r="V724"/>
  <c r="U724"/>
  <c r="W724" s="1"/>
  <c r="T725"/>
  <c r="Z724" l="1"/>
  <c r="AC724"/>
  <c r="T726"/>
  <c r="V725"/>
  <c r="U725"/>
  <c r="W725" s="1"/>
  <c r="C4"/>
  <c r="Z725" l="1"/>
  <c r="AC725"/>
  <c r="V726"/>
  <c r="U726"/>
  <c r="W726" s="1"/>
  <c r="T727"/>
  <c r="B11"/>
  <c r="B69" i="1"/>
  <c r="B81" s="1"/>
  <c r="Z726" i="6" l="1"/>
  <c r="AC726"/>
  <c r="T728"/>
  <c r="V727"/>
  <c r="U727"/>
  <c r="W727" s="1"/>
  <c r="E69" i="1"/>
  <c r="B76"/>
  <c r="E81"/>
  <c r="Z727" i="6" l="1"/>
  <c r="AC727"/>
  <c r="V728"/>
  <c r="U728"/>
  <c r="T729"/>
  <c r="E76" i="1"/>
  <c r="S729" i="6" l="1"/>
  <c r="U729"/>
  <c r="W729" s="1"/>
  <c r="V729"/>
  <c r="T730"/>
  <c r="Z729" l="1"/>
  <c r="AC729"/>
  <c r="T731"/>
  <c r="V730"/>
  <c r="U730"/>
  <c r="W730" s="1"/>
  <c r="Z730" l="1"/>
  <c r="AC730"/>
  <c r="V731"/>
  <c r="U731"/>
  <c r="W731" s="1"/>
  <c r="T732"/>
  <c r="Z731" l="1"/>
  <c r="AC731"/>
  <c r="T733"/>
  <c r="V732"/>
  <c r="U732"/>
  <c r="W732" s="1"/>
  <c r="Z732" l="1"/>
  <c r="AC732"/>
  <c r="V733"/>
  <c r="U733"/>
  <c r="W733" s="1"/>
  <c r="T734"/>
  <c r="Z733" l="1"/>
  <c r="AC733"/>
  <c r="T735"/>
  <c r="V734"/>
  <c r="U734"/>
  <c r="U735" l="1"/>
  <c r="W735" s="1"/>
  <c r="S735"/>
  <c r="T736"/>
  <c r="V735"/>
  <c r="Z735" l="1"/>
  <c r="AC735"/>
  <c r="V736"/>
  <c r="U736"/>
  <c r="W736" s="1"/>
  <c r="T737"/>
  <c r="Z736" l="1"/>
  <c r="AC736"/>
  <c r="T738"/>
  <c r="V737"/>
  <c r="U737"/>
  <c r="W737" s="1"/>
  <c r="Z737" l="1"/>
  <c r="AC737"/>
  <c r="V738"/>
  <c r="U738"/>
  <c r="W738" s="1"/>
  <c r="T739"/>
  <c r="Z738" l="1"/>
  <c r="AC738"/>
  <c r="T740"/>
  <c r="V739"/>
  <c r="U739"/>
  <c r="W739" s="1"/>
  <c r="Z739" l="1"/>
  <c r="AC739"/>
  <c r="V740"/>
  <c r="U740"/>
  <c r="T741"/>
  <c r="S741" l="1"/>
  <c r="U741"/>
  <c r="W741" s="1"/>
  <c r="V741"/>
  <c r="T742"/>
  <c r="Z741" l="1"/>
  <c r="AC741"/>
  <c r="T743"/>
  <c r="V742"/>
  <c r="U742"/>
  <c r="W742" s="1"/>
  <c r="Z742" l="1"/>
  <c r="AC742"/>
  <c r="V743"/>
  <c r="U743"/>
  <c r="W743" s="1"/>
  <c r="T744"/>
  <c r="Z743" l="1"/>
  <c r="AC743"/>
  <c r="T745"/>
  <c r="V744"/>
  <c r="U744"/>
  <c r="W744" s="1"/>
  <c r="Z744" l="1"/>
  <c r="AC744"/>
  <c r="V745"/>
  <c r="U745"/>
  <c r="W745" s="1"/>
  <c r="T746"/>
  <c r="Z745" l="1"/>
  <c r="AC745"/>
  <c r="T747"/>
  <c r="V746"/>
  <c r="U746"/>
  <c r="U747" l="1"/>
  <c r="W747" s="1"/>
  <c r="S747"/>
  <c r="T748"/>
  <c r="V747"/>
  <c r="Z747" l="1"/>
  <c r="AC747"/>
  <c r="V748"/>
  <c r="U748"/>
  <c r="W748" s="1"/>
  <c r="T749"/>
  <c r="Z748" l="1"/>
  <c r="AC748"/>
  <c r="T750"/>
  <c r="V749"/>
  <c r="U749"/>
  <c r="W749" s="1"/>
  <c r="Z749" l="1"/>
  <c r="AC749"/>
  <c r="V750"/>
  <c r="U750"/>
  <c r="W750" s="1"/>
  <c r="T751"/>
  <c r="Z750" l="1"/>
  <c r="AC750"/>
  <c r="T752"/>
  <c r="V751"/>
  <c r="U751"/>
  <c r="W751" s="1"/>
  <c r="Z751" l="1"/>
  <c r="AC751"/>
  <c r="V752"/>
  <c r="U752"/>
  <c r="T753"/>
  <c r="S753" l="1"/>
  <c r="U753"/>
  <c r="W753" s="1"/>
  <c r="V753"/>
  <c r="T754"/>
  <c r="Z753" l="1"/>
  <c r="AC753"/>
  <c r="T755"/>
  <c r="V754"/>
  <c r="U754"/>
  <c r="W754" s="1"/>
  <c r="Z754" l="1"/>
  <c r="AC754"/>
  <c r="V755"/>
  <c r="U755"/>
  <c r="W755" s="1"/>
  <c r="T756"/>
  <c r="Z755" l="1"/>
  <c r="AC755"/>
  <c r="T757"/>
  <c r="V756"/>
  <c r="U756"/>
  <c r="W756" s="1"/>
  <c r="Z756" l="1"/>
  <c r="AC756"/>
  <c r="V757"/>
  <c r="U757"/>
  <c r="W757" s="1"/>
  <c r="T758"/>
  <c r="Z757" l="1"/>
  <c r="AC757"/>
  <c r="T759"/>
  <c r="V758"/>
  <c r="U758"/>
  <c r="U759" l="1"/>
  <c r="W759" s="1"/>
  <c r="S759"/>
  <c r="T760"/>
  <c r="V759"/>
  <c r="Z759" l="1"/>
  <c r="AC759"/>
  <c r="V760"/>
  <c r="U760"/>
  <c r="W760" s="1"/>
  <c r="T761"/>
  <c r="Z760" l="1"/>
  <c r="AC760"/>
  <c r="T762"/>
  <c r="V761"/>
  <c r="U761"/>
  <c r="W761" s="1"/>
  <c r="Z761" l="1"/>
  <c r="AC761"/>
  <c r="V762"/>
  <c r="U762"/>
  <c r="W762" s="1"/>
  <c r="T763"/>
  <c r="Z762" l="1"/>
  <c r="AC762"/>
  <c r="T764"/>
  <c r="V763"/>
  <c r="U763"/>
  <c r="W763" s="1"/>
  <c r="Z763" l="1"/>
  <c r="AC763"/>
  <c r="V764"/>
  <c r="U764"/>
  <c r="T765"/>
  <c r="S765" l="1"/>
  <c r="U765"/>
  <c r="W765" s="1"/>
  <c r="V765"/>
  <c r="T766"/>
  <c r="Z765" l="1"/>
  <c r="AC765"/>
  <c r="T767"/>
  <c r="V766"/>
  <c r="U766"/>
  <c r="W766" s="1"/>
  <c r="Z766" l="1"/>
  <c r="AC766"/>
  <c r="V767"/>
  <c r="U767"/>
  <c r="W767" s="1"/>
  <c r="T768"/>
  <c r="Z767" l="1"/>
  <c r="AC767"/>
  <c r="T769"/>
  <c r="V768"/>
  <c r="U768"/>
  <c r="W768" s="1"/>
  <c r="Z768" l="1"/>
  <c r="AC768"/>
  <c r="V769"/>
  <c r="U769"/>
  <c r="W769" s="1"/>
  <c r="T770"/>
  <c r="Z769" l="1"/>
  <c r="AC769"/>
  <c r="T771"/>
  <c r="V770"/>
  <c r="U770"/>
  <c r="U771" l="1"/>
  <c r="W771" s="1"/>
  <c r="S771"/>
  <c r="T772"/>
  <c r="V771"/>
  <c r="Z771" l="1"/>
  <c r="AC771"/>
  <c r="V772"/>
  <c r="U772"/>
  <c r="W772" s="1"/>
  <c r="T773"/>
  <c r="Z772" l="1"/>
  <c r="AC772"/>
  <c r="T774"/>
  <c r="V773"/>
  <c r="U773"/>
  <c r="W773" s="1"/>
  <c r="Z773" l="1"/>
  <c r="AC773"/>
  <c r="V774"/>
  <c r="U774"/>
  <c r="W774" s="1"/>
  <c r="T775"/>
  <c r="Z774" l="1"/>
  <c r="AC774"/>
  <c r="T776"/>
  <c r="V775"/>
  <c r="U775"/>
  <c r="W775" s="1"/>
  <c r="Z775" l="1"/>
  <c r="AC775"/>
  <c r="V776"/>
  <c r="U776"/>
  <c r="T777"/>
  <c r="S777" l="1"/>
  <c r="U777"/>
  <c r="W777" s="1"/>
  <c r="V777"/>
  <c r="T778"/>
  <c r="Z777" l="1"/>
  <c r="AC777"/>
  <c r="T779"/>
  <c r="V778"/>
  <c r="U778"/>
  <c r="W778" s="1"/>
  <c r="Z778" l="1"/>
  <c r="AC778"/>
  <c r="V779"/>
  <c r="U779"/>
  <c r="W779" s="1"/>
  <c r="T780"/>
  <c r="Z779" l="1"/>
  <c r="AC779"/>
  <c r="T781"/>
  <c r="V780"/>
  <c r="U780"/>
  <c r="W780" s="1"/>
  <c r="Z780" l="1"/>
  <c r="AC780"/>
  <c r="V781"/>
  <c r="U781"/>
  <c r="W781" s="1"/>
  <c r="T782"/>
  <c r="Z781" l="1"/>
  <c r="AC781"/>
  <c r="T783"/>
  <c r="V782"/>
  <c r="U782"/>
  <c r="U783" l="1"/>
  <c r="W783" s="1"/>
  <c r="S783"/>
  <c r="T784"/>
  <c r="V783"/>
  <c r="Z783" l="1"/>
  <c r="AC783"/>
  <c r="V784"/>
  <c r="U784"/>
  <c r="W784" s="1"/>
  <c r="T785"/>
  <c r="Z784" l="1"/>
  <c r="AC784"/>
  <c r="T786"/>
  <c r="V785"/>
  <c r="U785"/>
  <c r="W785" s="1"/>
  <c r="Z785" l="1"/>
  <c r="AC785"/>
  <c r="V786"/>
  <c r="U786"/>
  <c r="W786" s="1"/>
  <c r="T787"/>
  <c r="Z786" l="1"/>
  <c r="AC786"/>
  <c r="T788"/>
  <c r="V787"/>
  <c r="U787"/>
  <c r="W787" s="1"/>
  <c r="Z787" l="1"/>
  <c r="AC787"/>
  <c r="V788"/>
  <c r="U788"/>
  <c r="T789"/>
  <c r="S789" l="1"/>
  <c r="U789"/>
  <c r="W789" s="1"/>
  <c r="V789"/>
  <c r="T790"/>
  <c r="Z789" l="1"/>
  <c r="AC789"/>
  <c r="T791"/>
  <c r="V790"/>
  <c r="U790"/>
  <c r="W790" s="1"/>
  <c r="Z790" l="1"/>
  <c r="AC790"/>
  <c r="V791"/>
  <c r="U791"/>
  <c r="W791" s="1"/>
  <c r="T792"/>
  <c r="Z791" l="1"/>
  <c r="AC791"/>
  <c r="T793"/>
  <c r="V792"/>
  <c r="U792"/>
  <c r="W792" s="1"/>
  <c r="Z792" l="1"/>
  <c r="AC792"/>
  <c r="V793"/>
  <c r="U793"/>
  <c r="W793" s="1"/>
  <c r="T794"/>
  <c r="Z793" l="1"/>
  <c r="AC793"/>
  <c r="T795"/>
  <c r="V794"/>
  <c r="U794"/>
  <c r="U795" l="1"/>
  <c r="W795" s="1"/>
  <c r="S795"/>
  <c r="T796"/>
  <c r="V795"/>
  <c r="Z795" l="1"/>
  <c r="AC795"/>
  <c r="V796"/>
  <c r="U796"/>
  <c r="W796" s="1"/>
  <c r="T797"/>
  <c r="Z796" l="1"/>
  <c r="AC796"/>
  <c r="T798"/>
  <c r="V797"/>
  <c r="U797"/>
  <c r="W797" s="1"/>
  <c r="Z797" l="1"/>
  <c r="AC797"/>
  <c r="V798"/>
  <c r="U798"/>
  <c r="W798" s="1"/>
  <c r="T799"/>
  <c r="Z798" l="1"/>
  <c r="AC798"/>
  <c r="T800"/>
  <c r="V799"/>
  <c r="U799"/>
  <c r="W799" s="1"/>
  <c r="Z799" l="1"/>
  <c r="AC799"/>
  <c r="V800"/>
  <c r="U800"/>
  <c r="T801"/>
  <c r="S801" l="1"/>
  <c r="U801"/>
  <c r="W801" s="1"/>
  <c r="V801"/>
  <c r="T802"/>
  <c r="Z801" l="1"/>
  <c r="AC801"/>
  <c r="T803"/>
  <c r="V802"/>
  <c r="U802"/>
  <c r="W802" s="1"/>
  <c r="Z802" l="1"/>
  <c r="AC802"/>
  <c r="V803"/>
  <c r="U803"/>
  <c r="W803" s="1"/>
  <c r="T804"/>
  <c r="Z803" l="1"/>
  <c r="AC803"/>
  <c r="T805"/>
  <c r="V804"/>
  <c r="U804"/>
  <c r="W804" s="1"/>
  <c r="Z804" l="1"/>
  <c r="AC804"/>
  <c r="V805"/>
  <c r="U805"/>
  <c r="W805" s="1"/>
  <c r="T806"/>
  <c r="Z805" l="1"/>
  <c r="AC805"/>
  <c r="T807"/>
  <c r="V806"/>
  <c r="U806"/>
  <c r="U807" l="1"/>
  <c r="W807" s="1"/>
  <c r="S807"/>
  <c r="T808"/>
  <c r="V807"/>
  <c r="Z807" l="1"/>
  <c r="AC807"/>
  <c r="V808"/>
  <c r="U808"/>
  <c r="W808" s="1"/>
  <c r="T809"/>
  <c r="Z808" l="1"/>
  <c r="AC808"/>
  <c r="T810"/>
  <c r="V809"/>
  <c r="U809"/>
  <c r="W809" s="1"/>
  <c r="Z809" l="1"/>
  <c r="AC809"/>
  <c r="V810"/>
  <c r="U810"/>
  <c r="W810" s="1"/>
  <c r="T811"/>
  <c r="Z810" l="1"/>
  <c r="AC810"/>
  <c r="T812"/>
  <c r="V811"/>
  <c r="U811"/>
  <c r="W811" s="1"/>
  <c r="Z811" l="1"/>
  <c r="AC811"/>
  <c r="V812"/>
  <c r="U812"/>
  <c r="T813"/>
  <c r="S813" l="1"/>
  <c r="U813"/>
  <c r="W813" s="1"/>
  <c r="V813"/>
  <c r="T814"/>
  <c r="Z813" l="1"/>
  <c r="AC813"/>
  <c r="T815"/>
  <c r="V814"/>
  <c r="U814"/>
  <c r="W814" s="1"/>
  <c r="Z814" l="1"/>
  <c r="AC814"/>
  <c r="V815"/>
  <c r="U815"/>
  <c r="W815" s="1"/>
  <c r="T816"/>
  <c r="Z815" l="1"/>
  <c r="AC815"/>
  <c r="T817"/>
  <c r="V816"/>
  <c r="U816"/>
  <c r="W816" s="1"/>
  <c r="Z816" l="1"/>
  <c r="AC816"/>
  <c r="V817"/>
  <c r="U817"/>
  <c r="W817" s="1"/>
  <c r="T818"/>
  <c r="Z817" l="1"/>
  <c r="AC817"/>
  <c r="T819"/>
  <c r="V818"/>
  <c r="U818"/>
  <c r="U819" l="1"/>
  <c r="W819" s="1"/>
  <c r="S819"/>
  <c r="T820"/>
  <c r="V819"/>
  <c r="Z819" l="1"/>
  <c r="AC819"/>
  <c r="V820"/>
  <c r="U820"/>
  <c r="W820" s="1"/>
  <c r="T821"/>
  <c r="Z820" l="1"/>
  <c r="AC820"/>
  <c r="T822"/>
  <c r="V821"/>
  <c r="U821"/>
  <c r="W821" s="1"/>
  <c r="Z821" l="1"/>
  <c r="AC821"/>
  <c r="V822"/>
  <c r="U822"/>
  <c r="W822" s="1"/>
  <c r="T823"/>
  <c r="Z822" l="1"/>
  <c r="AC822"/>
  <c r="T824"/>
  <c r="V823"/>
  <c r="U823"/>
  <c r="W823" s="1"/>
  <c r="Z823" l="1"/>
  <c r="AC823"/>
  <c r="V824"/>
  <c r="U824"/>
  <c r="T825"/>
  <c r="S825" l="1"/>
  <c r="U825"/>
  <c r="W825" s="1"/>
  <c r="V825"/>
  <c r="T826"/>
  <c r="Z825" l="1"/>
  <c r="AC825"/>
  <c r="T827"/>
  <c r="V826"/>
  <c r="U826"/>
  <c r="W826" s="1"/>
  <c r="Z826" l="1"/>
  <c r="AC826"/>
  <c r="V827"/>
  <c r="U827"/>
  <c r="W827" s="1"/>
  <c r="T828"/>
  <c r="Z827" l="1"/>
  <c r="AC827"/>
  <c r="T829"/>
  <c r="V828"/>
  <c r="U828"/>
  <c r="W828" s="1"/>
  <c r="Z828" l="1"/>
  <c r="AC828"/>
  <c r="V829"/>
  <c r="U829"/>
  <c r="W829" s="1"/>
  <c r="T830"/>
  <c r="Z829" l="1"/>
  <c r="AC829"/>
  <c r="T831"/>
  <c r="V830"/>
  <c r="U830"/>
  <c r="U831" l="1"/>
  <c r="W831" s="1"/>
  <c r="S831"/>
  <c r="T832"/>
  <c r="V831"/>
  <c r="Z831" l="1"/>
  <c r="AC831"/>
  <c r="V832"/>
  <c r="U832"/>
  <c r="W832" s="1"/>
  <c r="T833"/>
  <c r="Z832" l="1"/>
  <c r="AC832"/>
  <c r="T834"/>
  <c r="V833"/>
  <c r="U833"/>
  <c r="W833" s="1"/>
  <c r="Z833" l="1"/>
  <c r="AC833"/>
  <c r="V834"/>
  <c r="U834"/>
  <c r="W834" s="1"/>
  <c r="T835"/>
  <c r="Z834" l="1"/>
  <c r="AC834"/>
  <c r="T836"/>
  <c r="V835"/>
  <c r="U835"/>
  <c r="W835" s="1"/>
  <c r="Z835" l="1"/>
  <c r="AC835"/>
  <c r="V836"/>
  <c r="U836"/>
  <c r="T837"/>
  <c r="S837" l="1"/>
  <c r="U837"/>
  <c r="W837" s="1"/>
  <c r="V837"/>
  <c r="T838"/>
  <c r="Z837" l="1"/>
  <c r="AC837"/>
  <c r="T839"/>
  <c r="V838"/>
  <c r="U838"/>
  <c r="W838" s="1"/>
  <c r="Z838" l="1"/>
  <c r="AC838"/>
  <c r="V839"/>
  <c r="U839"/>
  <c r="W839" s="1"/>
  <c r="T840"/>
  <c r="Z839" l="1"/>
  <c r="AC839"/>
  <c r="T841"/>
  <c r="V840"/>
  <c r="U840"/>
  <c r="W840" s="1"/>
  <c r="Z840" l="1"/>
  <c r="AC840"/>
  <c r="V841"/>
  <c r="U841"/>
  <c r="W841" s="1"/>
  <c r="T842"/>
  <c r="Z841" l="1"/>
  <c r="AC841"/>
  <c r="T843"/>
  <c r="V842"/>
  <c r="U842"/>
  <c r="U843" l="1"/>
  <c r="W843" s="1"/>
  <c r="S843"/>
  <c r="T844"/>
  <c r="V843"/>
  <c r="Z843" l="1"/>
  <c r="AC843"/>
  <c r="V844"/>
  <c r="U844"/>
  <c r="W844" s="1"/>
  <c r="T845"/>
  <c r="Z844" l="1"/>
  <c r="AC844"/>
  <c r="T846"/>
  <c r="V845"/>
  <c r="U845"/>
  <c r="W845" s="1"/>
  <c r="Z845" l="1"/>
  <c r="AC845"/>
  <c r="V846"/>
  <c r="U846"/>
  <c r="W846" s="1"/>
  <c r="T847"/>
  <c r="Z846" l="1"/>
  <c r="AC846"/>
  <c r="T848"/>
  <c r="V847"/>
  <c r="U847"/>
  <c r="W847" s="1"/>
  <c r="Z847" l="1"/>
  <c r="AC847"/>
  <c r="V848"/>
  <c r="U848"/>
  <c r="T849"/>
  <c r="S849" l="1"/>
  <c r="U849"/>
  <c r="W849" s="1"/>
  <c r="V849"/>
  <c r="T850"/>
  <c r="Z849" l="1"/>
  <c r="AC849"/>
  <c r="T851"/>
  <c r="V850"/>
  <c r="U850"/>
  <c r="W850" s="1"/>
  <c r="Z850" l="1"/>
  <c r="AC850"/>
  <c r="V851"/>
  <c r="U851"/>
  <c r="W851" s="1"/>
  <c r="T852"/>
  <c r="Z851" l="1"/>
  <c r="AC851"/>
  <c r="T853"/>
  <c r="V852"/>
  <c r="U852"/>
  <c r="W852" s="1"/>
  <c r="Z852" l="1"/>
  <c r="AC852"/>
  <c r="V853"/>
  <c r="U853"/>
  <c r="W853" s="1"/>
  <c r="T854"/>
  <c r="Z853" l="1"/>
  <c r="AC853"/>
  <c r="T855"/>
  <c r="V854"/>
  <c r="U854"/>
  <c r="U855" l="1"/>
  <c r="W855" s="1"/>
  <c r="S855"/>
  <c r="T856"/>
  <c r="V855"/>
  <c r="Z855" l="1"/>
  <c r="AC855"/>
  <c r="V856"/>
  <c r="U856"/>
  <c r="W856" s="1"/>
  <c r="T857"/>
  <c r="Z856" l="1"/>
  <c r="AC856"/>
  <c r="T858"/>
  <c r="V857"/>
  <c r="U857"/>
  <c r="W857" s="1"/>
  <c r="Z857" l="1"/>
  <c r="AC857"/>
  <c r="V858"/>
  <c r="U858"/>
  <c r="W858" s="1"/>
  <c r="T859"/>
  <c r="Z858" l="1"/>
  <c r="AC858"/>
  <c r="T860"/>
  <c r="V859"/>
  <c r="U859"/>
  <c r="W859" s="1"/>
  <c r="Z859" l="1"/>
  <c r="AC859"/>
  <c r="V860"/>
  <c r="U860"/>
  <c r="T861"/>
  <c r="S861" l="1"/>
  <c r="U861"/>
  <c r="W861" s="1"/>
  <c r="V861"/>
  <c r="T862"/>
  <c r="Z861" l="1"/>
  <c r="AC861"/>
  <c r="T863"/>
  <c r="V862"/>
  <c r="U862"/>
  <c r="W862" s="1"/>
  <c r="Z862" l="1"/>
  <c r="AC862"/>
  <c r="V863"/>
  <c r="U863"/>
  <c r="W863" s="1"/>
  <c r="T864"/>
  <c r="Z863" l="1"/>
  <c r="AC863"/>
  <c r="T865"/>
  <c r="V864"/>
  <c r="U864"/>
  <c r="W864" s="1"/>
  <c r="Z864" l="1"/>
  <c r="AC864"/>
  <c r="V865"/>
  <c r="U865"/>
  <c r="W865" s="1"/>
  <c r="T866"/>
  <c r="Z865" l="1"/>
  <c r="AC865"/>
  <c r="T867"/>
  <c r="V866"/>
  <c r="U866"/>
  <c r="U867" l="1"/>
  <c r="W867" s="1"/>
  <c r="S867"/>
  <c r="T868"/>
  <c r="V867"/>
  <c r="Z867" l="1"/>
  <c r="AC867"/>
  <c r="V868"/>
  <c r="U868"/>
  <c r="W868" s="1"/>
  <c r="T869"/>
  <c r="Z868" l="1"/>
  <c r="AC868"/>
  <c r="T870"/>
  <c r="V869"/>
  <c r="U869"/>
  <c r="W869" s="1"/>
  <c r="Z869" l="1"/>
  <c r="AC869"/>
  <c r="V870"/>
  <c r="U870"/>
  <c r="W870" s="1"/>
  <c r="T871"/>
  <c r="Z870" l="1"/>
  <c r="AC870"/>
  <c r="T872"/>
  <c r="V871"/>
  <c r="U871"/>
  <c r="W871" s="1"/>
  <c r="Z871" l="1"/>
  <c r="AC871"/>
  <c r="V872"/>
  <c r="U872"/>
  <c r="T873"/>
  <c r="S873" l="1"/>
  <c r="U873"/>
  <c r="W873" s="1"/>
  <c r="V873"/>
  <c r="T874"/>
  <c r="Z873" l="1"/>
  <c r="AC873"/>
  <c r="T875"/>
  <c r="V874"/>
  <c r="U874"/>
  <c r="W874" s="1"/>
  <c r="Z874" l="1"/>
  <c r="AC874"/>
  <c r="V875"/>
  <c r="U875"/>
  <c r="W875" s="1"/>
  <c r="T876"/>
  <c r="Z875" l="1"/>
  <c r="AC875"/>
  <c r="T877"/>
  <c r="V876"/>
  <c r="U876"/>
  <c r="W876" s="1"/>
  <c r="Z876" l="1"/>
  <c r="AC876"/>
  <c r="V877"/>
  <c r="U877"/>
  <c r="W877" s="1"/>
  <c r="T878"/>
  <c r="Z877" l="1"/>
  <c r="AC877"/>
  <c r="T879"/>
  <c r="V878"/>
  <c r="U878"/>
  <c r="U879" l="1"/>
  <c r="W879" s="1"/>
  <c r="S879"/>
  <c r="T880"/>
  <c r="V879"/>
  <c r="Z879" l="1"/>
  <c r="AC879"/>
  <c r="V880"/>
  <c r="U880"/>
  <c r="W880" s="1"/>
  <c r="T881"/>
  <c r="Z880" l="1"/>
  <c r="AC880"/>
  <c r="T882"/>
  <c r="V881"/>
  <c r="U881"/>
  <c r="W881" s="1"/>
  <c r="Z881" l="1"/>
  <c r="AC881"/>
  <c r="V882"/>
  <c r="U882"/>
  <c r="W882" s="1"/>
  <c r="T883"/>
  <c r="Z882" l="1"/>
  <c r="AC882"/>
  <c r="T884"/>
  <c r="V883"/>
  <c r="U883"/>
  <c r="W883" s="1"/>
  <c r="Z883" l="1"/>
  <c r="AC883"/>
  <c r="V884"/>
  <c r="U884"/>
  <c r="T885"/>
  <c r="S885" l="1"/>
  <c r="U885"/>
  <c r="W885" s="1"/>
  <c r="V885"/>
  <c r="T886"/>
  <c r="Z885" l="1"/>
  <c r="AC885"/>
  <c r="T887"/>
  <c r="V886"/>
  <c r="U886"/>
  <c r="W886" s="1"/>
  <c r="Z886" l="1"/>
  <c r="AC886"/>
  <c r="V887"/>
  <c r="U887"/>
  <c r="W887" s="1"/>
  <c r="T888"/>
  <c r="Z887" l="1"/>
  <c r="AC887"/>
  <c r="T889"/>
  <c r="V888"/>
  <c r="U888"/>
  <c r="W888" s="1"/>
  <c r="Z888" l="1"/>
  <c r="AC888"/>
  <c r="V889"/>
  <c r="U889"/>
  <c r="W889" s="1"/>
  <c r="T890"/>
  <c r="Z889" l="1"/>
  <c r="AC889"/>
  <c r="T891"/>
  <c r="V890"/>
  <c r="U890"/>
  <c r="U891" l="1"/>
  <c r="W891" s="1"/>
  <c r="S891"/>
  <c r="T892"/>
  <c r="V891"/>
  <c r="Z891" l="1"/>
  <c r="AC891"/>
  <c r="V892"/>
  <c r="U892"/>
  <c r="W892" s="1"/>
  <c r="T893"/>
  <c r="Z892" l="1"/>
  <c r="AC892"/>
  <c r="T894"/>
  <c r="V893"/>
  <c r="U893"/>
  <c r="W893" s="1"/>
  <c r="Z893" l="1"/>
  <c r="AC893"/>
  <c r="V894"/>
  <c r="U894"/>
  <c r="W894" s="1"/>
  <c r="T895"/>
  <c r="Z894" l="1"/>
  <c r="AC894"/>
  <c r="T896"/>
  <c r="V895"/>
  <c r="U895"/>
  <c r="W895" s="1"/>
  <c r="Z895" l="1"/>
  <c r="AC895"/>
  <c r="V896"/>
  <c r="U896"/>
  <c r="T897"/>
  <c r="S897" l="1"/>
  <c r="U897"/>
  <c r="W897" s="1"/>
  <c r="V897"/>
  <c r="T898"/>
  <c r="Z897" l="1"/>
  <c r="AC897"/>
  <c r="T899"/>
  <c r="V898"/>
  <c r="U898"/>
  <c r="W898" s="1"/>
  <c r="Z898" l="1"/>
  <c r="AC898"/>
  <c r="V899"/>
  <c r="U899"/>
  <c r="W899" s="1"/>
  <c r="T900"/>
  <c r="Z899" l="1"/>
  <c r="AC899"/>
  <c r="T901"/>
  <c r="V900"/>
  <c r="U900"/>
  <c r="W900" s="1"/>
  <c r="Z900" l="1"/>
  <c r="AC900"/>
  <c r="V901"/>
  <c r="U901"/>
  <c r="W901" s="1"/>
  <c r="T902"/>
  <c r="Z901" l="1"/>
  <c r="AC901"/>
  <c r="T903"/>
  <c r="V902"/>
  <c r="U902"/>
  <c r="U903" l="1"/>
  <c r="W903" s="1"/>
  <c r="S903"/>
  <c r="T904"/>
  <c r="V903"/>
  <c r="Z903" l="1"/>
  <c r="AC903"/>
  <c r="V904"/>
  <c r="U904"/>
  <c r="W904" s="1"/>
  <c r="T905"/>
  <c r="Z904" l="1"/>
  <c r="AC904"/>
  <c r="T906"/>
  <c r="V905"/>
  <c r="U905"/>
  <c r="W905" s="1"/>
  <c r="Z905" l="1"/>
  <c r="AC905"/>
  <c r="V906"/>
  <c r="U906"/>
  <c r="W906" s="1"/>
  <c r="T907"/>
  <c r="Z906" l="1"/>
  <c r="AC906"/>
  <c r="T908"/>
  <c r="V907"/>
  <c r="U907"/>
  <c r="W907" s="1"/>
  <c r="Z907" l="1"/>
  <c r="AC907"/>
  <c r="V908"/>
  <c r="U908"/>
  <c r="T909"/>
  <c r="S909" l="1"/>
  <c r="U909"/>
  <c r="W909" s="1"/>
  <c r="V909"/>
  <c r="T910"/>
  <c r="Z909" l="1"/>
  <c r="AC909"/>
  <c r="T911"/>
  <c r="V910"/>
  <c r="U910"/>
  <c r="W910" s="1"/>
  <c r="Z910" l="1"/>
  <c r="AC910"/>
  <c r="V911"/>
  <c r="U911"/>
  <c r="W911" s="1"/>
  <c r="T912"/>
  <c r="Z911" l="1"/>
  <c r="AC911"/>
  <c r="T913"/>
  <c r="V912"/>
  <c r="U912"/>
  <c r="W912" s="1"/>
  <c r="Z912" l="1"/>
  <c r="AC912"/>
  <c r="V913"/>
  <c r="U913"/>
  <c r="W913" s="1"/>
  <c r="T914"/>
  <c r="Z913" l="1"/>
  <c r="AC913"/>
  <c r="T915"/>
  <c r="V914"/>
  <c r="U914"/>
  <c r="U915" l="1"/>
  <c r="W915" s="1"/>
  <c r="S915"/>
  <c r="T916"/>
  <c r="V915"/>
  <c r="Z915" l="1"/>
  <c r="AC915"/>
  <c r="V916"/>
  <c r="U916"/>
  <c r="W916" s="1"/>
  <c r="T917"/>
  <c r="Z916" l="1"/>
  <c r="AC916"/>
  <c r="T918"/>
  <c r="V917"/>
  <c r="U917"/>
  <c r="W917" s="1"/>
  <c r="Z917" l="1"/>
  <c r="AC917"/>
  <c r="V918"/>
  <c r="U918"/>
  <c r="W918" s="1"/>
  <c r="T919"/>
  <c r="Z918" l="1"/>
  <c r="AC918"/>
  <c r="T920"/>
  <c r="V919"/>
  <c r="U919"/>
  <c r="W919" s="1"/>
  <c r="Z919" l="1"/>
  <c r="AC919"/>
  <c r="V920"/>
  <c r="U920"/>
  <c r="T921"/>
  <c r="S921" l="1"/>
  <c r="U921"/>
  <c r="W921" s="1"/>
  <c r="V921"/>
  <c r="T922"/>
  <c r="Z921" l="1"/>
  <c r="AC921"/>
  <c r="T923"/>
  <c r="V922"/>
  <c r="U922"/>
  <c r="W922" s="1"/>
  <c r="Z922" l="1"/>
  <c r="AC922"/>
  <c r="V923"/>
  <c r="U923"/>
  <c r="W923" s="1"/>
  <c r="T924"/>
  <c r="Z923" l="1"/>
  <c r="AC923"/>
  <c r="T925"/>
  <c r="V924"/>
  <c r="U924"/>
  <c r="W924" s="1"/>
  <c r="Z924" l="1"/>
  <c r="AC924"/>
  <c r="V925"/>
  <c r="U925"/>
  <c r="W925" s="1"/>
  <c r="T926"/>
  <c r="Z925" l="1"/>
  <c r="AC925"/>
  <c r="T927"/>
  <c r="V926"/>
  <c r="U926"/>
  <c r="U927" l="1"/>
  <c r="W927" s="1"/>
  <c r="S927"/>
  <c r="T928"/>
  <c r="V927"/>
  <c r="Z927" l="1"/>
  <c r="AC927"/>
  <c r="V928"/>
  <c r="U928"/>
  <c r="W928" s="1"/>
  <c r="T929"/>
  <c r="Z928" l="1"/>
  <c r="AC928"/>
  <c r="T930"/>
  <c r="V929"/>
  <c r="U929"/>
  <c r="W929" s="1"/>
  <c r="Z929" l="1"/>
  <c r="AC929"/>
  <c r="V930"/>
  <c r="U930"/>
  <c r="W930" s="1"/>
  <c r="T931"/>
  <c r="Z930" l="1"/>
  <c r="AC930"/>
  <c r="T932"/>
  <c r="V931"/>
  <c r="U931"/>
  <c r="W931" s="1"/>
  <c r="Z931" l="1"/>
  <c r="AC931"/>
  <c r="V932"/>
  <c r="U932"/>
  <c r="T933"/>
  <c r="S933" l="1"/>
  <c r="U933"/>
  <c r="W933" s="1"/>
  <c r="V933"/>
  <c r="T934"/>
  <c r="Z933" l="1"/>
  <c r="AC933"/>
  <c r="T935"/>
  <c r="V934"/>
  <c r="U934"/>
  <c r="W934" s="1"/>
  <c r="Z934" l="1"/>
  <c r="AC934"/>
  <c r="V935"/>
  <c r="U935"/>
  <c r="W935" s="1"/>
  <c r="T936"/>
  <c r="Z935" l="1"/>
  <c r="AC935"/>
  <c r="T937"/>
  <c r="V936"/>
  <c r="U936"/>
  <c r="W936" s="1"/>
  <c r="Z936" l="1"/>
  <c r="AC936"/>
  <c r="V937"/>
  <c r="U937"/>
  <c r="W937" s="1"/>
  <c r="T938"/>
  <c r="Z937" l="1"/>
  <c r="AC937"/>
  <c r="T939"/>
  <c r="V938"/>
  <c r="U938"/>
  <c r="U939" l="1"/>
  <c r="W939" s="1"/>
  <c r="S939"/>
  <c r="T940"/>
  <c r="V939"/>
  <c r="Z939" l="1"/>
  <c r="AC939"/>
  <c r="V940"/>
  <c r="U940"/>
  <c r="W940" s="1"/>
  <c r="T941"/>
  <c r="Z940" l="1"/>
  <c r="AC940"/>
  <c r="T942"/>
  <c r="V941"/>
  <c r="U941"/>
  <c r="W941" s="1"/>
  <c r="Z941" l="1"/>
  <c r="AC941"/>
  <c r="V942"/>
  <c r="U942"/>
  <c r="W942" s="1"/>
  <c r="T943"/>
  <c r="Z942" l="1"/>
  <c r="AC942"/>
  <c r="T944"/>
  <c r="V943"/>
  <c r="U943"/>
  <c r="W943" s="1"/>
  <c r="Z943" l="1"/>
  <c r="AC943"/>
  <c r="V944"/>
  <c r="U944"/>
  <c r="T945"/>
  <c r="S945" l="1"/>
  <c r="U945"/>
  <c r="W945" s="1"/>
  <c r="V945"/>
  <c r="T946"/>
  <c r="Z945" l="1"/>
  <c r="AC945"/>
  <c r="T947"/>
  <c r="V946"/>
  <c r="U946"/>
  <c r="W946" s="1"/>
  <c r="Z946" l="1"/>
  <c r="AC946"/>
  <c r="V947"/>
  <c r="U947"/>
  <c r="W947" s="1"/>
  <c r="T948"/>
  <c r="Z947" l="1"/>
  <c r="AC947"/>
  <c r="T949"/>
  <c r="V948"/>
  <c r="U948"/>
  <c r="W948" s="1"/>
  <c r="Z948" l="1"/>
  <c r="AC948"/>
  <c r="V949"/>
  <c r="U949"/>
  <c r="W949" s="1"/>
  <c r="T950"/>
  <c r="Z949" l="1"/>
  <c r="AC949"/>
  <c r="T951"/>
  <c r="V950"/>
  <c r="U950"/>
  <c r="U951" l="1"/>
  <c r="W951" s="1"/>
  <c r="S951"/>
  <c r="T952"/>
  <c r="V951"/>
  <c r="Z951" l="1"/>
  <c r="AC951"/>
  <c r="V952"/>
  <c r="U952"/>
  <c r="W952" s="1"/>
  <c r="T953"/>
  <c r="Z952" l="1"/>
  <c r="AC952"/>
  <c r="T954"/>
  <c r="V953"/>
  <c r="U953"/>
  <c r="W953" s="1"/>
  <c r="Z953" l="1"/>
  <c r="AC953"/>
  <c r="V954"/>
  <c r="U954"/>
  <c r="W954" s="1"/>
  <c r="T955"/>
  <c r="Z954" l="1"/>
  <c r="AC954"/>
  <c r="T956"/>
  <c r="V955"/>
  <c r="U955"/>
  <c r="W955" s="1"/>
  <c r="Z955" l="1"/>
  <c r="AC955"/>
  <c r="V956"/>
  <c r="U956"/>
  <c r="T957"/>
  <c r="S957" l="1"/>
  <c r="U957"/>
  <c r="W957" s="1"/>
  <c r="V957"/>
  <c r="T958"/>
  <c r="Z957" l="1"/>
  <c r="AC957"/>
  <c r="T959"/>
  <c r="V958"/>
  <c r="U958"/>
  <c r="W958" s="1"/>
  <c r="Z958" l="1"/>
  <c r="AC958"/>
  <c r="V959"/>
  <c r="U959"/>
  <c r="W959" s="1"/>
  <c r="T960"/>
  <c r="Z959" l="1"/>
  <c r="AC959"/>
  <c r="T961"/>
  <c r="V960"/>
  <c r="U960"/>
  <c r="W960" s="1"/>
  <c r="Z960" l="1"/>
  <c r="AC960"/>
  <c r="V961"/>
  <c r="U961"/>
  <c r="W961" s="1"/>
  <c r="T962"/>
  <c r="Z961" l="1"/>
  <c r="AC961"/>
  <c r="T963"/>
  <c r="V962"/>
  <c r="U962"/>
  <c r="U963" l="1"/>
  <c r="W963" s="1"/>
  <c r="S963"/>
  <c r="T964"/>
  <c r="V963"/>
  <c r="Z963" l="1"/>
  <c r="AC963"/>
  <c r="V964"/>
  <c r="U964"/>
  <c r="W964" s="1"/>
  <c r="T965"/>
  <c r="Z964" l="1"/>
  <c r="AC964"/>
  <c r="T966"/>
  <c r="V965"/>
  <c r="U965"/>
  <c r="W965" s="1"/>
  <c r="Z965" l="1"/>
  <c r="AC965"/>
  <c r="V966"/>
  <c r="U966"/>
  <c r="W966" s="1"/>
  <c r="T967"/>
  <c r="Z966" l="1"/>
  <c r="AC966"/>
  <c r="T968"/>
  <c r="V967"/>
  <c r="U967"/>
  <c r="W967" s="1"/>
  <c r="Z967" l="1"/>
  <c r="AC967"/>
  <c r="V968"/>
  <c r="U968"/>
  <c r="T969"/>
  <c r="S969" l="1"/>
  <c r="U969"/>
  <c r="W969" s="1"/>
  <c r="V969"/>
  <c r="T970"/>
  <c r="Z969" l="1"/>
  <c r="AC969"/>
  <c r="T971"/>
  <c r="V970"/>
  <c r="U970"/>
  <c r="W970" s="1"/>
  <c r="Z970" l="1"/>
  <c r="AC970"/>
  <c r="V971"/>
  <c r="U971"/>
  <c r="W971" s="1"/>
  <c r="T972"/>
  <c r="Z971" l="1"/>
  <c r="AC971"/>
  <c r="T973"/>
  <c r="V972"/>
  <c r="U972"/>
  <c r="W972" s="1"/>
  <c r="Z972" l="1"/>
  <c r="AC972"/>
  <c r="V973"/>
  <c r="U973"/>
  <c r="W973" s="1"/>
  <c r="T974"/>
  <c r="Z973" l="1"/>
  <c r="AC973"/>
  <c r="T975"/>
  <c r="V974"/>
  <c r="U974"/>
  <c r="U975" l="1"/>
  <c r="W975" s="1"/>
  <c r="S975"/>
  <c r="T976"/>
  <c r="V975"/>
  <c r="Z975" l="1"/>
  <c r="AC975"/>
  <c r="V976"/>
  <c r="U976"/>
  <c r="W976" s="1"/>
  <c r="T977"/>
  <c r="Z976" l="1"/>
  <c r="AC976"/>
  <c r="T978"/>
  <c r="V977"/>
  <c r="U977"/>
  <c r="W977" s="1"/>
  <c r="Z977" l="1"/>
  <c r="AC977"/>
  <c r="V978"/>
  <c r="U978"/>
  <c r="W978" s="1"/>
  <c r="T979"/>
  <c r="Z978" l="1"/>
  <c r="AC978"/>
  <c r="T980"/>
  <c r="V979"/>
  <c r="U979"/>
  <c r="W979" s="1"/>
  <c r="Z979" l="1"/>
  <c r="AC979"/>
  <c r="V980"/>
  <c r="U980"/>
  <c r="T981"/>
  <c r="S981" l="1"/>
  <c r="U981"/>
  <c r="W981" s="1"/>
  <c r="V981"/>
  <c r="T982"/>
  <c r="Z981" l="1"/>
  <c r="AC981"/>
  <c r="T983"/>
  <c r="V982"/>
  <c r="U982"/>
  <c r="W982" s="1"/>
  <c r="Z982" l="1"/>
  <c r="AC982"/>
  <c r="V983"/>
  <c r="U983"/>
  <c r="W983" s="1"/>
  <c r="T984"/>
  <c r="Z983" l="1"/>
  <c r="AC983"/>
  <c r="T985"/>
  <c r="V984"/>
  <c r="U984"/>
  <c r="W984" s="1"/>
  <c r="Z984" l="1"/>
  <c r="AC984"/>
  <c r="V985"/>
  <c r="U985"/>
  <c r="W985" s="1"/>
  <c r="T986"/>
  <c r="Z985" l="1"/>
  <c r="AC985"/>
  <c r="T987"/>
  <c r="V986"/>
  <c r="U986"/>
  <c r="U987" l="1"/>
  <c r="W987" s="1"/>
  <c r="S987"/>
  <c r="T988"/>
  <c r="V987"/>
  <c r="Z987" l="1"/>
  <c r="AC987"/>
  <c r="V988"/>
  <c r="U988"/>
  <c r="W988" s="1"/>
  <c r="T989"/>
  <c r="Z988" l="1"/>
  <c r="AC988"/>
  <c r="T990"/>
  <c r="V989"/>
  <c r="U989"/>
  <c r="W989" s="1"/>
  <c r="Z989" l="1"/>
  <c r="AC989"/>
  <c r="V990"/>
  <c r="U990"/>
  <c r="W990" s="1"/>
  <c r="T991"/>
  <c r="Z990" l="1"/>
  <c r="AC990"/>
  <c r="T992"/>
  <c r="V991"/>
  <c r="U991"/>
  <c r="W991" s="1"/>
  <c r="Z991" l="1"/>
  <c r="AC991"/>
  <c r="V992"/>
  <c r="U992"/>
  <c r="T993"/>
  <c r="S993" l="1"/>
  <c r="U993"/>
  <c r="W993" s="1"/>
  <c r="V993"/>
  <c r="T994"/>
  <c r="Z993" l="1"/>
  <c r="AC993"/>
  <c r="T995"/>
  <c r="V994"/>
  <c r="U994"/>
  <c r="W994" s="1"/>
  <c r="Z994" l="1"/>
  <c r="AC994"/>
  <c r="V995"/>
  <c r="U995"/>
  <c r="W995" s="1"/>
  <c r="T996"/>
  <c r="Z995" l="1"/>
  <c r="AC995"/>
  <c r="T997"/>
  <c r="V996"/>
  <c r="U996"/>
  <c r="W996" s="1"/>
  <c r="Z996" l="1"/>
  <c r="AC996"/>
  <c r="V997"/>
  <c r="U997"/>
  <c r="W997" s="1"/>
  <c r="T998"/>
  <c r="Z997" l="1"/>
  <c r="AC997"/>
  <c r="T999"/>
  <c r="V998"/>
  <c r="U998"/>
  <c r="U999" l="1"/>
  <c r="W999" s="1"/>
  <c r="S999"/>
  <c r="T1000"/>
  <c r="V999"/>
  <c r="Z999" l="1"/>
  <c r="AC999"/>
  <c r="V1000"/>
  <c r="U1000"/>
  <c r="W1000" s="1"/>
  <c r="T1001"/>
  <c r="Z1000" l="1"/>
  <c r="AC1000"/>
  <c r="T1002"/>
  <c r="V1001"/>
  <c r="U1001"/>
  <c r="W1001" s="1"/>
  <c r="Z1001" l="1"/>
  <c r="AC1001"/>
  <c r="V1002"/>
  <c r="U1002"/>
  <c r="W1002" s="1"/>
  <c r="T1003"/>
  <c r="Z1002" l="1"/>
  <c r="AC1002"/>
  <c r="T1004"/>
  <c r="V1003"/>
  <c r="U1003"/>
  <c r="W1003" s="1"/>
  <c r="Z1003" l="1"/>
  <c r="AC1003"/>
  <c r="V1004"/>
  <c r="U1004"/>
  <c r="T1005"/>
  <c r="S1005" l="1"/>
  <c r="U1005"/>
  <c r="W1005" s="1"/>
  <c r="V1005"/>
  <c r="T1006"/>
  <c r="Z1005" l="1"/>
  <c r="AC1005"/>
  <c r="T1007"/>
  <c r="V1006"/>
  <c r="U1006"/>
  <c r="W1006" s="1"/>
  <c r="Z1006" l="1"/>
  <c r="AC1006"/>
  <c r="V1007"/>
  <c r="U1007"/>
  <c r="W1007" s="1"/>
  <c r="T1008"/>
  <c r="Z1007" l="1"/>
  <c r="AC1007"/>
  <c r="T1009"/>
  <c r="V1008"/>
  <c r="U1008"/>
  <c r="W1008" s="1"/>
  <c r="Z1008" l="1"/>
  <c r="AC1008"/>
  <c r="V1009"/>
  <c r="U1009"/>
  <c r="W1009" s="1"/>
  <c r="T1010"/>
  <c r="Z1009" l="1"/>
  <c r="AC1009"/>
  <c r="T1011"/>
  <c r="V1010"/>
  <c r="U1010"/>
  <c r="U1011" l="1"/>
  <c r="W1011" s="1"/>
  <c r="S1011"/>
  <c r="T1012"/>
  <c r="V1011"/>
  <c r="Z1011" l="1"/>
  <c r="AC1011"/>
  <c r="V1012"/>
  <c r="U1012"/>
  <c r="W1012" s="1"/>
  <c r="T1013"/>
  <c r="Z1012" l="1"/>
  <c r="AC1012"/>
  <c r="T1014"/>
  <c r="V1013"/>
  <c r="U1013"/>
  <c r="W1013" s="1"/>
  <c r="Z1013" l="1"/>
  <c r="AC1013"/>
  <c r="V1014"/>
  <c r="U1014"/>
  <c r="W1014" s="1"/>
  <c r="T1015"/>
  <c r="Z1014" l="1"/>
  <c r="AC1014"/>
  <c r="T1016"/>
  <c r="V1015"/>
  <c r="U1015"/>
  <c r="W1015" s="1"/>
  <c r="Z1015" l="1"/>
  <c r="AC1015"/>
  <c r="V1016"/>
  <c r="U1016"/>
  <c r="T1017"/>
  <c r="S1017" l="1"/>
  <c r="U1017"/>
  <c r="W1017" s="1"/>
  <c r="V1017"/>
  <c r="T1018"/>
  <c r="Z1017" l="1"/>
  <c r="AC1017"/>
  <c r="T1019"/>
  <c r="V1018"/>
  <c r="U1018"/>
  <c r="W1018" s="1"/>
  <c r="Z1018" l="1"/>
  <c r="AC1018"/>
  <c r="V1019"/>
  <c r="U1019"/>
  <c r="W1019" s="1"/>
  <c r="T1020"/>
  <c r="Z1019" l="1"/>
  <c r="AC1019"/>
  <c r="T1021"/>
  <c r="V1020"/>
  <c r="U1020"/>
  <c r="W1020" s="1"/>
  <c r="Z1020" l="1"/>
  <c r="AC1020"/>
  <c r="V1021"/>
  <c r="U1021"/>
  <c r="W1021" s="1"/>
  <c r="T1022"/>
  <c r="Z1021" l="1"/>
  <c r="AC1021"/>
  <c r="T1023"/>
  <c r="V1022"/>
  <c r="U1022"/>
  <c r="U1023" l="1"/>
  <c r="W1023" s="1"/>
  <c r="S1023"/>
  <c r="T1024"/>
  <c r="V1023"/>
  <c r="Z1023" l="1"/>
  <c r="AC1023"/>
  <c r="V1024"/>
  <c r="U1024"/>
  <c r="W1024" s="1"/>
  <c r="T1025"/>
  <c r="Z1024" l="1"/>
  <c r="AC1024"/>
  <c r="T1026"/>
  <c r="V1025"/>
  <c r="U1025"/>
  <c r="W1025" s="1"/>
  <c r="Z1025" l="1"/>
  <c r="AC1025"/>
  <c r="V1026"/>
  <c r="U1026"/>
  <c r="W1026" s="1"/>
  <c r="T1027"/>
  <c r="Z1026" l="1"/>
  <c r="AC1026"/>
  <c r="T1028"/>
  <c r="V1027"/>
  <c r="U1027"/>
  <c r="W1027" s="1"/>
  <c r="Z1027" l="1"/>
  <c r="AC1027"/>
  <c r="V1028"/>
  <c r="U1028"/>
  <c r="T1029"/>
  <c r="S1029" l="1"/>
  <c r="U1029"/>
  <c r="W1029" s="1"/>
  <c r="V1029"/>
  <c r="T1030"/>
  <c r="Z1029" l="1"/>
  <c r="AC1029"/>
  <c r="T1031"/>
  <c r="V1030"/>
  <c r="U1030"/>
  <c r="W1030" s="1"/>
  <c r="Z1030" l="1"/>
  <c r="AC1030"/>
  <c r="V1031"/>
  <c r="U1031"/>
  <c r="W1031" s="1"/>
  <c r="T1032"/>
  <c r="Z1031" l="1"/>
  <c r="AC1031"/>
  <c r="T1033"/>
  <c r="V1032"/>
  <c r="U1032"/>
  <c r="W1032" s="1"/>
  <c r="Z1032" l="1"/>
  <c r="AC1032"/>
  <c r="V1033"/>
  <c r="U1033"/>
  <c r="W1033" s="1"/>
  <c r="T1034"/>
  <c r="Z1033" l="1"/>
  <c r="AC1033"/>
  <c r="T1035"/>
  <c r="V1034"/>
  <c r="U1034"/>
  <c r="U1035" l="1"/>
  <c r="W1035" s="1"/>
  <c r="S1035"/>
  <c r="T1036"/>
  <c r="V1035"/>
  <c r="Z1035" l="1"/>
  <c r="AC1035"/>
  <c r="V1036"/>
  <c r="U1036"/>
  <c r="W1036" s="1"/>
  <c r="T1037"/>
  <c r="Z1036" l="1"/>
  <c r="AC1036"/>
  <c r="T1038"/>
  <c r="V1037"/>
  <c r="U1037"/>
  <c r="W1037" s="1"/>
  <c r="Z1037" l="1"/>
  <c r="AC1037"/>
  <c r="V1038"/>
  <c r="U1038"/>
  <c r="W1038" s="1"/>
  <c r="T1039"/>
  <c r="Z1038" l="1"/>
  <c r="AC1038"/>
  <c r="T1040"/>
  <c r="V1039"/>
  <c r="U1039"/>
  <c r="W1039" s="1"/>
  <c r="Z1039" l="1"/>
  <c r="AC1039"/>
  <c r="V1040"/>
  <c r="U1040"/>
  <c r="T1041"/>
  <c r="S1041" l="1"/>
  <c r="U1041"/>
  <c r="W1041" s="1"/>
  <c r="V1041"/>
  <c r="T1042"/>
  <c r="Z1041" l="1"/>
  <c r="AC1041"/>
  <c r="T1043"/>
  <c r="V1042"/>
  <c r="U1042"/>
  <c r="W1042" s="1"/>
  <c r="Z1042" l="1"/>
  <c r="AC1042"/>
  <c r="V1043"/>
  <c r="U1043"/>
  <c r="W1043" s="1"/>
  <c r="T1044"/>
  <c r="Z1043" l="1"/>
  <c r="AC1043"/>
  <c r="T1045"/>
  <c r="V1044"/>
  <c r="U1044"/>
  <c r="W1044" s="1"/>
  <c r="Z1044" l="1"/>
  <c r="AC1044"/>
  <c r="V1045"/>
  <c r="U1045"/>
  <c r="W1045" s="1"/>
  <c r="T1046"/>
  <c r="Z1045" l="1"/>
  <c r="AC1045"/>
  <c r="T1047"/>
  <c r="V1046"/>
  <c r="U1046"/>
  <c r="U1047" l="1"/>
  <c r="W1047" s="1"/>
  <c r="S1047"/>
  <c r="T1048"/>
  <c r="V1047"/>
  <c r="Z1047" l="1"/>
  <c r="AC1047"/>
  <c r="V1048"/>
  <c r="U1048"/>
  <c r="W1048" s="1"/>
  <c r="T1049"/>
  <c r="Z1048" l="1"/>
  <c r="AC1048"/>
  <c r="T1050"/>
  <c r="V1049"/>
  <c r="U1049"/>
  <c r="W1049" s="1"/>
  <c r="Z1049" l="1"/>
  <c r="AC1049"/>
  <c r="V1050"/>
  <c r="U1050"/>
  <c r="W1050" s="1"/>
  <c r="T1051"/>
  <c r="Z1050" l="1"/>
  <c r="AC1050"/>
  <c r="T1052"/>
  <c r="V1051"/>
  <c r="U1051"/>
  <c r="W1051" s="1"/>
  <c r="Z1051" l="1"/>
  <c r="AC1051"/>
  <c r="V1052"/>
  <c r="U1052"/>
  <c r="T1053"/>
  <c r="S1053" l="1"/>
  <c r="U1053"/>
  <c r="W1053" s="1"/>
  <c r="V1053"/>
  <c r="T1054"/>
  <c r="Z1053" l="1"/>
  <c r="AC1053"/>
  <c r="T1055"/>
  <c r="V1054"/>
  <c r="U1054"/>
  <c r="W1054" s="1"/>
  <c r="Z1054" l="1"/>
  <c r="AC1054"/>
  <c r="V1055"/>
  <c r="U1055"/>
  <c r="W1055" s="1"/>
  <c r="T1056"/>
  <c r="Z1055" l="1"/>
  <c r="AC1055"/>
  <c r="T1057"/>
  <c r="V1056"/>
  <c r="U1056"/>
  <c r="W1056" s="1"/>
  <c r="Z1056" l="1"/>
  <c r="AC1056"/>
  <c r="V1057"/>
  <c r="U1057"/>
  <c r="W1057" s="1"/>
  <c r="T1058"/>
  <c r="Z1057" l="1"/>
  <c r="AC1057"/>
  <c r="T1059"/>
  <c r="V1058"/>
  <c r="U1058"/>
  <c r="U1059" l="1"/>
  <c r="W1059" s="1"/>
  <c r="S1059"/>
  <c r="T1060"/>
  <c r="V1059"/>
  <c r="Z1059" l="1"/>
  <c r="AC1059"/>
  <c r="V1060"/>
  <c r="U1060"/>
  <c r="W1060" s="1"/>
  <c r="T1061"/>
  <c r="Z1060" l="1"/>
  <c r="AC1060"/>
  <c r="T1062"/>
  <c r="V1061"/>
  <c r="U1061"/>
  <c r="W1061" s="1"/>
  <c r="Z1061" l="1"/>
  <c r="AC1061"/>
  <c r="V1062"/>
  <c r="U1062"/>
  <c r="W1062" s="1"/>
  <c r="T1063"/>
  <c r="Z1062" l="1"/>
  <c r="AC1062"/>
  <c r="T1064"/>
  <c r="V1063"/>
  <c r="U1063"/>
  <c r="W1063" s="1"/>
  <c r="Z1063" l="1"/>
  <c r="AC1063"/>
  <c r="V1064"/>
  <c r="U1064"/>
  <c r="T1065"/>
  <c r="S1065" l="1"/>
  <c r="U1065"/>
  <c r="W1065" s="1"/>
  <c r="V1065"/>
  <c r="T1066"/>
  <c r="Z1065" l="1"/>
  <c r="AC1065"/>
  <c r="T1067"/>
  <c r="V1066"/>
  <c r="U1066"/>
  <c r="W1066" s="1"/>
  <c r="Z1066" l="1"/>
  <c r="AC1066"/>
  <c r="V1067"/>
  <c r="U1067"/>
  <c r="W1067" s="1"/>
  <c r="T1068"/>
  <c r="Z1067" l="1"/>
  <c r="AC1067"/>
  <c r="T1069"/>
  <c r="V1068"/>
  <c r="U1068"/>
  <c r="W1068" s="1"/>
  <c r="Z1068" l="1"/>
  <c r="AC1068"/>
  <c r="V1069"/>
  <c r="U1069"/>
  <c r="W1069" s="1"/>
  <c r="T1070"/>
  <c r="Z1069" l="1"/>
  <c r="AC1069"/>
  <c r="T1071"/>
  <c r="V1070"/>
  <c r="U1070"/>
  <c r="U1071" l="1"/>
  <c r="W1071" s="1"/>
  <c r="S1071"/>
  <c r="T1072"/>
  <c r="V1071"/>
  <c r="Z1071" l="1"/>
  <c r="AC1071"/>
  <c r="V1072"/>
  <c r="U1072"/>
  <c r="W1072" s="1"/>
  <c r="T1073"/>
  <c r="Z1072" l="1"/>
  <c r="AC1072"/>
  <c r="T1074"/>
  <c r="V1073"/>
  <c r="U1073"/>
  <c r="W1073" s="1"/>
  <c r="Z1073" l="1"/>
  <c r="AC1073"/>
  <c r="V1074"/>
  <c r="U1074"/>
  <c r="W1074" s="1"/>
  <c r="T1075"/>
  <c r="Z1074" l="1"/>
  <c r="AC1074"/>
  <c r="T1076"/>
  <c r="V1075"/>
  <c r="U1075"/>
  <c r="W1075" s="1"/>
  <c r="Z1075" l="1"/>
  <c r="AC1075"/>
  <c r="V1076"/>
  <c r="U1076"/>
  <c r="T1077"/>
  <c r="S1077" l="1"/>
  <c r="U1077"/>
  <c r="W1077" s="1"/>
  <c r="V1077"/>
  <c r="T1078"/>
  <c r="Z1077" l="1"/>
  <c r="AC1077"/>
  <c r="T1079"/>
  <c r="V1078"/>
  <c r="U1078"/>
  <c r="W1078" s="1"/>
  <c r="Z1078" l="1"/>
  <c r="AC1078"/>
  <c r="V1079"/>
  <c r="U1079"/>
  <c r="W1079" s="1"/>
  <c r="T1080"/>
  <c r="Z1079" l="1"/>
  <c r="AC1079"/>
  <c r="T1081"/>
  <c r="V1080"/>
  <c r="U1080"/>
  <c r="W1080" s="1"/>
  <c r="Z1080" l="1"/>
  <c r="AC1080"/>
  <c r="V1081"/>
  <c r="U1081"/>
  <c r="W1081" s="1"/>
  <c r="T1082"/>
  <c r="Z1081" l="1"/>
  <c r="AC1081"/>
  <c r="T1083"/>
  <c r="V1082"/>
  <c r="U1082"/>
  <c r="U1083" l="1"/>
  <c r="W1083" s="1"/>
  <c r="S1083"/>
  <c r="T1084"/>
  <c r="V1083"/>
  <c r="Z1083" l="1"/>
  <c r="AC1083"/>
  <c r="V1084"/>
  <c r="U1084"/>
  <c r="W1084" s="1"/>
  <c r="T1085"/>
  <c r="Z1084" l="1"/>
  <c r="AC1084"/>
  <c r="T1086"/>
  <c r="V1085"/>
  <c r="U1085"/>
  <c r="W1085" s="1"/>
  <c r="Z1085" l="1"/>
  <c r="AC1085"/>
  <c r="V1086"/>
  <c r="U1086"/>
  <c r="W1086" s="1"/>
  <c r="T1087"/>
  <c r="Z1086" l="1"/>
  <c r="AC1086"/>
  <c r="T1088"/>
  <c r="V1087"/>
  <c r="U1087"/>
  <c r="W1087" s="1"/>
  <c r="Z1087" l="1"/>
  <c r="AC1087"/>
  <c r="V1088"/>
  <c r="U1088"/>
  <c r="T1089"/>
  <c r="S1089" l="1"/>
  <c r="U1089"/>
  <c r="W1089" s="1"/>
  <c r="V1089"/>
  <c r="T1090"/>
  <c r="Z1089" l="1"/>
  <c r="AC1089"/>
  <c r="T1091"/>
  <c r="V1090"/>
  <c r="U1090"/>
  <c r="W1090" s="1"/>
  <c r="Z1090" l="1"/>
  <c r="AC1090"/>
  <c r="V1091"/>
  <c r="U1091"/>
  <c r="W1091" s="1"/>
  <c r="T1092"/>
  <c r="Z1091" l="1"/>
  <c r="AC1091"/>
  <c r="T1093"/>
  <c r="V1092"/>
  <c r="U1092"/>
  <c r="W1092" s="1"/>
  <c r="Z1092" l="1"/>
  <c r="AC1092"/>
  <c r="V1093"/>
  <c r="U1093"/>
  <c r="W1093" s="1"/>
  <c r="T1094"/>
  <c r="Z1093" l="1"/>
  <c r="AC1093"/>
  <c r="T1095"/>
  <c r="V1094"/>
  <c r="U1094"/>
  <c r="U1095" l="1"/>
  <c r="W1095" s="1"/>
  <c r="S1095"/>
  <c r="T1096"/>
  <c r="V1095"/>
  <c r="Z1095" l="1"/>
  <c r="AC1095"/>
  <c r="V1096"/>
  <c r="U1096"/>
  <c r="W1096" s="1"/>
  <c r="T1097"/>
  <c r="Z1096" l="1"/>
  <c r="AC1096"/>
  <c r="T1098"/>
  <c r="V1097"/>
  <c r="U1097"/>
  <c r="W1097" s="1"/>
  <c r="Z1097" l="1"/>
  <c r="AC1097"/>
  <c r="V1098"/>
  <c r="U1098"/>
  <c r="W1098" s="1"/>
  <c r="T1099"/>
  <c r="Z1098" l="1"/>
  <c r="AC1098"/>
  <c r="T1100"/>
  <c r="V1099"/>
  <c r="U1099"/>
  <c r="W1099" s="1"/>
  <c r="Z1099" l="1"/>
  <c r="AC1099"/>
  <c r="V1100"/>
  <c r="U1100"/>
  <c r="T1101"/>
  <c r="S1101" l="1"/>
  <c r="U1101"/>
  <c r="W1101" s="1"/>
  <c r="V1101"/>
  <c r="T1102"/>
  <c r="Z1101" l="1"/>
  <c r="AC1101"/>
  <c r="T1103"/>
  <c r="V1102"/>
  <c r="U1102"/>
  <c r="W1102" s="1"/>
  <c r="Z1102" l="1"/>
  <c r="AC1102"/>
  <c r="V1103"/>
  <c r="U1103"/>
  <c r="W1103" s="1"/>
  <c r="T1104"/>
  <c r="Z1103" l="1"/>
  <c r="AC1103"/>
  <c r="T1105"/>
  <c r="V1104"/>
  <c r="U1104"/>
  <c r="W1104" s="1"/>
  <c r="Z1104" l="1"/>
  <c r="AC1104"/>
  <c r="V1105"/>
  <c r="U1105"/>
  <c r="W1105" s="1"/>
  <c r="T1106"/>
  <c r="Z1105" l="1"/>
  <c r="AC1105"/>
  <c r="T1107"/>
  <c r="V1106"/>
  <c r="U1106"/>
  <c r="U1107" l="1"/>
  <c r="W1107" s="1"/>
  <c r="S1107"/>
  <c r="T1108"/>
  <c r="V1107"/>
  <c r="Z1107" l="1"/>
  <c r="AC1107"/>
  <c r="V1108"/>
  <c r="U1108"/>
  <c r="W1108" s="1"/>
  <c r="T1109"/>
  <c r="Z1108" l="1"/>
  <c r="AC1108"/>
  <c r="T1110"/>
  <c r="V1109"/>
  <c r="U1109"/>
  <c r="W1109" s="1"/>
  <c r="Z1109" l="1"/>
  <c r="AC1109"/>
  <c r="V1110"/>
  <c r="U1110"/>
  <c r="W1110" s="1"/>
  <c r="T1111"/>
  <c r="Z1110" l="1"/>
  <c r="AC1110"/>
  <c r="T1112"/>
  <c r="V1111"/>
  <c r="U1111"/>
  <c r="W1111" s="1"/>
  <c r="Z1111" l="1"/>
  <c r="AC1111"/>
  <c r="V1112"/>
  <c r="U1112"/>
  <c r="T1113"/>
  <c r="S1113" l="1"/>
  <c r="U1113"/>
  <c r="W1113" s="1"/>
  <c r="V1113"/>
  <c r="T1114"/>
  <c r="Z1113" l="1"/>
  <c r="AC1113"/>
  <c r="T1115"/>
  <c r="V1114"/>
  <c r="U1114"/>
  <c r="W1114" s="1"/>
  <c r="Z1114" l="1"/>
  <c r="AC1114"/>
  <c r="V1115"/>
  <c r="U1115"/>
  <c r="W1115" s="1"/>
  <c r="T1116"/>
  <c r="Z1115" l="1"/>
  <c r="AC1115"/>
  <c r="T1117"/>
  <c r="V1116"/>
  <c r="U1116"/>
  <c r="W1116" s="1"/>
  <c r="Z1116" l="1"/>
  <c r="AC1116"/>
  <c r="V1117"/>
  <c r="U1117"/>
  <c r="W1117" s="1"/>
  <c r="T1118"/>
  <c r="Z1117" l="1"/>
  <c r="AC1117"/>
  <c r="T1119"/>
  <c r="V1118"/>
  <c r="U1118"/>
  <c r="U1119" l="1"/>
  <c r="W1119" s="1"/>
  <c r="S1119"/>
  <c r="T1120"/>
  <c r="V1119"/>
  <c r="Z1119" l="1"/>
  <c r="AC1119"/>
  <c r="V1120"/>
  <c r="U1120"/>
  <c r="W1120" s="1"/>
  <c r="T1121"/>
  <c r="Z1120" l="1"/>
  <c r="AC1120"/>
  <c r="T1122"/>
  <c r="V1121"/>
  <c r="U1121"/>
  <c r="W1121" s="1"/>
  <c r="Z1121" l="1"/>
  <c r="AC1121"/>
  <c r="V1122"/>
  <c r="U1122"/>
  <c r="W1122" s="1"/>
  <c r="T1123"/>
  <c r="Z1122" l="1"/>
  <c r="AC1122"/>
  <c r="T1124"/>
  <c r="V1123"/>
  <c r="U1123"/>
  <c r="W1123" s="1"/>
  <c r="Z1123" l="1"/>
  <c r="AC1123"/>
  <c r="V1124"/>
  <c r="U1124"/>
  <c r="T1125"/>
  <c r="S1125" l="1"/>
  <c r="U1125"/>
  <c r="W1125" s="1"/>
  <c r="V1125"/>
  <c r="T1126"/>
  <c r="Z1125" l="1"/>
  <c r="AC1125"/>
  <c r="T1127"/>
  <c r="V1126"/>
  <c r="U1126"/>
  <c r="W1126" s="1"/>
  <c r="Z1126" l="1"/>
  <c r="AC1126"/>
  <c r="V1127"/>
  <c r="U1127"/>
  <c r="W1127" s="1"/>
  <c r="T1128"/>
  <c r="Z1127" l="1"/>
  <c r="AC1127"/>
  <c r="T1129"/>
  <c r="V1128"/>
  <c r="U1128"/>
  <c r="W1128" s="1"/>
  <c r="Z1128" l="1"/>
  <c r="AC1128"/>
  <c r="V1129"/>
  <c r="U1129"/>
  <c r="W1129" s="1"/>
  <c r="T1130"/>
  <c r="Z1129" l="1"/>
  <c r="AC1129"/>
  <c r="T1131"/>
  <c r="V1130"/>
  <c r="U1130"/>
  <c r="U1131" l="1"/>
  <c r="W1131" s="1"/>
  <c r="S1131"/>
  <c r="T1132"/>
  <c r="V1131"/>
  <c r="Z1131" l="1"/>
  <c r="AC1131"/>
  <c r="V1132"/>
  <c r="U1132"/>
  <c r="W1132" s="1"/>
  <c r="T1133"/>
  <c r="Z1132" l="1"/>
  <c r="AC1132"/>
  <c r="T1134"/>
  <c r="V1133"/>
  <c r="U1133"/>
  <c r="W1133" s="1"/>
  <c r="Z1133" l="1"/>
  <c r="AC1133"/>
  <c r="V1134"/>
  <c r="U1134"/>
  <c r="W1134" s="1"/>
  <c r="T1135"/>
  <c r="Z1134" l="1"/>
  <c r="AC1134"/>
  <c r="T1136"/>
  <c r="V1135"/>
  <c r="U1135"/>
  <c r="W1135" s="1"/>
  <c r="Z1135" l="1"/>
  <c r="AC1135"/>
  <c r="V1136"/>
  <c r="U1136"/>
  <c r="T1137"/>
  <c r="S1137" l="1"/>
  <c r="U1137"/>
  <c r="W1137" s="1"/>
  <c r="V1137"/>
  <c r="T1138"/>
  <c r="Z1137" l="1"/>
  <c r="AC1137"/>
  <c r="T1139"/>
  <c r="V1138"/>
  <c r="U1138"/>
  <c r="W1138" s="1"/>
  <c r="Z1138" l="1"/>
  <c r="AC1138"/>
  <c r="V1139"/>
  <c r="U1139"/>
  <c r="W1139" s="1"/>
  <c r="T1140"/>
  <c r="Z1139" l="1"/>
  <c r="AC1139"/>
  <c r="T1141"/>
  <c r="V1140"/>
  <c r="U1140"/>
  <c r="W1140" s="1"/>
  <c r="Z1140" l="1"/>
  <c r="AC1140"/>
  <c r="V1141"/>
  <c r="U1141"/>
  <c r="W1141" s="1"/>
  <c r="T1142"/>
  <c r="Z1141" l="1"/>
  <c r="AC1141"/>
  <c r="T1143"/>
  <c r="V1142"/>
  <c r="U1142"/>
  <c r="U1143" l="1"/>
  <c r="W1143" s="1"/>
  <c r="S1143"/>
  <c r="T1144"/>
  <c r="V1143"/>
  <c r="Z1143" l="1"/>
  <c r="AC1143"/>
  <c r="V1144"/>
  <c r="U1144"/>
  <c r="W1144" s="1"/>
  <c r="T1145"/>
  <c r="Z1144" l="1"/>
  <c r="AC1144"/>
  <c r="T1146"/>
  <c r="V1145"/>
  <c r="U1145"/>
  <c r="W1145" s="1"/>
  <c r="Z1145" l="1"/>
  <c r="AC1145"/>
  <c r="V1146"/>
  <c r="U1146"/>
  <c r="W1146" s="1"/>
  <c r="T1147"/>
  <c r="Z1146" l="1"/>
  <c r="AC1146"/>
  <c r="T1148"/>
  <c r="V1147"/>
  <c r="U1147"/>
  <c r="W1147" s="1"/>
  <c r="Z1147" l="1"/>
  <c r="AC1147"/>
  <c r="V1148"/>
  <c r="U1148"/>
  <c r="T1149"/>
  <c r="S1149" l="1"/>
  <c r="U1149"/>
  <c r="W1149" s="1"/>
  <c r="V1149"/>
  <c r="T1150"/>
  <c r="Z1149" l="1"/>
  <c r="AC1149"/>
  <c r="T1151"/>
  <c r="V1150"/>
  <c r="U1150"/>
  <c r="W1150" s="1"/>
  <c r="Z1150" l="1"/>
  <c r="AC1150"/>
  <c r="V1151"/>
  <c r="U1151"/>
  <c r="W1151" s="1"/>
  <c r="T1152"/>
  <c r="Z1151" l="1"/>
  <c r="AC1151"/>
  <c r="T1153"/>
  <c r="V1152"/>
  <c r="U1152"/>
  <c r="W1152" s="1"/>
  <c r="Z1152" l="1"/>
  <c r="AC1152"/>
  <c r="V1153"/>
  <c r="U1153"/>
  <c r="W1153" s="1"/>
  <c r="T1154"/>
  <c r="Z1153" l="1"/>
  <c r="AC1153"/>
  <c r="T1155"/>
  <c r="V1154"/>
  <c r="U1154"/>
  <c r="U1155" l="1"/>
  <c r="W1155" s="1"/>
  <c r="S1155"/>
  <c r="T1156"/>
  <c r="V1155"/>
  <c r="Z1155" l="1"/>
  <c r="AC1155"/>
  <c r="V1156"/>
  <c r="U1156"/>
  <c r="W1156" s="1"/>
  <c r="T1157"/>
  <c r="Z1156" l="1"/>
  <c r="AC1156"/>
  <c r="T1158"/>
  <c r="V1157"/>
  <c r="U1157"/>
  <c r="W1157" s="1"/>
  <c r="Z1157" l="1"/>
  <c r="AC1157"/>
  <c r="V1158"/>
  <c r="U1158"/>
  <c r="W1158" s="1"/>
  <c r="T1159"/>
  <c r="Z1158" l="1"/>
  <c r="AC1158"/>
  <c r="T1160"/>
  <c r="V1159"/>
  <c r="U1159"/>
  <c r="W1159" s="1"/>
  <c r="Z1159" l="1"/>
  <c r="AC1159"/>
  <c r="V1160"/>
  <c r="U1160"/>
  <c r="T1161"/>
  <c r="S1161" l="1"/>
  <c r="U1161"/>
  <c r="W1161" s="1"/>
  <c r="V1161"/>
  <c r="T1162"/>
  <c r="Z1161" l="1"/>
  <c r="AC1161"/>
  <c r="T1163"/>
  <c r="V1162"/>
  <c r="U1162"/>
  <c r="W1162" s="1"/>
  <c r="Z1162" l="1"/>
  <c r="AC1162"/>
  <c r="V1163"/>
  <c r="U1163"/>
  <c r="W1163" s="1"/>
  <c r="T1164"/>
  <c r="Z1163" l="1"/>
  <c r="AC1163"/>
  <c r="T1165"/>
  <c r="V1164"/>
  <c r="U1164"/>
  <c r="W1164" s="1"/>
  <c r="Z1164" l="1"/>
  <c r="AC1164"/>
  <c r="V1165"/>
  <c r="U1165"/>
  <c r="W1165" s="1"/>
  <c r="T1166"/>
  <c r="Z1165" l="1"/>
  <c r="AC1165"/>
  <c r="T1167"/>
  <c r="V1166"/>
  <c r="U1166"/>
  <c r="U1167" l="1"/>
  <c r="W1167" s="1"/>
  <c r="S1167"/>
  <c r="T1168"/>
  <c r="V1167"/>
  <c r="Z1167" l="1"/>
  <c r="AC1167"/>
  <c r="V1168"/>
  <c r="U1168"/>
  <c r="W1168" s="1"/>
  <c r="T1169"/>
  <c r="Z1168" l="1"/>
  <c r="AC1168"/>
  <c r="T1170"/>
  <c r="V1169"/>
  <c r="U1169"/>
  <c r="W1169" s="1"/>
  <c r="Z1169" l="1"/>
  <c r="AC1169"/>
  <c r="V1170"/>
  <c r="U1170"/>
  <c r="W1170" s="1"/>
  <c r="T1171"/>
  <c r="Z1170" l="1"/>
  <c r="AC1170"/>
  <c r="T1172"/>
  <c r="V1171"/>
  <c r="U1171"/>
  <c r="W1171" s="1"/>
  <c r="Z1171" l="1"/>
  <c r="AC1171"/>
  <c r="V1172"/>
  <c r="U1172"/>
  <c r="T1173"/>
  <c r="S1173" l="1"/>
  <c r="U1173"/>
  <c r="W1173" s="1"/>
  <c r="V1173"/>
  <c r="T1174"/>
  <c r="Z1173" l="1"/>
  <c r="AC1173"/>
  <c r="T1175"/>
  <c r="V1174"/>
  <c r="U1174"/>
  <c r="W1174" s="1"/>
  <c r="Z1174" l="1"/>
  <c r="AC1174"/>
  <c r="V1175"/>
  <c r="U1175"/>
  <c r="W1175" s="1"/>
  <c r="T1176"/>
  <c r="Z1175" l="1"/>
  <c r="AC1175"/>
  <c r="T1177"/>
  <c r="V1176"/>
  <c r="U1176"/>
  <c r="W1176" s="1"/>
  <c r="Z1176" l="1"/>
  <c r="AC1176"/>
  <c r="V1177"/>
  <c r="U1177"/>
  <c r="W1177" s="1"/>
  <c r="T1178"/>
  <c r="Z1177" l="1"/>
  <c r="AC1177"/>
  <c r="T1179"/>
  <c r="V1178"/>
  <c r="U1178"/>
  <c r="U1179" l="1"/>
  <c r="W1179" s="1"/>
  <c r="S1179"/>
  <c r="T1180"/>
  <c r="V1179"/>
  <c r="Z1179" l="1"/>
  <c r="AC1179"/>
  <c r="V1180"/>
  <c r="U1180"/>
  <c r="W1180" s="1"/>
  <c r="T1181"/>
  <c r="Z1180" l="1"/>
  <c r="AC1180"/>
  <c r="T1182"/>
  <c r="V1181"/>
  <c r="U1181"/>
  <c r="W1181" s="1"/>
  <c r="Z1181" l="1"/>
  <c r="AC1181"/>
  <c r="V1182"/>
  <c r="U1182"/>
  <c r="W1182" s="1"/>
  <c r="T1183"/>
  <c r="Z1182" l="1"/>
  <c r="AC1182"/>
  <c r="T1184"/>
  <c r="V1183"/>
  <c r="U1183"/>
  <c r="W1183" s="1"/>
  <c r="Z1183" l="1"/>
  <c r="AC1183"/>
  <c r="V1184"/>
  <c r="U1184"/>
  <c r="T1185"/>
  <c r="S1185" l="1"/>
  <c r="U1185"/>
  <c r="W1185" s="1"/>
  <c r="V1185"/>
  <c r="T1186"/>
  <c r="Z1185" l="1"/>
  <c r="AC1185"/>
  <c r="T1187"/>
  <c r="V1186"/>
  <c r="U1186"/>
  <c r="W1186" s="1"/>
  <c r="Z1186" l="1"/>
  <c r="AC1186"/>
  <c r="V1187"/>
  <c r="U1187"/>
  <c r="W1187" s="1"/>
  <c r="T1188"/>
  <c r="Z1187" l="1"/>
  <c r="AC1187"/>
  <c r="T1189"/>
  <c r="V1188"/>
  <c r="U1188"/>
  <c r="W1188" s="1"/>
  <c r="Z1188" l="1"/>
  <c r="AC1188"/>
  <c r="V1189"/>
  <c r="U1189"/>
  <c r="W1189" s="1"/>
  <c r="T1190"/>
  <c r="Z1189" l="1"/>
  <c r="AC1189"/>
  <c r="T1191"/>
  <c r="V1190"/>
  <c r="U1190"/>
  <c r="U1191" l="1"/>
  <c r="W1191" s="1"/>
  <c r="S1191"/>
  <c r="T1192"/>
  <c r="V1191"/>
  <c r="Z1191" l="1"/>
  <c r="AC1191"/>
  <c r="V1192"/>
  <c r="U1192"/>
  <c r="W1192" s="1"/>
  <c r="T1193"/>
  <c r="Z1192" l="1"/>
  <c r="AC1192"/>
  <c r="T1194"/>
  <c r="V1193"/>
  <c r="U1193"/>
  <c r="W1193" s="1"/>
  <c r="Z1193" l="1"/>
  <c r="AC1193"/>
  <c r="V1194"/>
  <c r="U1194"/>
  <c r="W1194" s="1"/>
  <c r="T1195"/>
  <c r="Z1194" l="1"/>
  <c r="AC1194"/>
  <c r="T1196"/>
  <c r="V1195"/>
  <c r="U1195"/>
  <c r="W1195" s="1"/>
  <c r="Z1195" l="1"/>
  <c r="AC1195"/>
  <c r="V1196"/>
  <c r="U1196"/>
  <c r="T1197"/>
  <c r="S1197" l="1"/>
  <c r="U1197"/>
  <c r="W1197" s="1"/>
  <c r="V1197"/>
  <c r="T1198"/>
  <c r="Z1197" l="1"/>
  <c r="AC1197"/>
  <c r="T1199"/>
  <c r="V1198"/>
  <c r="U1198"/>
  <c r="W1198" s="1"/>
  <c r="Z1198" l="1"/>
  <c r="AC1198"/>
  <c r="V1199"/>
  <c r="U1199"/>
  <c r="W1199" s="1"/>
  <c r="T1200"/>
  <c r="Z1199" l="1"/>
  <c r="AC1199"/>
  <c r="T1201"/>
  <c r="V1200"/>
  <c r="U1200"/>
  <c r="W1200" s="1"/>
  <c r="Z1200" l="1"/>
  <c r="AC1200"/>
  <c r="V1201"/>
  <c r="U1201"/>
  <c r="W1201" s="1"/>
  <c r="T1202"/>
  <c r="Z1201" l="1"/>
  <c r="AC1201"/>
  <c r="T1203"/>
  <c r="V1202"/>
  <c r="U1202"/>
  <c r="U1203" l="1"/>
  <c r="W1203" s="1"/>
  <c r="S1203"/>
  <c r="T1204"/>
  <c r="V1203"/>
  <c r="Z1203" l="1"/>
  <c r="AC1203"/>
  <c r="V1204"/>
  <c r="U1204"/>
  <c r="W1204" s="1"/>
  <c r="T1205"/>
  <c r="Z1204" l="1"/>
  <c r="AC1204"/>
  <c r="T1206"/>
  <c r="V1205"/>
  <c r="U1205"/>
  <c r="W1205" s="1"/>
  <c r="Z1205" l="1"/>
  <c r="AC1205"/>
  <c r="V1206"/>
  <c r="U1206"/>
  <c r="W1206" s="1"/>
  <c r="T1207"/>
  <c r="Z1206" l="1"/>
  <c r="AC1206"/>
  <c r="T1208"/>
  <c r="V1207"/>
  <c r="U1207"/>
  <c r="W1207" s="1"/>
  <c r="Z1207" l="1"/>
  <c r="AC1207"/>
  <c r="V1208"/>
  <c r="U1208"/>
  <c r="T1209"/>
  <c r="S1209" l="1"/>
  <c r="U1209"/>
  <c r="W1209" s="1"/>
  <c r="V1209"/>
  <c r="T1210"/>
  <c r="Z1209" l="1"/>
  <c r="AC1209"/>
  <c r="T1211"/>
  <c r="V1210"/>
  <c r="U1210"/>
  <c r="W1210" s="1"/>
  <c r="Z1210" l="1"/>
  <c r="AC1210"/>
  <c r="V1211"/>
  <c r="U1211"/>
  <c r="W1211" s="1"/>
  <c r="T1212"/>
  <c r="Z1211" l="1"/>
  <c r="AC1211"/>
  <c r="T1213"/>
  <c r="V1212"/>
  <c r="U1212"/>
  <c r="W1212" s="1"/>
  <c r="Z1212" l="1"/>
  <c r="AC1212"/>
  <c r="V1213"/>
  <c r="U1213"/>
  <c r="W1213" s="1"/>
  <c r="T1214"/>
  <c r="Z1213" l="1"/>
  <c r="AC1213"/>
  <c r="T1215"/>
  <c r="V1214"/>
  <c r="U1214"/>
  <c r="U1215" l="1"/>
  <c r="W1215" s="1"/>
  <c r="S1215"/>
  <c r="T1216"/>
  <c r="V1215"/>
  <c r="Z1215" l="1"/>
  <c r="AC1215"/>
  <c r="V1216"/>
  <c r="U1216"/>
  <c r="W1216" s="1"/>
  <c r="T1217"/>
  <c r="Z1216" l="1"/>
  <c r="AC1216"/>
  <c r="T1218"/>
  <c r="V1217"/>
  <c r="U1217"/>
  <c r="W1217" s="1"/>
  <c r="Z1217" l="1"/>
  <c r="AC1217"/>
  <c r="V1218"/>
  <c r="U1218"/>
  <c r="W1218" s="1"/>
  <c r="T1219"/>
  <c r="Z1218" l="1"/>
  <c r="AC1218"/>
  <c r="T1220"/>
  <c r="V1219"/>
  <c r="U1219"/>
  <c r="W1219" s="1"/>
  <c r="Z1219" l="1"/>
  <c r="AC1219"/>
  <c r="V1220"/>
  <c r="U1220"/>
  <c r="T1221"/>
  <c r="S1221" l="1"/>
  <c r="U1221"/>
  <c r="W1221" s="1"/>
  <c r="V1221"/>
  <c r="T1222"/>
  <c r="Z1221" l="1"/>
  <c r="AC1221"/>
  <c r="T1223"/>
  <c r="V1222"/>
  <c r="U1222"/>
  <c r="W1222" s="1"/>
  <c r="Z1222" l="1"/>
  <c r="AC1222"/>
  <c r="V1223"/>
  <c r="U1223"/>
  <c r="W1223" s="1"/>
  <c r="T1224"/>
  <c r="Z1223" l="1"/>
  <c r="AC1223"/>
  <c r="T1225"/>
  <c r="V1224"/>
  <c r="U1224"/>
  <c r="W1224" s="1"/>
  <c r="Z1224" l="1"/>
  <c r="AC1224"/>
  <c r="V1225"/>
  <c r="U1225"/>
  <c r="W1225" s="1"/>
  <c r="T1226"/>
  <c r="Z1225" l="1"/>
  <c r="AC1225"/>
  <c r="T1227"/>
  <c r="V1226"/>
  <c r="U1226"/>
  <c r="U1227" l="1"/>
  <c r="W1227" s="1"/>
  <c r="S1227"/>
  <c r="T1228"/>
  <c r="V1227"/>
  <c r="Z1227" l="1"/>
  <c r="AC1227"/>
  <c r="V1228"/>
  <c r="U1228"/>
  <c r="W1228" s="1"/>
  <c r="T1229"/>
  <c r="Z1228" l="1"/>
  <c r="AC1228"/>
  <c r="T1230"/>
  <c r="V1229"/>
  <c r="U1229"/>
  <c r="W1229" s="1"/>
  <c r="Z1229" l="1"/>
  <c r="AC1229"/>
  <c r="V1230"/>
  <c r="U1230"/>
  <c r="W1230" s="1"/>
  <c r="T1231"/>
  <c r="Z1230" l="1"/>
  <c r="AC1230"/>
  <c r="T1232"/>
  <c r="V1231"/>
  <c r="U1231"/>
  <c r="W1231" s="1"/>
  <c r="Z1231" l="1"/>
  <c r="AC1231"/>
  <c r="V1232"/>
  <c r="U1232"/>
  <c r="T1233"/>
  <c r="S1233" l="1"/>
  <c r="U1233"/>
  <c r="W1233" s="1"/>
  <c r="V1233"/>
  <c r="T1234"/>
  <c r="Z1233" l="1"/>
  <c r="AC1233"/>
  <c r="T1235"/>
  <c r="V1234"/>
  <c r="U1234"/>
  <c r="W1234" s="1"/>
  <c r="Z1234" l="1"/>
  <c r="AC1234"/>
  <c r="V1235"/>
  <c r="U1235"/>
  <c r="W1235" s="1"/>
  <c r="T1236"/>
  <c r="Z1235" l="1"/>
  <c r="AC1235"/>
  <c r="T1237"/>
  <c r="V1236"/>
  <c r="U1236"/>
  <c r="W1236" s="1"/>
  <c r="Z1236" l="1"/>
  <c r="AC1236"/>
  <c r="V1237"/>
  <c r="U1237"/>
  <c r="W1237" s="1"/>
  <c r="T1238"/>
  <c r="Z1237" l="1"/>
  <c r="AC1237"/>
  <c r="T1239"/>
  <c r="V1238"/>
  <c r="U1238"/>
  <c r="U1239" l="1"/>
  <c r="W1239" s="1"/>
  <c r="S1239"/>
  <c r="T1240"/>
  <c r="V1239"/>
  <c r="Z1239" l="1"/>
  <c r="AC1239"/>
  <c r="V1240"/>
  <c r="U1240"/>
  <c r="W1240" s="1"/>
  <c r="T1241"/>
  <c r="Z1240" l="1"/>
  <c r="AC1240"/>
  <c r="T1242"/>
  <c r="V1241"/>
  <c r="U1241"/>
  <c r="W1241" s="1"/>
  <c r="Z1241" l="1"/>
  <c r="AC1241"/>
  <c r="V1242"/>
  <c r="U1242"/>
  <c r="W1242" s="1"/>
  <c r="T1243"/>
  <c r="Z1242" l="1"/>
  <c r="AC1242"/>
  <c r="T1244"/>
  <c r="V1243"/>
  <c r="U1243"/>
  <c r="W1243" s="1"/>
  <c r="Z1243" l="1"/>
  <c r="AC1243"/>
  <c r="V1244"/>
  <c r="U1244"/>
  <c r="T1245"/>
  <c r="S1245" l="1"/>
  <c r="U1245"/>
  <c r="W1245" s="1"/>
  <c r="V1245"/>
  <c r="T1246"/>
  <c r="Z1245" l="1"/>
  <c r="AC1245"/>
  <c r="T1247"/>
  <c r="V1246"/>
  <c r="U1246"/>
  <c r="W1246" s="1"/>
  <c r="Z1246" l="1"/>
  <c r="AC1246"/>
  <c r="V1247"/>
  <c r="U1247"/>
  <c r="W1247" s="1"/>
  <c r="T1248"/>
  <c r="Z1247" l="1"/>
  <c r="AC1247"/>
  <c r="T1249"/>
  <c r="V1248"/>
  <c r="U1248"/>
  <c r="W1248" s="1"/>
  <c r="Z1248" l="1"/>
  <c r="AC1248"/>
  <c r="V1249"/>
  <c r="U1249"/>
  <c r="W1249" s="1"/>
  <c r="T1250"/>
  <c r="Z1249" l="1"/>
  <c r="AC1249"/>
  <c r="T1251"/>
  <c r="V1250"/>
  <c r="U1250"/>
  <c r="U1251" l="1"/>
  <c r="W1251" s="1"/>
  <c r="S1251"/>
  <c r="T1252"/>
  <c r="V1251"/>
  <c r="Z1251" l="1"/>
  <c r="AC1251"/>
  <c r="V1252"/>
  <c r="U1252"/>
  <c r="W1252" s="1"/>
  <c r="T1253"/>
  <c r="Z1252" l="1"/>
  <c r="AC1252"/>
  <c r="T1254"/>
  <c r="V1253"/>
  <c r="U1253"/>
  <c r="W1253" s="1"/>
  <c r="Z1253" l="1"/>
  <c r="AC1253"/>
  <c r="T1255"/>
  <c r="U1254"/>
  <c r="W1254" s="1"/>
  <c r="V1254"/>
  <c r="Z1254" l="1"/>
  <c r="AC1254"/>
  <c r="T1256"/>
  <c r="V1255"/>
  <c r="U1255"/>
  <c r="W1255" s="1"/>
  <c r="Z1255" l="1"/>
  <c r="AC1255"/>
  <c r="V1256"/>
  <c r="U1256"/>
  <c r="T1257"/>
  <c r="S1257" l="1"/>
  <c r="U1257"/>
  <c r="W1257" s="1"/>
  <c r="V1257"/>
  <c r="T1258"/>
  <c r="Z1257" l="1"/>
  <c r="AC1257"/>
  <c r="T1259"/>
  <c r="V1258"/>
  <c r="U1258"/>
  <c r="W1258" s="1"/>
  <c r="Z1258" l="1"/>
  <c r="AC1258"/>
  <c r="V1259"/>
  <c r="U1259"/>
  <c r="W1259" s="1"/>
  <c r="T1260"/>
  <c r="Z1259" l="1"/>
  <c r="AC1259"/>
  <c r="T1261"/>
  <c r="V1260"/>
  <c r="U1260"/>
  <c r="W1260" s="1"/>
  <c r="Z1260" l="1"/>
  <c r="AC1260"/>
  <c r="V1261"/>
  <c r="U1261"/>
  <c r="W1261" s="1"/>
  <c r="T1262"/>
  <c r="Z1261" l="1"/>
  <c r="AC1261"/>
  <c r="T1263"/>
  <c r="V1262"/>
  <c r="U1262"/>
  <c r="U1263" l="1"/>
  <c r="W1263" s="1"/>
  <c r="S1263"/>
  <c r="T1264"/>
  <c r="V1263"/>
  <c r="Z1263" l="1"/>
  <c r="AC1263"/>
  <c r="V1264"/>
  <c r="U1264"/>
  <c r="W1264" s="1"/>
  <c r="T1265"/>
  <c r="Z1264" l="1"/>
  <c r="AC1264"/>
  <c r="T1266"/>
  <c r="V1265"/>
  <c r="U1265"/>
  <c r="W1265" s="1"/>
  <c r="Z1265" l="1"/>
  <c r="AC1265"/>
  <c r="V1266"/>
  <c r="U1266"/>
  <c r="W1266" s="1"/>
  <c r="T1267"/>
  <c r="Z1266" l="1"/>
  <c r="AC1266"/>
  <c r="T1268"/>
  <c r="V1267"/>
  <c r="U1267"/>
  <c r="W1267" s="1"/>
  <c r="Z1267" l="1"/>
  <c r="AC1267"/>
  <c r="V1268"/>
  <c r="U1268"/>
  <c r="T1269"/>
  <c r="S1269" l="1"/>
  <c r="U1269"/>
  <c r="W1269" s="1"/>
  <c r="V1269"/>
  <c r="T1270"/>
  <c r="Z1269" l="1"/>
  <c r="AC1269"/>
  <c r="T1271"/>
  <c r="V1270"/>
  <c r="U1270"/>
  <c r="W1270" s="1"/>
  <c r="Z1270" l="1"/>
  <c r="AC1270"/>
  <c r="V1271"/>
  <c r="U1271"/>
  <c r="W1271" s="1"/>
  <c r="T1272"/>
  <c r="Z1271" l="1"/>
  <c r="AC1271"/>
  <c r="T1273"/>
  <c r="V1272"/>
  <c r="U1272"/>
  <c r="W1272" s="1"/>
  <c r="Z1272" l="1"/>
  <c r="AC1272"/>
  <c r="V1273"/>
  <c r="U1273"/>
  <c r="W1273" s="1"/>
  <c r="T1274"/>
  <c r="Z1273" l="1"/>
  <c r="AC1273"/>
  <c r="T1275"/>
  <c r="V1274"/>
  <c r="U1274"/>
  <c r="U1275" l="1"/>
  <c r="W1275" s="1"/>
  <c r="S1275"/>
  <c r="T1276"/>
  <c r="V1275"/>
  <c r="Z1275" l="1"/>
  <c r="AC1275"/>
  <c r="V1276"/>
  <c r="U1276"/>
  <c r="W1276" s="1"/>
  <c r="T1277"/>
  <c r="Z1276" l="1"/>
  <c r="AC1276"/>
  <c r="T1278"/>
  <c r="V1277"/>
  <c r="U1277"/>
  <c r="W1277" s="1"/>
  <c r="Z1277" l="1"/>
  <c r="AC1277"/>
  <c r="V1278"/>
  <c r="U1278"/>
  <c r="W1278" s="1"/>
  <c r="T1279"/>
  <c r="Z1278" l="1"/>
  <c r="AC1278"/>
  <c r="T1280"/>
  <c r="V1279"/>
  <c r="U1279"/>
  <c r="W1279" s="1"/>
  <c r="Z1279" l="1"/>
  <c r="AC1279"/>
  <c r="V1280"/>
  <c r="U1280"/>
  <c r="T1281"/>
  <c r="S1281" l="1"/>
  <c r="U1281"/>
  <c r="W1281" s="1"/>
  <c r="V1281"/>
  <c r="T1282"/>
  <c r="Z1281" l="1"/>
  <c r="AC1281"/>
  <c r="T1283"/>
  <c r="V1282"/>
  <c r="U1282"/>
  <c r="W1282" s="1"/>
  <c r="Z1282" l="1"/>
  <c r="AC1282"/>
  <c r="V1283"/>
  <c r="U1283"/>
  <c r="W1283" s="1"/>
  <c r="T1284"/>
  <c r="Z1283" l="1"/>
  <c r="AC1283"/>
  <c r="T1285"/>
  <c r="V1284"/>
  <c r="U1284"/>
  <c r="W1284" s="1"/>
  <c r="Z1284" l="1"/>
  <c r="AC1284"/>
  <c r="V1285"/>
  <c r="U1285"/>
  <c r="W1285" s="1"/>
  <c r="T1286"/>
  <c r="Z1285" l="1"/>
  <c r="AC1285"/>
  <c r="T1287"/>
  <c r="V1286"/>
  <c r="U1286"/>
  <c r="U1287" l="1"/>
  <c r="W1287" s="1"/>
  <c r="S1287"/>
  <c r="T1288"/>
  <c r="V1287"/>
  <c r="Z1287" l="1"/>
  <c r="AC1287"/>
  <c r="V1288"/>
  <c r="U1288"/>
  <c r="W1288" s="1"/>
  <c r="T1289"/>
  <c r="Z1288" l="1"/>
  <c r="AC1288"/>
  <c r="T1290"/>
  <c r="V1289"/>
  <c r="U1289"/>
  <c r="W1289" s="1"/>
  <c r="Z1289" l="1"/>
  <c r="AC1289"/>
  <c r="V1290"/>
  <c r="U1290"/>
  <c r="W1290" s="1"/>
  <c r="T1291"/>
  <c r="Z1290" l="1"/>
  <c r="AC1290"/>
  <c r="T1292"/>
  <c r="V1291"/>
  <c r="U1291"/>
  <c r="W1291" s="1"/>
  <c r="Z1291" l="1"/>
  <c r="AC1291"/>
  <c r="V1292"/>
  <c r="U1292"/>
  <c r="T1293"/>
  <c r="S1293" l="1"/>
  <c r="U1293"/>
  <c r="W1293" s="1"/>
  <c r="V1293"/>
  <c r="T1294"/>
  <c r="Z1293" l="1"/>
  <c r="AC1293"/>
  <c r="T1295"/>
  <c r="V1294"/>
  <c r="U1294"/>
  <c r="W1294" s="1"/>
  <c r="Z1294" l="1"/>
  <c r="AC1294"/>
  <c r="V1295"/>
  <c r="U1295"/>
  <c r="W1295" s="1"/>
  <c r="T1296"/>
  <c r="Z1295" l="1"/>
  <c r="AC1295"/>
  <c r="T1297"/>
  <c r="V1296"/>
  <c r="U1296"/>
  <c r="W1296" s="1"/>
  <c r="Z1296" l="1"/>
  <c r="AC1296"/>
  <c r="V1297"/>
  <c r="U1297"/>
  <c r="W1297" s="1"/>
  <c r="T1298"/>
  <c r="Z1297" l="1"/>
  <c r="AC1297"/>
  <c r="T1299"/>
  <c r="V1298"/>
  <c r="U1298"/>
  <c r="U1299" l="1"/>
  <c r="W1299" s="1"/>
  <c r="S1299"/>
  <c r="T1300"/>
  <c r="V1299"/>
  <c r="Z1299" l="1"/>
  <c r="AC1299"/>
  <c r="V1300"/>
  <c r="U1300"/>
  <c r="W1300" s="1"/>
  <c r="T1301"/>
  <c r="Z1300" l="1"/>
  <c r="AC1300"/>
  <c r="T1302"/>
  <c r="V1301"/>
  <c r="U1301"/>
  <c r="W1301" s="1"/>
  <c r="Z1301" l="1"/>
  <c r="AC1301"/>
  <c r="V1302"/>
  <c r="U1302"/>
  <c r="W1302" s="1"/>
  <c r="T1303"/>
  <c r="Z1302" l="1"/>
  <c r="AC1302"/>
  <c r="T1304"/>
  <c r="V1303"/>
  <c r="U1303"/>
  <c r="W1303" s="1"/>
  <c r="Z1303" l="1"/>
  <c r="AC1303"/>
  <c r="V1304"/>
  <c r="U1304"/>
  <c r="T1305"/>
  <c r="S1305" l="1"/>
  <c r="U1305"/>
  <c r="W1305" s="1"/>
  <c r="V1305"/>
  <c r="T1306"/>
  <c r="Z1305" l="1"/>
  <c r="AC1305"/>
  <c r="T1307"/>
  <c r="V1306"/>
  <c r="U1306"/>
  <c r="W1306" s="1"/>
  <c r="Z1306" l="1"/>
  <c r="AC1306"/>
  <c r="V1307"/>
  <c r="U1307"/>
  <c r="W1307" s="1"/>
  <c r="T1308"/>
  <c r="Z1307" l="1"/>
  <c r="AC1307"/>
  <c r="T1309"/>
  <c r="V1308"/>
  <c r="U1308"/>
  <c r="W1308" s="1"/>
  <c r="Z1308" l="1"/>
  <c r="AC1308"/>
  <c r="V1309"/>
  <c r="U1309"/>
  <c r="W1309" s="1"/>
  <c r="T1310"/>
  <c r="Z1309" l="1"/>
  <c r="AC1309"/>
  <c r="T1311"/>
  <c r="V1310"/>
  <c r="U1310"/>
  <c r="U1311" l="1"/>
  <c r="W1311" s="1"/>
  <c r="S1311"/>
  <c r="T1312"/>
  <c r="V1311"/>
  <c r="Z1311" l="1"/>
  <c r="AC1311"/>
  <c r="V1312"/>
  <c r="U1312"/>
  <c r="W1312" s="1"/>
  <c r="T1313"/>
  <c r="Z1312" l="1"/>
  <c r="AC1312"/>
  <c r="T1314"/>
  <c r="V1313"/>
  <c r="U1313"/>
  <c r="W1313" s="1"/>
  <c r="Z1313" l="1"/>
  <c r="AC1313"/>
  <c r="V1314"/>
  <c r="U1314"/>
  <c r="W1314" s="1"/>
  <c r="T1315"/>
  <c r="Z1314" l="1"/>
  <c r="AC1314"/>
  <c r="T1316"/>
  <c r="V1315"/>
  <c r="U1315"/>
  <c r="W1315" s="1"/>
  <c r="Z1315" l="1"/>
  <c r="AC1315"/>
  <c r="V1316"/>
  <c r="U1316"/>
  <c r="T1317"/>
  <c r="S1317" l="1"/>
  <c r="U1317"/>
  <c r="W1317" s="1"/>
  <c r="V1317"/>
  <c r="T1318"/>
  <c r="Z1317" l="1"/>
  <c r="AC1317"/>
  <c r="T1319"/>
  <c r="V1318"/>
  <c r="U1318"/>
  <c r="W1318" s="1"/>
  <c r="Z1318" l="1"/>
  <c r="AC1318"/>
  <c r="V1319"/>
  <c r="U1319"/>
  <c r="W1319" s="1"/>
  <c r="T1320"/>
  <c r="Z1319" l="1"/>
  <c r="AC1319"/>
  <c r="T1321"/>
  <c r="V1320"/>
  <c r="U1320"/>
  <c r="W1320" s="1"/>
  <c r="Z1320" l="1"/>
  <c r="AC1320"/>
  <c r="V1321"/>
  <c r="U1321"/>
  <c r="W1321" s="1"/>
  <c r="T1322"/>
  <c r="Z1321" l="1"/>
  <c r="AC1321"/>
  <c r="T1323"/>
  <c r="V1322"/>
  <c r="U1322"/>
  <c r="U1323" l="1"/>
  <c r="W1323" s="1"/>
  <c r="S1323"/>
  <c r="T1324"/>
  <c r="V1323"/>
  <c r="Z1323" l="1"/>
  <c r="AC1323"/>
  <c r="V1324"/>
  <c r="U1324"/>
  <c r="W1324" s="1"/>
  <c r="T1325"/>
  <c r="Z1324" l="1"/>
  <c r="AC1324"/>
  <c r="T1326"/>
  <c r="V1325"/>
  <c r="U1325"/>
  <c r="W1325" s="1"/>
  <c r="Z1325" l="1"/>
  <c r="AC1325"/>
  <c r="V1326"/>
  <c r="U1326"/>
  <c r="W1326" s="1"/>
  <c r="T1327"/>
  <c r="Z1326" l="1"/>
  <c r="AC1326"/>
  <c r="T1328"/>
  <c r="V1327"/>
  <c r="U1327"/>
  <c r="W1327" s="1"/>
  <c r="Z1327" l="1"/>
  <c r="AC1327"/>
  <c r="V1328"/>
  <c r="U1328"/>
  <c r="T1329"/>
  <c r="S1329" l="1"/>
  <c r="U1329"/>
  <c r="W1329" s="1"/>
  <c r="V1329"/>
  <c r="T1330"/>
  <c r="Z1329" l="1"/>
  <c r="AC1329"/>
  <c r="T1331"/>
  <c r="V1330"/>
  <c r="U1330"/>
  <c r="W1330" s="1"/>
  <c r="Z1330" l="1"/>
  <c r="AC1330"/>
  <c r="V1331"/>
  <c r="U1331"/>
  <c r="W1331" s="1"/>
  <c r="T1332"/>
  <c r="Z1331" l="1"/>
  <c r="AC1331"/>
  <c r="T1333"/>
  <c r="V1332"/>
  <c r="U1332"/>
  <c r="W1332" s="1"/>
  <c r="Z1332" l="1"/>
  <c r="AC1332"/>
  <c r="V1333"/>
  <c r="U1333"/>
  <c r="W1333" s="1"/>
  <c r="T1334"/>
  <c r="Z1333" l="1"/>
  <c r="AC1333"/>
  <c r="T1335"/>
  <c r="V1334"/>
  <c r="U1334"/>
  <c r="U1335" l="1"/>
  <c r="W1335" s="1"/>
  <c r="S1335"/>
  <c r="T1336"/>
  <c r="V1335"/>
  <c r="Z1335" l="1"/>
  <c r="AC1335"/>
  <c r="V1336"/>
  <c r="U1336"/>
  <c r="W1336" s="1"/>
  <c r="T1337"/>
  <c r="Z1336" l="1"/>
  <c r="AC1336"/>
  <c r="T1338"/>
  <c r="V1337"/>
  <c r="U1337"/>
  <c r="W1337" s="1"/>
  <c r="Z1337" l="1"/>
  <c r="AC1337"/>
  <c r="V1338"/>
  <c r="U1338"/>
  <c r="W1338" s="1"/>
  <c r="T1339"/>
  <c r="Z1338" l="1"/>
  <c r="AC1338"/>
  <c r="T1340"/>
  <c r="V1339"/>
  <c r="U1339"/>
  <c r="W1339" s="1"/>
  <c r="Z1339" l="1"/>
  <c r="AC1339"/>
  <c r="V1340"/>
  <c r="U1340"/>
  <c r="T1341"/>
  <c r="S1341" l="1"/>
  <c r="U1341"/>
  <c r="W1341" s="1"/>
  <c r="V1341"/>
  <c r="T1342"/>
  <c r="Z1341" l="1"/>
  <c r="AC1341"/>
  <c r="T1343"/>
  <c r="V1342"/>
  <c r="U1342"/>
  <c r="W1342" s="1"/>
  <c r="Z1342" l="1"/>
  <c r="AC1342"/>
  <c r="V1343"/>
  <c r="U1343"/>
  <c r="W1343" s="1"/>
  <c r="T1344"/>
  <c r="Z1343" l="1"/>
  <c r="AC1343"/>
  <c r="T1345"/>
  <c r="V1344"/>
  <c r="U1344"/>
  <c r="W1344" s="1"/>
  <c r="Z1344" l="1"/>
  <c r="AC1344"/>
  <c r="V1345"/>
  <c r="U1345"/>
  <c r="W1345" s="1"/>
  <c r="T1346"/>
  <c r="Z1345" l="1"/>
  <c r="AC1345"/>
  <c r="T1347"/>
  <c r="V1346"/>
  <c r="U1346"/>
  <c r="U1347" l="1"/>
  <c r="W1347" s="1"/>
  <c r="S1347"/>
  <c r="T1348"/>
  <c r="V1347"/>
  <c r="Z1347" l="1"/>
  <c r="AC1347"/>
  <c r="V1348"/>
  <c r="U1348"/>
  <c r="W1348" s="1"/>
  <c r="T1349"/>
  <c r="Z1348" l="1"/>
  <c r="AC1348"/>
  <c r="T1350"/>
  <c r="V1349"/>
  <c r="U1349"/>
  <c r="W1349" s="1"/>
  <c r="Z1349" l="1"/>
  <c r="AC1349"/>
  <c r="V1350"/>
  <c r="U1350"/>
  <c r="W1350" s="1"/>
  <c r="T1351"/>
  <c r="Z1350" l="1"/>
  <c r="AC1350"/>
  <c r="T1352"/>
  <c r="V1351"/>
  <c r="U1351"/>
  <c r="W1351" s="1"/>
  <c r="Z1351" l="1"/>
  <c r="AC1351"/>
  <c r="V1352"/>
  <c r="U1352"/>
  <c r="T1353"/>
  <c r="S1353" l="1"/>
  <c r="U1353"/>
  <c r="W1353" s="1"/>
  <c r="V1353"/>
  <c r="T1354"/>
  <c r="Z1353" l="1"/>
  <c r="AC1353"/>
  <c r="T1355"/>
  <c r="V1354"/>
  <c r="U1354"/>
  <c r="W1354" s="1"/>
  <c r="Z1354" l="1"/>
  <c r="AC1354"/>
  <c r="V1355"/>
  <c r="U1355"/>
  <c r="W1355" s="1"/>
  <c r="T1356"/>
  <c r="Z1355" l="1"/>
  <c r="AC1355"/>
  <c r="T1357"/>
  <c r="V1356"/>
  <c r="U1356"/>
  <c r="W1356" s="1"/>
  <c r="Z1356" l="1"/>
  <c r="AC1356"/>
  <c r="V1357"/>
  <c r="U1357"/>
  <c r="W1357" s="1"/>
  <c r="T1358"/>
  <c r="Z1357" l="1"/>
  <c r="AC1357"/>
  <c r="T1359"/>
  <c r="V1358"/>
  <c r="U1358"/>
  <c r="U1359" l="1"/>
  <c r="W1359" s="1"/>
  <c r="S1359"/>
  <c r="T1360"/>
  <c r="V1359"/>
  <c r="Z1359" l="1"/>
  <c r="AC1359"/>
  <c r="V1360"/>
  <c r="U1360"/>
  <c r="W1360" s="1"/>
  <c r="T1361"/>
  <c r="Z1360" l="1"/>
  <c r="AC1360"/>
  <c r="T1362"/>
  <c r="V1361"/>
  <c r="U1361"/>
  <c r="W1361" s="1"/>
  <c r="Z1361" l="1"/>
  <c r="AC1361"/>
  <c r="V1362"/>
  <c r="U1362"/>
  <c r="W1362" s="1"/>
  <c r="T1363"/>
  <c r="Z1362" l="1"/>
  <c r="AC1362"/>
  <c r="T1364"/>
  <c r="V1363"/>
  <c r="U1363"/>
  <c r="W1363" s="1"/>
  <c r="Z1363" l="1"/>
  <c r="AC1363"/>
  <c r="V1364"/>
  <c r="U1364"/>
  <c r="T1365"/>
  <c r="S1365" l="1"/>
  <c r="U1365"/>
  <c r="W1365" s="1"/>
  <c r="V1365"/>
  <c r="T1366"/>
  <c r="Z1365" l="1"/>
  <c r="AC1365"/>
  <c r="T1367"/>
  <c r="V1366"/>
  <c r="U1366"/>
  <c r="W1366" s="1"/>
  <c r="Z1366" l="1"/>
  <c r="AC1366"/>
  <c r="V1367"/>
  <c r="U1367"/>
  <c r="W1367" s="1"/>
  <c r="T1368"/>
  <c r="Z1367" l="1"/>
  <c r="AC1367"/>
  <c r="T1369"/>
  <c r="V1368"/>
  <c r="U1368"/>
  <c r="W1368" s="1"/>
  <c r="Z1368" l="1"/>
  <c r="AC1368"/>
  <c r="V1369"/>
  <c r="U1369"/>
  <c r="W1369" s="1"/>
  <c r="T1370"/>
  <c r="Z1369" l="1"/>
  <c r="AC1369"/>
  <c r="T1371"/>
  <c r="V1370"/>
  <c r="U1370"/>
  <c r="U1371" l="1"/>
  <c r="W1371" s="1"/>
  <c r="S1371"/>
  <c r="T1372"/>
  <c r="V1371"/>
  <c r="Z1371" l="1"/>
  <c r="AC1371"/>
  <c r="V1372"/>
  <c r="U1372"/>
  <c r="W1372" s="1"/>
  <c r="T1373"/>
  <c r="Z1372" l="1"/>
  <c r="AC1372"/>
  <c r="T1374"/>
  <c r="V1373"/>
  <c r="U1373"/>
  <c r="W1373" s="1"/>
  <c r="Z1373" l="1"/>
  <c r="AC1373"/>
  <c r="V1374"/>
  <c r="U1374"/>
  <c r="W1374" s="1"/>
  <c r="T1375"/>
  <c r="Z1374" l="1"/>
  <c r="AC1374"/>
  <c r="T1376"/>
  <c r="V1375"/>
  <c r="U1375"/>
  <c r="W1375" s="1"/>
  <c r="Z1375" l="1"/>
  <c r="AC1375"/>
  <c r="V1376"/>
  <c r="U1376"/>
  <c r="T1377"/>
  <c r="S1377" l="1"/>
  <c r="U1377"/>
  <c r="W1377" s="1"/>
  <c r="V1377"/>
  <c r="T1378"/>
  <c r="Z1377" l="1"/>
  <c r="AC1377"/>
  <c r="T1379"/>
  <c r="V1378"/>
  <c r="U1378"/>
  <c r="W1378" s="1"/>
  <c r="Z1378" l="1"/>
  <c r="AC1378"/>
  <c r="T1380"/>
  <c r="U1379"/>
  <c r="W1379" s="1"/>
  <c r="V1379"/>
  <c r="Z1379" l="1"/>
  <c r="AC1379"/>
  <c r="T1381"/>
  <c r="V1380"/>
  <c r="U1380"/>
  <c r="W1380" s="1"/>
  <c r="Z1380" l="1"/>
  <c r="AC1380"/>
  <c r="V1381"/>
  <c r="U1381"/>
  <c r="W1381" s="1"/>
  <c r="T1382"/>
  <c r="Z1381" l="1"/>
  <c r="AC1381"/>
  <c r="T1383"/>
  <c r="V1382"/>
  <c r="U1382"/>
  <c r="U1383" l="1"/>
  <c r="W1383" s="1"/>
  <c r="S1383"/>
  <c r="T1384"/>
  <c r="V1383"/>
  <c r="Z1383" l="1"/>
  <c r="AC1383"/>
  <c r="V1384"/>
  <c r="U1384"/>
  <c r="W1384" s="1"/>
  <c r="T1385"/>
  <c r="Z1384" l="1"/>
  <c r="AC1384"/>
  <c r="T1386"/>
  <c r="V1385"/>
  <c r="U1385"/>
  <c r="W1385" s="1"/>
  <c r="Z1385" l="1"/>
  <c r="AC1385"/>
  <c r="V1386"/>
  <c r="U1386"/>
  <c r="W1386" s="1"/>
  <c r="T1387"/>
  <c r="Z1386" l="1"/>
  <c r="AC1386"/>
  <c r="T1388"/>
  <c r="V1387"/>
  <c r="U1387"/>
  <c r="W1387" s="1"/>
  <c r="Z1387" l="1"/>
  <c r="AC1387"/>
  <c r="V1388"/>
  <c r="U1388"/>
  <c r="T1389"/>
  <c r="S1389" l="1"/>
  <c r="U1389"/>
  <c r="W1389" s="1"/>
  <c r="V1389"/>
  <c r="T1390"/>
  <c r="Z1389" l="1"/>
  <c r="AC1389"/>
  <c r="T1391"/>
  <c r="V1390"/>
  <c r="U1390"/>
  <c r="W1390" s="1"/>
  <c r="Z1390" l="1"/>
  <c r="AC1390"/>
  <c r="V1391"/>
  <c r="U1391"/>
  <c r="W1391" s="1"/>
  <c r="T1392"/>
  <c r="Z1391" l="1"/>
  <c r="AC1391"/>
  <c r="T1393"/>
  <c r="V1392"/>
  <c r="U1392"/>
  <c r="W1392" s="1"/>
  <c r="Z1392" l="1"/>
  <c r="AC1392"/>
  <c r="V1393"/>
  <c r="U1393"/>
  <c r="W1393" s="1"/>
  <c r="T1394"/>
  <c r="Z1393" l="1"/>
  <c r="AC1393"/>
  <c r="T1395"/>
  <c r="V1394"/>
  <c r="U1394"/>
  <c r="U1395" l="1"/>
  <c r="W1395" s="1"/>
  <c r="S1395"/>
  <c r="T1396"/>
  <c r="V1395"/>
  <c r="Z1395" l="1"/>
  <c r="AC1395"/>
  <c r="V1396"/>
  <c r="U1396"/>
  <c r="W1396" s="1"/>
  <c r="T1397"/>
  <c r="Z1396" l="1"/>
  <c r="AC1396"/>
  <c r="T1398"/>
  <c r="V1397"/>
  <c r="U1397"/>
  <c r="W1397" s="1"/>
  <c r="Z1397" l="1"/>
  <c r="AC1397"/>
  <c r="V1398"/>
  <c r="U1398"/>
  <c r="W1398" s="1"/>
  <c r="T1399"/>
  <c r="Z1398" l="1"/>
  <c r="AC1398"/>
  <c r="T1400"/>
  <c r="V1399"/>
  <c r="U1399"/>
  <c r="W1399" s="1"/>
  <c r="Z1399" l="1"/>
  <c r="AC1399"/>
  <c r="V1400"/>
  <c r="U1400"/>
  <c r="T1401"/>
  <c r="S1401" l="1"/>
  <c r="U1401"/>
  <c r="W1401" s="1"/>
  <c r="V1401"/>
  <c r="T1402"/>
  <c r="Z1401" l="1"/>
  <c r="AC1401"/>
  <c r="T1403"/>
  <c r="V1402"/>
  <c r="U1402"/>
  <c r="W1402" s="1"/>
  <c r="Z1402" l="1"/>
  <c r="AC1402"/>
  <c r="V1403"/>
  <c r="U1403"/>
  <c r="W1403" s="1"/>
  <c r="T1404"/>
  <c r="Z1403" l="1"/>
  <c r="AC1403"/>
  <c r="T1405"/>
  <c r="V1404"/>
  <c r="U1404"/>
  <c r="W1404" s="1"/>
  <c r="Z1404" l="1"/>
  <c r="AC1404"/>
  <c r="V1405"/>
  <c r="U1405"/>
  <c r="W1405" s="1"/>
  <c r="T1406"/>
  <c r="Z1405" l="1"/>
  <c r="AC1405"/>
  <c r="T1407"/>
  <c r="V1406"/>
  <c r="U1406"/>
  <c r="U1407" l="1"/>
  <c r="W1407" s="1"/>
  <c r="S1407"/>
  <c r="T1408"/>
  <c r="V1407"/>
  <c r="Z1407" l="1"/>
  <c r="AC1407"/>
  <c r="V1408"/>
  <c r="U1408"/>
  <c r="W1408" s="1"/>
  <c r="T1409"/>
  <c r="Z1408" l="1"/>
  <c r="AC1408"/>
  <c r="T1410"/>
  <c r="V1409"/>
  <c r="U1409"/>
  <c r="W1409" s="1"/>
  <c r="Z1409" l="1"/>
  <c r="AC1409"/>
  <c r="V1410"/>
  <c r="U1410"/>
  <c r="W1410" s="1"/>
  <c r="T1411"/>
  <c r="Z1410" l="1"/>
  <c r="AC1410"/>
  <c r="T1412"/>
  <c r="V1411"/>
  <c r="U1411"/>
  <c r="W1411" s="1"/>
  <c r="Z1411" l="1"/>
  <c r="AC1411"/>
  <c r="V1412"/>
  <c r="U1412"/>
  <c r="T1413"/>
  <c r="S1413" l="1"/>
  <c r="U1413"/>
  <c r="W1413" s="1"/>
  <c r="V1413"/>
  <c r="T1414"/>
  <c r="Z1413" l="1"/>
  <c r="AC1413"/>
  <c r="T1415"/>
  <c r="V1414"/>
  <c r="U1414"/>
  <c r="W1414" s="1"/>
  <c r="Z1414" l="1"/>
  <c r="AC1414"/>
  <c r="V1415"/>
  <c r="U1415"/>
  <c r="W1415" s="1"/>
  <c r="T1416"/>
  <c r="Z1415" l="1"/>
  <c r="AC1415"/>
  <c r="T1417"/>
  <c r="V1416"/>
  <c r="U1416"/>
  <c r="W1416" s="1"/>
  <c r="Z1416" l="1"/>
  <c r="AC1416"/>
  <c r="V1417"/>
  <c r="U1417"/>
  <c r="W1417" s="1"/>
  <c r="T1418"/>
  <c r="Z1417" l="1"/>
  <c r="AC1417"/>
  <c r="T1419"/>
  <c r="V1418"/>
  <c r="U1418"/>
  <c r="U1419" l="1"/>
  <c r="W1419" s="1"/>
  <c r="S1419"/>
  <c r="T1420"/>
  <c r="V1419"/>
  <c r="Z1419" l="1"/>
  <c r="AC1419"/>
  <c r="V1420"/>
  <c r="U1420"/>
  <c r="W1420" s="1"/>
  <c r="T1421"/>
  <c r="Z1420" l="1"/>
  <c r="AC1420"/>
  <c r="T1422"/>
  <c r="V1421"/>
  <c r="U1421"/>
  <c r="W1421" s="1"/>
  <c r="Z1421" l="1"/>
  <c r="AC1421"/>
  <c r="V1422"/>
  <c r="U1422"/>
  <c r="W1422" s="1"/>
  <c r="T1423"/>
  <c r="Z1422" l="1"/>
  <c r="AC1422"/>
  <c r="T1424"/>
  <c r="V1423"/>
  <c r="U1423"/>
  <c r="W1423" s="1"/>
  <c r="Z1423" l="1"/>
  <c r="AC1423"/>
  <c r="V1424"/>
  <c r="U1424"/>
  <c r="T1425"/>
  <c r="S1425" l="1"/>
  <c r="U1425"/>
  <c r="W1425" s="1"/>
  <c r="V1425"/>
  <c r="T1426"/>
  <c r="Z1425" l="1"/>
  <c r="AC1425"/>
  <c r="T1427"/>
  <c r="V1426"/>
  <c r="U1426"/>
  <c r="W1426" s="1"/>
  <c r="Z1426" l="1"/>
  <c r="AC1426"/>
  <c r="V1427"/>
  <c r="U1427"/>
  <c r="W1427" s="1"/>
  <c r="T1428"/>
  <c r="Z1427" l="1"/>
  <c r="AC1427"/>
  <c r="T1429"/>
  <c r="V1428"/>
  <c r="U1428"/>
  <c r="W1428" s="1"/>
  <c r="Z1428" l="1"/>
  <c r="AC1428"/>
  <c r="V1429"/>
  <c r="U1429"/>
  <c r="W1429" s="1"/>
  <c r="T1430"/>
  <c r="Z1429" l="1"/>
  <c r="AC1429"/>
  <c r="T1431"/>
  <c r="V1430"/>
  <c r="U1430"/>
  <c r="U1431" l="1"/>
  <c r="W1431" s="1"/>
  <c r="S1431"/>
  <c r="T1432"/>
  <c r="V1431"/>
  <c r="Z1431" l="1"/>
  <c r="AC1431"/>
  <c r="V1432"/>
  <c r="U1432"/>
  <c r="W1432" s="1"/>
  <c r="T1433"/>
  <c r="Z1432" l="1"/>
  <c r="AC1432"/>
  <c r="T1434"/>
  <c r="V1433"/>
  <c r="U1433"/>
  <c r="W1433" s="1"/>
  <c r="Z1433" l="1"/>
  <c r="AC1433"/>
  <c r="V1434"/>
  <c r="U1434"/>
  <c r="W1434" s="1"/>
  <c r="T1435"/>
  <c r="Z1434" l="1"/>
  <c r="AC1434"/>
  <c r="T1436"/>
  <c r="V1435"/>
  <c r="U1435"/>
  <c r="W1435" s="1"/>
  <c r="Z1435" l="1"/>
  <c r="AC1435"/>
  <c r="V1436"/>
  <c r="U1436"/>
  <c r="T1437"/>
  <c r="S1437" l="1"/>
  <c r="U1437"/>
  <c r="W1437" s="1"/>
  <c r="V1437"/>
  <c r="T1438"/>
  <c r="Z1437" l="1"/>
  <c r="AC1437"/>
  <c r="T1439"/>
  <c r="V1438"/>
  <c r="U1438"/>
  <c r="W1438" s="1"/>
  <c r="Z1438" l="1"/>
  <c r="AC1438"/>
  <c r="V1439"/>
  <c r="U1439"/>
  <c r="W1439" s="1"/>
  <c r="T1440"/>
  <c r="Z1439" l="1"/>
  <c r="AC1439"/>
  <c r="T1441"/>
  <c r="V1440"/>
  <c r="U1440"/>
  <c r="W1440" s="1"/>
  <c r="Z1440" l="1"/>
  <c r="AC1440"/>
  <c r="V1441"/>
  <c r="U1441"/>
  <c r="W1441" s="1"/>
  <c r="T1442"/>
  <c r="Z1441" l="1"/>
  <c r="AC1441"/>
  <c r="T1443"/>
  <c r="U1442"/>
  <c r="V1442"/>
  <c r="T1444" l="1"/>
  <c r="S1443"/>
  <c r="U1443"/>
  <c r="W1443" s="1"/>
  <c r="V1443"/>
  <c r="Z1443" l="1"/>
  <c r="AC1443"/>
  <c r="T1445"/>
  <c r="V1444"/>
  <c r="U1444"/>
  <c r="W1444" s="1"/>
  <c r="Z1444" l="1"/>
  <c r="AC1444"/>
  <c r="U1445"/>
  <c r="W1445" s="1"/>
  <c r="T1446"/>
  <c r="V1445"/>
  <c r="Z1445" l="1"/>
  <c r="AC1445"/>
  <c r="T1447"/>
  <c r="V1446"/>
  <c r="U1446"/>
  <c r="W1446" s="1"/>
  <c r="Z1446" l="1"/>
  <c r="AC1446"/>
  <c r="U1447"/>
  <c r="W1447" s="1"/>
  <c r="T1448"/>
  <c r="V1447"/>
  <c r="Z1447" l="1"/>
  <c r="AC1447"/>
  <c r="T1449"/>
  <c r="V1448"/>
  <c r="U1448"/>
  <c r="S1449" l="1"/>
  <c r="U1449"/>
  <c r="W1449" s="1"/>
  <c r="V1449"/>
  <c r="T1450"/>
  <c r="Z1449" l="1"/>
  <c r="AC1449"/>
  <c r="U1450"/>
  <c r="W1450" s="1"/>
  <c r="T1451"/>
  <c r="V1450"/>
  <c r="Z1450" l="1"/>
  <c r="AC1450"/>
  <c r="T1452"/>
  <c r="V1451"/>
  <c r="U1451"/>
  <c r="W1451" s="1"/>
  <c r="Z1451" l="1"/>
  <c r="AC1451"/>
  <c r="U1452"/>
  <c r="W1452" s="1"/>
  <c r="T1453"/>
  <c r="V1452"/>
  <c r="Z1452" l="1"/>
  <c r="AC1452"/>
  <c r="T1454"/>
  <c r="V1453"/>
  <c r="U1453"/>
  <c r="W1453" s="1"/>
  <c r="Z1453" l="1"/>
  <c r="AC1453"/>
  <c r="U1454"/>
  <c r="T1455"/>
  <c r="V1454"/>
  <c r="U1455" l="1"/>
  <c r="W1455" s="1"/>
  <c r="S1455"/>
  <c r="T1456"/>
  <c r="V1455"/>
  <c r="Z1455" l="1"/>
  <c r="AC1455"/>
  <c r="T1457"/>
  <c r="V1456"/>
  <c r="U1456"/>
  <c r="W1456" s="1"/>
  <c r="Z1456" l="1"/>
  <c r="AC1456"/>
  <c r="U1457"/>
  <c r="W1457" s="1"/>
  <c r="T1458"/>
  <c r="V1457"/>
  <c r="Z1457" l="1"/>
  <c r="AC1457"/>
  <c r="T1459"/>
  <c r="V1458"/>
  <c r="U1458"/>
  <c r="W1458" s="1"/>
  <c r="Z1458" l="1"/>
  <c r="AC1458"/>
  <c r="U1459"/>
  <c r="W1459" s="1"/>
  <c r="T1460"/>
  <c r="V1459"/>
  <c r="Z1459" l="1"/>
  <c r="AC1459"/>
  <c r="T1461"/>
  <c r="V1460"/>
  <c r="U1460"/>
  <c r="S1461" l="1"/>
  <c r="U1461"/>
  <c r="W1461" s="1"/>
  <c r="V1461"/>
  <c r="T1462"/>
  <c r="Z1461" l="1"/>
  <c r="AC1461"/>
  <c r="U1462"/>
  <c r="W1462" s="1"/>
  <c r="T1463"/>
  <c r="V1462"/>
  <c r="Z1462" l="1"/>
  <c r="AC1462"/>
  <c r="T1464"/>
  <c r="V1463"/>
  <c r="U1463"/>
  <c r="W1463" s="1"/>
  <c r="Z1463" l="1"/>
  <c r="AC1463"/>
  <c r="U1464"/>
  <c r="W1464" s="1"/>
  <c r="T1465"/>
  <c r="V1464"/>
  <c r="Z1464" l="1"/>
  <c r="AC1464"/>
  <c r="T1466"/>
  <c r="V1465"/>
  <c r="U1465"/>
  <c r="W1465" s="1"/>
  <c r="Z1465" l="1"/>
  <c r="AC1465"/>
  <c r="U1466"/>
  <c r="T1467"/>
  <c r="V1466"/>
  <c r="U1467" l="1"/>
  <c r="W1467" s="1"/>
  <c r="S1467"/>
  <c r="T1468"/>
  <c r="V1467"/>
  <c r="Z1467" l="1"/>
  <c r="AC1467"/>
  <c r="T1469"/>
  <c r="V1468"/>
  <c r="U1468"/>
  <c r="W1468" s="1"/>
  <c r="Z1468" l="1"/>
  <c r="AC1468"/>
  <c r="U1469"/>
  <c r="W1469" s="1"/>
  <c r="T1470"/>
  <c r="V1469"/>
  <c r="Z1469" l="1"/>
  <c r="AC1469"/>
  <c r="T1471"/>
  <c r="V1470"/>
  <c r="U1470"/>
  <c r="W1470" s="1"/>
  <c r="Z1470" l="1"/>
  <c r="AC1470"/>
  <c r="U1471"/>
  <c r="W1471" s="1"/>
  <c r="T1472"/>
  <c r="V1471"/>
  <c r="Z1471" l="1"/>
  <c r="AC1471"/>
  <c r="T1473"/>
  <c r="V1472"/>
  <c r="U1472"/>
  <c r="S1473" l="1"/>
  <c r="U1473"/>
  <c r="W1473" s="1"/>
  <c r="V1473"/>
  <c r="T1474"/>
  <c r="Z1473" l="1"/>
  <c r="AC1473"/>
  <c r="U1474"/>
  <c r="W1474" s="1"/>
  <c r="T1475"/>
  <c r="V1474"/>
  <c r="Z1474" l="1"/>
  <c r="AC1474"/>
  <c r="T1476"/>
  <c r="V1475"/>
  <c r="U1475"/>
  <c r="W1475" s="1"/>
  <c r="Z1475" l="1"/>
  <c r="AC1475"/>
  <c r="U1476"/>
  <c r="W1476" s="1"/>
  <c r="T1477"/>
  <c r="V1476"/>
  <c r="Z1476" l="1"/>
  <c r="AC1476"/>
  <c r="T1478"/>
  <c r="U1477"/>
  <c r="W1477" s="1"/>
  <c r="V1477"/>
  <c r="Z1477" l="1"/>
  <c r="AC1477"/>
  <c r="U1478"/>
  <c r="T1479"/>
  <c r="V1478"/>
  <c r="U1479" l="1"/>
  <c r="W1479" s="1"/>
  <c r="S1479"/>
  <c r="T1480"/>
  <c r="V1479"/>
  <c r="Z1479" l="1"/>
  <c r="AC1479"/>
  <c r="T1481"/>
  <c r="V1480"/>
  <c r="U1480"/>
  <c r="W1480" s="1"/>
  <c r="Z1480" l="1"/>
  <c r="AC1480"/>
  <c r="U1481"/>
  <c r="W1481" s="1"/>
  <c r="T1482"/>
  <c r="V1481"/>
  <c r="Z1481" l="1"/>
  <c r="AC1481"/>
  <c r="T1483"/>
  <c r="V1482"/>
  <c r="U1482"/>
  <c r="W1482" s="1"/>
  <c r="Z1482" l="1"/>
  <c r="AC1482"/>
  <c r="U1483"/>
  <c r="W1483" s="1"/>
  <c r="T1484"/>
  <c r="V1483"/>
  <c r="Z1483" l="1"/>
  <c r="AC1483"/>
  <c r="T1485"/>
  <c r="V1484"/>
  <c r="U1484"/>
  <c r="S1485" l="1"/>
  <c r="U1485"/>
  <c r="W1485" s="1"/>
  <c r="V1485"/>
  <c r="T1486"/>
  <c r="Z1485" l="1"/>
  <c r="AC1485"/>
  <c r="U1486"/>
  <c r="W1486" s="1"/>
  <c r="T1487"/>
  <c r="V1486"/>
  <c r="Z1486" l="1"/>
  <c r="AC1486"/>
  <c r="T1488"/>
  <c r="V1487"/>
  <c r="U1487"/>
  <c r="W1487" s="1"/>
  <c r="Z1487" l="1"/>
  <c r="AC1487"/>
  <c r="U1488"/>
  <c r="W1488" s="1"/>
  <c r="T1489"/>
  <c r="V1488"/>
  <c r="Z1488" l="1"/>
  <c r="AC1488"/>
  <c r="T1490"/>
  <c r="V1489"/>
  <c r="U1489"/>
  <c r="W1489" s="1"/>
  <c r="Z1489" l="1"/>
  <c r="AC1489"/>
  <c r="U1490"/>
  <c r="T1491"/>
  <c r="V1490"/>
  <c r="U1491" l="1"/>
  <c r="W1491" s="1"/>
  <c r="S1491"/>
  <c r="T1492"/>
  <c r="V1491"/>
  <c r="Z1491" l="1"/>
  <c r="AC1491"/>
  <c r="T1493"/>
  <c r="V1492"/>
  <c r="U1492"/>
  <c r="W1492" s="1"/>
  <c r="Z1492" l="1"/>
  <c r="AC1492"/>
  <c r="U1493"/>
  <c r="W1493" s="1"/>
  <c r="T1494"/>
  <c r="V1493"/>
  <c r="Z1493" l="1"/>
  <c r="AC1493"/>
  <c r="T1495"/>
  <c r="V1494"/>
  <c r="U1494"/>
  <c r="W1494" s="1"/>
  <c r="Z1494" l="1"/>
  <c r="AC1494"/>
  <c r="U1495"/>
  <c r="W1495" s="1"/>
  <c r="T1496"/>
  <c r="V1495"/>
  <c r="Z1495" l="1"/>
  <c r="AC1495"/>
  <c r="T1497"/>
  <c r="V1496"/>
  <c r="U1496"/>
  <c r="S1497" l="1"/>
  <c r="U1497"/>
  <c r="W1497" s="1"/>
  <c r="V1497"/>
  <c r="T1498"/>
  <c r="Z1497" l="1"/>
  <c r="AC1497"/>
  <c r="U1498"/>
  <c r="W1498" s="1"/>
  <c r="T1499"/>
  <c r="V1498"/>
  <c r="Z1498" l="1"/>
  <c r="AC1498"/>
  <c r="T1500"/>
  <c r="V1499"/>
  <c r="U1499"/>
  <c r="W1499" s="1"/>
  <c r="Z1499" l="1"/>
  <c r="AC1499"/>
  <c r="U1500"/>
  <c r="W1500" s="1"/>
  <c r="T1501"/>
  <c r="V1500"/>
  <c r="Z1500" l="1"/>
  <c r="AC1500"/>
  <c r="T1502"/>
  <c r="V1501"/>
  <c r="U1501"/>
  <c r="W1501" s="1"/>
  <c r="Z1501" l="1"/>
  <c r="AC1501"/>
  <c r="U1502"/>
  <c r="T1503"/>
  <c r="V1502"/>
  <c r="U1503" l="1"/>
  <c r="W1503" s="1"/>
  <c r="S1503"/>
  <c r="T1504"/>
  <c r="V1503"/>
  <c r="Z1503" l="1"/>
  <c r="AC1503"/>
  <c r="T1505"/>
  <c r="V1504"/>
  <c r="U1504"/>
  <c r="W1504" s="1"/>
  <c r="Z1504" l="1"/>
  <c r="AC1504"/>
  <c r="U1505"/>
  <c r="W1505" s="1"/>
  <c r="T1506"/>
  <c r="V1505"/>
  <c r="Z1505" l="1"/>
  <c r="AC1505"/>
  <c r="T1507"/>
  <c r="V1506"/>
  <c r="U1506"/>
  <c r="W1506" s="1"/>
  <c r="Z1506" l="1"/>
  <c r="AC1506"/>
  <c r="U1507"/>
  <c r="W1507" s="1"/>
  <c r="T1508"/>
  <c r="V1507"/>
  <c r="Z1507" l="1"/>
  <c r="AC1507"/>
  <c r="T1509"/>
  <c r="V1508"/>
  <c r="U1508"/>
  <c r="S1509" l="1"/>
  <c r="U1509"/>
  <c r="W1509" s="1"/>
  <c r="V1509"/>
  <c r="T1510"/>
  <c r="Z1509" l="1"/>
  <c r="AC1509"/>
  <c r="U1510"/>
  <c r="W1510" s="1"/>
  <c r="T1511"/>
  <c r="V1510"/>
  <c r="Z1510" l="1"/>
  <c r="AC1510"/>
  <c r="T1512"/>
  <c r="V1511"/>
  <c r="U1511"/>
  <c r="W1511" s="1"/>
  <c r="Z1511" l="1"/>
  <c r="AC1511"/>
  <c r="U1512"/>
  <c r="W1512" s="1"/>
  <c r="T1513"/>
  <c r="V1512"/>
  <c r="Z1512" l="1"/>
  <c r="AC1512"/>
  <c r="T1514"/>
  <c r="V1513"/>
  <c r="U1513"/>
  <c r="W1513" s="1"/>
  <c r="Z1513" l="1"/>
  <c r="AC1513"/>
  <c r="U1514"/>
  <c r="T1515"/>
  <c r="V1514"/>
  <c r="U1515" l="1"/>
  <c r="W1515" s="1"/>
  <c r="S1515"/>
  <c r="T1516"/>
  <c r="V1515"/>
  <c r="Z1515" l="1"/>
  <c r="AC1515"/>
  <c r="T1517"/>
  <c r="V1516"/>
  <c r="U1516"/>
  <c r="W1516" s="1"/>
  <c r="Z1516" l="1"/>
  <c r="AC1516"/>
  <c r="U1517"/>
  <c r="W1517" s="1"/>
  <c r="T1518"/>
  <c r="V1517"/>
  <c r="Z1517" l="1"/>
  <c r="AC1517"/>
  <c r="T1519"/>
  <c r="V1518"/>
  <c r="U1518"/>
  <c r="W1518" s="1"/>
  <c r="Z1518" l="1"/>
  <c r="AC1518"/>
  <c r="U1519"/>
  <c r="W1519" s="1"/>
  <c r="T1520"/>
  <c r="V1519"/>
  <c r="Z1519" l="1"/>
  <c r="AC1519"/>
  <c r="T1521"/>
  <c r="V1520"/>
  <c r="U1520"/>
  <c r="S1521" l="1"/>
  <c r="U1521"/>
  <c r="W1521" s="1"/>
  <c r="V1521"/>
  <c r="T1522"/>
  <c r="Z1521" l="1"/>
  <c r="AC1521"/>
  <c r="U1522"/>
  <c r="W1522" s="1"/>
  <c r="T1523"/>
  <c r="V1522"/>
  <c r="Z1522" l="1"/>
  <c r="AC1522"/>
  <c r="T1524"/>
  <c r="V1523"/>
  <c r="U1523"/>
  <c r="W1523" s="1"/>
  <c r="Z1523" l="1"/>
  <c r="AC1523"/>
  <c r="U1524"/>
  <c r="W1524" s="1"/>
  <c r="T1525"/>
  <c r="V1524"/>
  <c r="Z1524" l="1"/>
  <c r="AC1524"/>
  <c r="T1526"/>
  <c r="V1525"/>
  <c r="U1525"/>
  <c r="W1525" s="1"/>
  <c r="Z1525" l="1"/>
  <c r="AC1525"/>
  <c r="U1526"/>
  <c r="T1527"/>
  <c r="V1526"/>
  <c r="U1527" l="1"/>
  <c r="W1527" s="1"/>
  <c r="S1527"/>
  <c r="T1528"/>
  <c r="V1527"/>
  <c r="Z1527" l="1"/>
  <c r="AC1527"/>
  <c r="T1529"/>
  <c r="V1528"/>
  <c r="U1528"/>
  <c r="W1528" s="1"/>
  <c r="Z1528" l="1"/>
  <c r="AC1528"/>
  <c r="U1529"/>
  <c r="W1529" s="1"/>
  <c r="T1530"/>
  <c r="V1529"/>
  <c r="Z1529" l="1"/>
  <c r="AC1529"/>
  <c r="T1531"/>
  <c r="V1530"/>
  <c r="U1530"/>
  <c r="W1530" s="1"/>
  <c r="Z1530" l="1"/>
  <c r="AC1530"/>
  <c r="U1531"/>
  <c r="W1531" s="1"/>
  <c r="T1532"/>
  <c r="V1531"/>
  <c r="Z1531" l="1"/>
  <c r="AC1531"/>
  <c r="T1533"/>
  <c r="V1532"/>
  <c r="U1532"/>
  <c r="S1533" l="1"/>
  <c r="U1533"/>
  <c r="W1533" s="1"/>
  <c r="V1533"/>
  <c r="T1534"/>
  <c r="Z1533" l="1"/>
  <c r="AC1533"/>
  <c r="U1534"/>
  <c r="W1534" s="1"/>
  <c r="T1535"/>
  <c r="V1534"/>
  <c r="Z1534" l="1"/>
  <c r="AC1534"/>
  <c r="T1536"/>
  <c r="V1535"/>
  <c r="U1535"/>
  <c r="W1535" s="1"/>
  <c r="Z1535" l="1"/>
  <c r="AC1535"/>
  <c r="U1536"/>
  <c r="W1536" s="1"/>
  <c r="T1537"/>
  <c r="V1536"/>
  <c r="Z1536" l="1"/>
  <c r="AC1536"/>
  <c r="T1538"/>
  <c r="V1537"/>
  <c r="U1537"/>
  <c r="W1537" s="1"/>
  <c r="Z1537" l="1"/>
  <c r="AC1537"/>
  <c r="U1538"/>
  <c r="T1539"/>
  <c r="V1538"/>
  <c r="U1539" l="1"/>
  <c r="W1539" s="1"/>
  <c r="S1539"/>
  <c r="T1540"/>
  <c r="V1539"/>
  <c r="Z1539" l="1"/>
  <c r="AC1539"/>
  <c r="T1541"/>
  <c r="V1540"/>
  <c r="U1540"/>
  <c r="W1540" s="1"/>
  <c r="Z1540" l="1"/>
  <c r="AC1540"/>
  <c r="U1541"/>
  <c r="W1541" s="1"/>
  <c r="T1542"/>
  <c r="V1541"/>
  <c r="Z1541" l="1"/>
  <c r="AC1541"/>
  <c r="T1543"/>
  <c r="V1542"/>
  <c r="U1542"/>
  <c r="W1542" s="1"/>
  <c r="Z1542" l="1"/>
  <c r="AC1542"/>
  <c r="U1543"/>
  <c r="W1543" s="1"/>
  <c r="T1544"/>
  <c r="V1543"/>
  <c r="Z1543" l="1"/>
  <c r="AC1543"/>
  <c r="T1545"/>
  <c r="V1544"/>
  <c r="U1544"/>
  <c r="S1545" l="1"/>
  <c r="U1545"/>
  <c r="W1545" s="1"/>
  <c r="V1545"/>
  <c r="T1546"/>
  <c r="Z1545" l="1"/>
  <c r="AC1545"/>
  <c r="U1546"/>
  <c r="W1546" s="1"/>
  <c r="T1547"/>
  <c r="V1546"/>
  <c r="Z1546" l="1"/>
  <c r="AC1546"/>
  <c r="T1548"/>
  <c r="V1547"/>
  <c r="U1547"/>
  <c r="W1547" s="1"/>
  <c r="Z1547" l="1"/>
  <c r="AC1547"/>
  <c r="U1548"/>
  <c r="W1548" s="1"/>
  <c r="T1549"/>
  <c r="V1548"/>
  <c r="Z1548" l="1"/>
  <c r="AC1548"/>
  <c r="T1550"/>
  <c r="V1549"/>
  <c r="U1549"/>
  <c r="W1549" s="1"/>
  <c r="Z1549" l="1"/>
  <c r="AC1549"/>
  <c r="U1550"/>
  <c r="T1551"/>
  <c r="V1550"/>
  <c r="U1551" l="1"/>
  <c r="W1551" s="1"/>
  <c r="S1551"/>
  <c r="T1552"/>
  <c r="V1551"/>
  <c r="Z1551" l="1"/>
  <c r="AC1551"/>
  <c r="T1553"/>
  <c r="V1552"/>
  <c r="U1552"/>
  <c r="W1552" s="1"/>
  <c r="Z1552" l="1"/>
  <c r="AC1552"/>
  <c r="U1553"/>
  <c r="W1553" s="1"/>
  <c r="T1554"/>
  <c r="V1553"/>
  <c r="Z1553" l="1"/>
  <c r="AC1553"/>
  <c r="T1555"/>
  <c r="V1554"/>
  <c r="U1554"/>
  <c r="W1554" s="1"/>
  <c r="Z1554" l="1"/>
  <c r="AC1554"/>
  <c r="U1555"/>
  <c r="W1555" s="1"/>
  <c r="T1556"/>
  <c r="V1555"/>
  <c r="Z1555" l="1"/>
  <c r="AC1555"/>
  <c r="T1557"/>
  <c r="V1556"/>
  <c r="U1556"/>
  <c r="S1557" l="1"/>
  <c r="U1557"/>
  <c r="W1557" s="1"/>
  <c r="V1557"/>
  <c r="T1558"/>
  <c r="Z1557" l="1"/>
  <c r="AC1557"/>
  <c r="U1558"/>
  <c r="W1558" s="1"/>
  <c r="T1559"/>
  <c r="V1558"/>
  <c r="Z1558" l="1"/>
  <c r="AC1558"/>
  <c r="T1560"/>
  <c r="V1559"/>
  <c r="U1559"/>
  <c r="W1559" s="1"/>
  <c r="Z1559" l="1"/>
  <c r="AC1559"/>
  <c r="U1560"/>
  <c r="W1560" s="1"/>
  <c r="T1561"/>
  <c r="V1560"/>
  <c r="Z1560" l="1"/>
  <c r="AC1560"/>
  <c r="T1562"/>
  <c r="V1561"/>
  <c r="U1561"/>
  <c r="W1561" s="1"/>
  <c r="Z1561" l="1"/>
  <c r="AC1561"/>
  <c r="U1562"/>
  <c r="T1563"/>
  <c r="V1562"/>
  <c r="U1563" l="1"/>
  <c r="W1563" s="1"/>
  <c r="S1563"/>
  <c r="T1564"/>
  <c r="V1563"/>
  <c r="Z1563" l="1"/>
  <c r="AC1563"/>
  <c r="T1565"/>
  <c r="V1564"/>
  <c r="U1564"/>
  <c r="W1564" s="1"/>
  <c r="Z1564" l="1"/>
  <c r="AC1564"/>
  <c r="U1565"/>
  <c r="W1565" s="1"/>
  <c r="T1566"/>
  <c r="V1565"/>
  <c r="Z1565" l="1"/>
  <c r="AC1565"/>
  <c r="T1567"/>
  <c r="V1566"/>
  <c r="U1566"/>
  <c r="W1566" s="1"/>
  <c r="Z1566" l="1"/>
  <c r="AC1566"/>
  <c r="U1567"/>
  <c r="W1567" s="1"/>
  <c r="T1568"/>
  <c r="V1567"/>
  <c r="Z1567" l="1"/>
  <c r="AC1567"/>
  <c r="T1569"/>
  <c r="V1568"/>
  <c r="U1568"/>
  <c r="S1569" l="1"/>
  <c r="U1569"/>
  <c r="W1569" s="1"/>
  <c r="V1569"/>
  <c r="T1570"/>
  <c r="Z1569" l="1"/>
  <c r="AC1569"/>
  <c r="U1570"/>
  <c r="W1570" s="1"/>
  <c r="T1571"/>
  <c r="V1570"/>
  <c r="Z1570" l="1"/>
  <c r="AC1570"/>
  <c r="T1572"/>
  <c r="V1571"/>
  <c r="U1571"/>
  <c r="W1571" s="1"/>
  <c r="Z1571" l="1"/>
  <c r="AC1571"/>
  <c r="U1572"/>
  <c r="W1572" s="1"/>
  <c r="T1573"/>
  <c r="V1572"/>
  <c r="Z1572" l="1"/>
  <c r="AC1572"/>
  <c r="T1574"/>
  <c r="V1573"/>
  <c r="U1573"/>
  <c r="W1573" s="1"/>
  <c r="Z1573" l="1"/>
  <c r="AC1573"/>
  <c r="U1574"/>
  <c r="T1575"/>
  <c r="V1574"/>
  <c r="U1575" l="1"/>
  <c r="W1575" s="1"/>
  <c r="S1575"/>
  <c r="T1576"/>
  <c r="V1575"/>
  <c r="Z1575" l="1"/>
  <c r="AC1575"/>
  <c r="T1577"/>
  <c r="V1576"/>
  <c r="U1576"/>
  <c r="W1576" s="1"/>
  <c r="Z1576" l="1"/>
  <c r="AC1576"/>
  <c r="U1577"/>
  <c r="W1577" s="1"/>
  <c r="T1578"/>
  <c r="V1577"/>
  <c r="Z1577" l="1"/>
  <c r="AC1577"/>
  <c r="T1579"/>
  <c r="V1578"/>
  <c r="U1578"/>
  <c r="W1578" s="1"/>
  <c r="Z1578" l="1"/>
  <c r="AC1578"/>
  <c r="U1579"/>
  <c r="W1579" s="1"/>
  <c r="T1580"/>
  <c r="V1579"/>
  <c r="Z1579" l="1"/>
  <c r="AC1579"/>
  <c r="T1581"/>
  <c r="V1580"/>
  <c r="U1580"/>
  <c r="S1581" l="1"/>
  <c r="U1581"/>
  <c r="W1581" s="1"/>
  <c r="V1581"/>
  <c r="T1582"/>
  <c r="Z1581" l="1"/>
  <c r="AC1581"/>
  <c r="U1582"/>
  <c r="W1582" s="1"/>
  <c r="T1583"/>
  <c r="V1582"/>
  <c r="Z1582" l="1"/>
  <c r="AC1582"/>
  <c r="T1584"/>
  <c r="V1583"/>
  <c r="U1583"/>
  <c r="W1583" s="1"/>
  <c r="Z1583" l="1"/>
  <c r="AC1583"/>
  <c r="U1584"/>
  <c r="W1584" s="1"/>
  <c r="T1585"/>
  <c r="V1584"/>
  <c r="Z1584" l="1"/>
  <c r="AC1584"/>
  <c r="T1586"/>
  <c r="V1585"/>
  <c r="U1585"/>
  <c r="W1585" s="1"/>
  <c r="Z1585" l="1"/>
  <c r="AC1585"/>
  <c r="U1586"/>
  <c r="T1587"/>
  <c r="V1586"/>
  <c r="U1587" l="1"/>
  <c r="W1587" s="1"/>
  <c r="S1587"/>
  <c r="T1588"/>
  <c r="V1587"/>
  <c r="Z1587" l="1"/>
  <c r="AC1587"/>
  <c r="T1589"/>
  <c r="V1588"/>
  <c r="U1588"/>
  <c r="W1588" s="1"/>
  <c r="Z1588" l="1"/>
  <c r="AC1588"/>
  <c r="U1589"/>
  <c r="W1589" s="1"/>
  <c r="T1590"/>
  <c r="V1589"/>
  <c r="Z1589" l="1"/>
  <c r="AC1589"/>
  <c r="T1591"/>
  <c r="V1590"/>
  <c r="U1590"/>
  <c r="W1590" s="1"/>
  <c r="Z1590" l="1"/>
  <c r="AC1590"/>
  <c r="U1591"/>
  <c r="W1591" s="1"/>
  <c r="T1592"/>
  <c r="V1591"/>
  <c r="Z1591" l="1"/>
  <c r="AC1591"/>
  <c r="T1593"/>
  <c r="V1592"/>
  <c r="U1592"/>
  <c r="S1593" l="1"/>
  <c r="U1593"/>
  <c r="W1593" s="1"/>
  <c r="V1593"/>
  <c r="T1594"/>
  <c r="Z1593" l="1"/>
  <c r="AC1593"/>
  <c r="U1594"/>
  <c r="W1594" s="1"/>
  <c r="T1595"/>
  <c r="V1594"/>
  <c r="Z1594" l="1"/>
  <c r="AC1594"/>
  <c r="T1596"/>
  <c r="V1595"/>
  <c r="U1595"/>
  <c r="W1595" s="1"/>
  <c r="Z1595" l="1"/>
  <c r="AC1595"/>
  <c r="U1596"/>
  <c r="W1596" s="1"/>
  <c r="T1597"/>
  <c r="V1596"/>
  <c r="Z1596" l="1"/>
  <c r="AC1596"/>
  <c r="T1598"/>
  <c r="V1597"/>
  <c r="U1597"/>
  <c r="W1597" s="1"/>
  <c r="Z1597" l="1"/>
  <c r="AC1597"/>
  <c r="U1598"/>
  <c r="T1599"/>
  <c r="V1598"/>
  <c r="U1599" l="1"/>
  <c r="W1599" s="1"/>
  <c r="S1599"/>
  <c r="T1600"/>
  <c r="V1599"/>
  <c r="Z1599" l="1"/>
  <c r="AC1599"/>
  <c r="T1601"/>
  <c r="V1600"/>
  <c r="U1600"/>
  <c r="W1600" s="1"/>
  <c r="Z1600" l="1"/>
  <c r="AC1600"/>
  <c r="U1601"/>
  <c r="W1601" s="1"/>
  <c r="T1602"/>
  <c r="V1601"/>
  <c r="Z1601" l="1"/>
  <c r="AC1601"/>
  <c r="T1603"/>
  <c r="V1602"/>
  <c r="U1602"/>
  <c r="W1602" s="1"/>
  <c r="Z1602" l="1"/>
  <c r="AC1602"/>
  <c r="U1603"/>
  <c r="W1603" s="1"/>
  <c r="T1604"/>
  <c r="V1603"/>
  <c r="Z1603" l="1"/>
  <c r="AC1603"/>
  <c r="T1605"/>
  <c r="V1604"/>
  <c r="U1604"/>
  <c r="S1605" l="1"/>
  <c r="U1605"/>
  <c r="W1605" s="1"/>
  <c r="V1605"/>
  <c r="T1606"/>
  <c r="Z1605" l="1"/>
  <c r="AC1605"/>
  <c r="U1606"/>
  <c r="W1606" s="1"/>
  <c r="T1607"/>
  <c r="V1606"/>
  <c r="Z1606" l="1"/>
  <c r="AC1606"/>
  <c r="T1608"/>
  <c r="V1607"/>
  <c r="U1607"/>
  <c r="W1607" s="1"/>
  <c r="Z1607" l="1"/>
  <c r="AC1607"/>
  <c r="U1608"/>
  <c r="W1608" s="1"/>
  <c r="T1609"/>
  <c r="V1608"/>
  <c r="Z1608" l="1"/>
  <c r="AC1608"/>
  <c r="T1610"/>
  <c r="V1609"/>
  <c r="U1609"/>
  <c r="W1609" s="1"/>
  <c r="Z1609" l="1"/>
  <c r="AC1609"/>
  <c r="U1610"/>
  <c r="T1611"/>
  <c r="V1610"/>
  <c r="U1611" l="1"/>
  <c r="W1611" s="1"/>
  <c r="S1611"/>
  <c r="T1612"/>
  <c r="V1611"/>
  <c r="Z1611" l="1"/>
  <c r="AC1611"/>
  <c r="T1613"/>
  <c r="V1612"/>
  <c r="U1612"/>
  <c r="W1612" s="1"/>
  <c r="Z1612" l="1"/>
  <c r="AC1612"/>
  <c r="U1613"/>
  <c r="W1613" s="1"/>
  <c r="T1614"/>
  <c r="V1613"/>
  <c r="Z1613" l="1"/>
  <c r="AC1613"/>
  <c r="T1615"/>
  <c r="V1614"/>
  <c r="U1614"/>
  <c r="W1614" s="1"/>
  <c r="Z1614" l="1"/>
  <c r="AC1614"/>
  <c r="U1615"/>
  <c r="W1615" s="1"/>
  <c r="T1616"/>
  <c r="V1615"/>
  <c r="Z1615" l="1"/>
  <c r="AC1615"/>
  <c r="T1617"/>
  <c r="V1616"/>
  <c r="U1616"/>
  <c r="S1617" l="1"/>
  <c r="U1617"/>
  <c r="W1617" s="1"/>
  <c r="V1617"/>
  <c r="T1618"/>
  <c r="Z1617" l="1"/>
  <c r="AC1617"/>
  <c r="U1618"/>
  <c r="W1618" s="1"/>
  <c r="T1619"/>
  <c r="V1618"/>
  <c r="Z1618" l="1"/>
  <c r="AC1618"/>
  <c r="T1620"/>
  <c r="V1619"/>
  <c r="U1619"/>
  <c r="W1619" s="1"/>
  <c r="Z1619" l="1"/>
  <c r="AC1619"/>
  <c r="U1620"/>
  <c r="W1620" s="1"/>
  <c r="T1621"/>
  <c r="V1620"/>
  <c r="Z1620" l="1"/>
  <c r="AC1620"/>
  <c r="T1622"/>
  <c r="V1621"/>
  <c r="U1621"/>
  <c r="W1621" s="1"/>
  <c r="Z1621" l="1"/>
  <c r="AC1621"/>
  <c r="U1622"/>
  <c r="T1623"/>
  <c r="V1622"/>
  <c r="U1623" l="1"/>
  <c r="W1623" s="1"/>
  <c r="S1623"/>
  <c r="T1624"/>
  <c r="V1623"/>
  <c r="Z1623" l="1"/>
  <c r="AC1623"/>
  <c r="T1625"/>
  <c r="V1624"/>
  <c r="U1624"/>
  <c r="W1624" s="1"/>
  <c r="Z1624" l="1"/>
  <c r="AC1624"/>
  <c r="U1625"/>
  <c r="W1625" s="1"/>
  <c r="T1626"/>
  <c r="V1625"/>
  <c r="Z1625" l="1"/>
  <c r="AC1625"/>
  <c r="T1627"/>
  <c r="V1626"/>
  <c r="U1626"/>
  <c r="W1626" s="1"/>
  <c r="Z1626" l="1"/>
  <c r="AC1626"/>
  <c r="U1627"/>
  <c r="W1627" s="1"/>
  <c r="T1628"/>
  <c r="V1627"/>
  <c r="Z1627" l="1"/>
  <c r="AC1627"/>
  <c r="T1629"/>
  <c r="V1628"/>
  <c r="U1628"/>
  <c r="S1629" l="1"/>
  <c r="U1629"/>
  <c r="W1629" s="1"/>
  <c r="V1629"/>
  <c r="T1630"/>
  <c r="Z1629" l="1"/>
  <c r="AC1629"/>
  <c r="U1630"/>
  <c r="W1630" s="1"/>
  <c r="T1631"/>
  <c r="V1630"/>
  <c r="Z1630" l="1"/>
  <c r="AC1630"/>
  <c r="T1632"/>
  <c r="V1631"/>
  <c r="U1631"/>
  <c r="W1631" s="1"/>
  <c r="Z1631" l="1"/>
  <c r="AC1631"/>
  <c r="U1632"/>
  <c r="W1632" s="1"/>
  <c r="T1633"/>
  <c r="V1632"/>
  <c r="Z1632" l="1"/>
  <c r="AC1632"/>
  <c r="T1634"/>
  <c r="V1633"/>
  <c r="U1633"/>
  <c r="W1633" s="1"/>
  <c r="Z1633" l="1"/>
  <c r="AC1633"/>
  <c r="U1634"/>
  <c r="T1635"/>
  <c r="V1634"/>
  <c r="U1635" l="1"/>
  <c r="W1635" s="1"/>
  <c r="S1635"/>
  <c r="T1636"/>
  <c r="V1635"/>
  <c r="Z1635" l="1"/>
  <c r="AC1635"/>
  <c r="T1637"/>
  <c r="V1636"/>
  <c r="U1636"/>
  <c r="W1636" s="1"/>
  <c r="Z1636" l="1"/>
  <c r="AC1636"/>
  <c r="U1637"/>
  <c r="W1637" s="1"/>
  <c r="T1638"/>
  <c r="V1637"/>
  <c r="Z1637" l="1"/>
  <c r="AC1637"/>
  <c r="T1639"/>
  <c r="V1638"/>
  <c r="U1638"/>
  <c r="W1638" s="1"/>
  <c r="Z1638" l="1"/>
  <c r="AC1638"/>
  <c r="U1639"/>
  <c r="W1639" s="1"/>
  <c r="T1640"/>
  <c r="V1639"/>
  <c r="Z1639" l="1"/>
  <c r="AC1639"/>
  <c r="T1641"/>
  <c r="V1640"/>
  <c r="U1640"/>
  <c r="S1641" l="1"/>
  <c r="U1641"/>
  <c r="W1641" s="1"/>
  <c r="V1641"/>
  <c r="T1642"/>
  <c r="Z1641" l="1"/>
  <c r="AC1641"/>
  <c r="U1642"/>
  <c r="W1642" s="1"/>
  <c r="T1643"/>
  <c r="V1642"/>
  <c r="Z1642" l="1"/>
  <c r="AC1642"/>
  <c r="T1644"/>
  <c r="V1643"/>
  <c r="U1643"/>
  <c r="W1643" s="1"/>
  <c r="Z1643" l="1"/>
  <c r="AC1643"/>
  <c r="U1644"/>
  <c r="W1644" s="1"/>
  <c r="T1645"/>
  <c r="V1644"/>
  <c r="Z1644" l="1"/>
  <c r="AC1644"/>
  <c r="T1646"/>
  <c r="V1645"/>
  <c r="U1645"/>
  <c r="W1645" s="1"/>
  <c r="Z1645" l="1"/>
  <c r="AC1645"/>
  <c r="U1646"/>
  <c r="T1647"/>
  <c r="V1646"/>
  <c r="U1647" l="1"/>
  <c r="W1647" s="1"/>
  <c r="S1647"/>
  <c r="T1648"/>
  <c r="V1647"/>
  <c r="Z1647" l="1"/>
  <c r="AC1647"/>
  <c r="T1649"/>
  <c r="V1648"/>
  <c r="U1648"/>
  <c r="W1648" s="1"/>
  <c r="Z1648" l="1"/>
  <c r="AC1648"/>
  <c r="U1649"/>
  <c r="W1649" s="1"/>
  <c r="T1650"/>
  <c r="V1649"/>
  <c r="Z1649" l="1"/>
  <c r="AC1649"/>
  <c r="T1651"/>
  <c r="V1650"/>
  <c r="U1650"/>
  <c r="W1650" s="1"/>
  <c r="Z1650" l="1"/>
  <c r="AC1650"/>
  <c r="U1651"/>
  <c r="W1651" s="1"/>
  <c r="T1652"/>
  <c r="V1651"/>
  <c r="Z1651" l="1"/>
  <c r="AC1651"/>
  <c r="T1653"/>
  <c r="V1652"/>
  <c r="U1652"/>
  <c r="S1653" l="1"/>
  <c r="U1653"/>
  <c r="W1653" s="1"/>
  <c r="V1653"/>
  <c r="T1654"/>
  <c r="Z1653" l="1"/>
  <c r="AC1653"/>
  <c r="U1654"/>
  <c r="W1654" s="1"/>
  <c r="T1655"/>
  <c r="V1654"/>
  <c r="Z1654" l="1"/>
  <c r="AC1654"/>
  <c r="T1656"/>
  <c r="V1655"/>
  <c r="U1655"/>
  <c r="W1655" s="1"/>
  <c r="Z1655" l="1"/>
  <c r="AC1655"/>
  <c r="U1656"/>
  <c r="W1656" s="1"/>
  <c r="T1657"/>
  <c r="V1656"/>
  <c r="Z1656" l="1"/>
  <c r="AC1656"/>
  <c r="T1658"/>
  <c r="V1657"/>
  <c r="U1657"/>
  <c r="W1657" s="1"/>
  <c r="Z1657" l="1"/>
  <c r="AC1657"/>
  <c r="U1658"/>
  <c r="T1659"/>
  <c r="V1658"/>
  <c r="U1659" l="1"/>
  <c r="W1659" s="1"/>
  <c r="S1659"/>
  <c r="T1660"/>
  <c r="V1659"/>
  <c r="Z1659" l="1"/>
  <c r="AC1659"/>
  <c r="T1661"/>
  <c r="V1660"/>
  <c r="U1660"/>
  <c r="W1660" s="1"/>
  <c r="Z1660" l="1"/>
  <c r="AC1660"/>
  <c r="U1661"/>
  <c r="W1661" s="1"/>
  <c r="T1662"/>
  <c r="V1661"/>
  <c r="Z1661" l="1"/>
  <c r="AC1661"/>
  <c r="T1663"/>
  <c r="V1662"/>
  <c r="U1662"/>
  <c r="W1662" s="1"/>
  <c r="Z1662" l="1"/>
  <c r="AC1662"/>
  <c r="U1663"/>
  <c r="W1663" s="1"/>
  <c r="T1664"/>
  <c r="V1663"/>
  <c r="Z1663" l="1"/>
  <c r="AC1663"/>
  <c r="T1665"/>
  <c r="V1664"/>
  <c r="U1664"/>
  <c r="S1665" l="1"/>
  <c r="U1665"/>
  <c r="W1665" s="1"/>
  <c r="V1665"/>
  <c r="T1666"/>
  <c r="Z1665" l="1"/>
  <c r="AC1665"/>
  <c r="U1666"/>
  <c r="W1666" s="1"/>
  <c r="T1667"/>
  <c r="V1666"/>
  <c r="Z1666" l="1"/>
  <c r="AC1666"/>
  <c r="T1668"/>
  <c r="V1667"/>
  <c r="U1667"/>
  <c r="W1667" s="1"/>
  <c r="Z1667" l="1"/>
  <c r="AC1667"/>
  <c r="U1668"/>
  <c r="W1668" s="1"/>
  <c r="T1669"/>
  <c r="V1668"/>
  <c r="Z1668" l="1"/>
  <c r="AC1668"/>
  <c r="T1670"/>
  <c r="V1669"/>
  <c r="U1669"/>
  <c r="W1669" s="1"/>
  <c r="Z1669" l="1"/>
  <c r="AC1669"/>
  <c r="U1670"/>
  <c r="T1671"/>
  <c r="V1670"/>
  <c r="U1671" l="1"/>
  <c r="W1671" s="1"/>
  <c r="S1671"/>
  <c r="T1672"/>
  <c r="V1671"/>
  <c r="Z1671" l="1"/>
  <c r="AC1671"/>
  <c r="T1673"/>
  <c r="V1672"/>
  <c r="U1672"/>
  <c r="W1672" s="1"/>
  <c r="Z1672" l="1"/>
  <c r="AC1672"/>
  <c r="U1673"/>
  <c r="W1673" s="1"/>
  <c r="T1674"/>
  <c r="V1673"/>
  <c r="Z1673" l="1"/>
  <c r="AC1673"/>
  <c r="T1675"/>
  <c r="V1674"/>
  <c r="U1674"/>
  <c r="W1674" s="1"/>
  <c r="Z1674" l="1"/>
  <c r="AC1674"/>
  <c r="U1675"/>
  <c r="W1675" s="1"/>
  <c r="T1676"/>
  <c r="V1675"/>
  <c r="Z1675" l="1"/>
  <c r="AC1675"/>
  <c r="T1677"/>
  <c r="V1676"/>
  <c r="U1676"/>
  <c r="S1677" l="1"/>
  <c r="U1677"/>
  <c r="W1677" s="1"/>
  <c r="V1677"/>
  <c r="T1678"/>
  <c r="Z1677" l="1"/>
  <c r="AC1677"/>
  <c r="U1678"/>
  <c r="W1678" s="1"/>
  <c r="T1679"/>
  <c r="V1678"/>
  <c r="Z1678" l="1"/>
  <c r="AC1678"/>
  <c r="T1680"/>
  <c r="V1679"/>
  <c r="U1679"/>
  <c r="W1679" s="1"/>
  <c r="Z1679" l="1"/>
  <c r="AC1679"/>
  <c r="U1680"/>
  <c r="W1680" s="1"/>
  <c r="T1681"/>
  <c r="V1680"/>
  <c r="Z1680" l="1"/>
  <c r="AC1680"/>
  <c r="T1682"/>
  <c r="V1681"/>
  <c r="U1681"/>
  <c r="W1681" s="1"/>
  <c r="Z1681" l="1"/>
  <c r="AC1681"/>
  <c r="U1682"/>
  <c r="T1683"/>
  <c r="V1682"/>
  <c r="U1683" l="1"/>
  <c r="W1683" s="1"/>
  <c r="S1683"/>
  <c r="T1684"/>
  <c r="V1683"/>
  <c r="Z1683" l="1"/>
  <c r="AC1683"/>
  <c r="T1685"/>
  <c r="V1684"/>
  <c r="U1684"/>
  <c r="W1684" s="1"/>
  <c r="Z1684" l="1"/>
  <c r="AC1684"/>
  <c r="U1685"/>
  <c r="W1685" s="1"/>
  <c r="T1686"/>
  <c r="V1685"/>
  <c r="Z1685" l="1"/>
  <c r="AC1685"/>
  <c r="T1687"/>
  <c r="V1686"/>
  <c r="U1686"/>
  <c r="W1686" s="1"/>
  <c r="Z1686" l="1"/>
  <c r="AC1686"/>
  <c r="U1687"/>
  <c r="W1687" s="1"/>
  <c r="T1688"/>
  <c r="V1687"/>
  <c r="Z1687" l="1"/>
  <c r="AC1687"/>
  <c r="T1689"/>
  <c r="V1688"/>
  <c r="U1688"/>
  <c r="S1689" l="1"/>
  <c r="U1689"/>
  <c r="W1689" s="1"/>
  <c r="V1689"/>
  <c r="T1690"/>
  <c r="Z1689" l="1"/>
  <c r="AC1689"/>
  <c r="U1690"/>
  <c r="W1690" s="1"/>
  <c r="T1691"/>
  <c r="V1690"/>
  <c r="Z1690" l="1"/>
  <c r="AC1690"/>
  <c r="T1692"/>
  <c r="V1691"/>
  <c r="U1691"/>
  <c r="W1691" s="1"/>
  <c r="Z1691" l="1"/>
  <c r="AC1691"/>
  <c r="U1692"/>
  <c r="W1692" s="1"/>
  <c r="T1693"/>
  <c r="V1692"/>
  <c r="Z1692" l="1"/>
  <c r="AC1692"/>
  <c r="T1694"/>
  <c r="V1693"/>
  <c r="U1693"/>
  <c r="W1693" s="1"/>
  <c r="Z1693" l="1"/>
  <c r="AC1693"/>
  <c r="U1694"/>
  <c r="T1695"/>
  <c r="V1694"/>
  <c r="U1695" l="1"/>
  <c r="W1695" s="1"/>
  <c r="S1695"/>
  <c r="T1696"/>
  <c r="V1695"/>
  <c r="Z1695" l="1"/>
  <c r="AC1695"/>
  <c r="T1697"/>
  <c r="V1696"/>
  <c r="U1696"/>
  <c r="W1696" s="1"/>
  <c r="Z1696" l="1"/>
  <c r="AC1696"/>
  <c r="U1697"/>
  <c r="W1697" s="1"/>
  <c r="T1698"/>
  <c r="V1697"/>
  <c r="Z1697" l="1"/>
  <c r="AC1697"/>
  <c r="T1699"/>
  <c r="V1698"/>
  <c r="U1698"/>
  <c r="W1698" s="1"/>
  <c r="Z1698" l="1"/>
  <c r="AC1698"/>
  <c r="U1699"/>
  <c r="W1699" s="1"/>
  <c r="T1700"/>
  <c r="V1699"/>
  <c r="Z1699" l="1"/>
  <c r="AC1699"/>
  <c r="T1701"/>
  <c r="V1700"/>
  <c r="U1700"/>
  <c r="S1701" l="1"/>
  <c r="U1701"/>
  <c r="W1701" s="1"/>
  <c r="V1701"/>
  <c r="T1702"/>
  <c r="Z1701" l="1"/>
  <c r="AC1701"/>
  <c r="U1702"/>
  <c r="W1702" s="1"/>
  <c r="T1703"/>
  <c r="V1702"/>
  <c r="Z1702" l="1"/>
  <c r="AC1702"/>
  <c r="T1704"/>
  <c r="V1703"/>
  <c r="U1703"/>
  <c r="W1703" s="1"/>
  <c r="Z1703" l="1"/>
  <c r="AC1703"/>
  <c r="U1704"/>
  <c r="W1704" s="1"/>
  <c r="T1705"/>
  <c r="V1704"/>
  <c r="Z1704" l="1"/>
  <c r="AC1704"/>
  <c r="T1706"/>
  <c r="V1705"/>
  <c r="U1705"/>
  <c r="W1705" s="1"/>
  <c r="Z1705" l="1"/>
  <c r="AC1705"/>
  <c r="U1706"/>
  <c r="T1707"/>
  <c r="V1706"/>
  <c r="U1707" l="1"/>
  <c r="W1707" s="1"/>
  <c r="S1707"/>
  <c r="T1708"/>
  <c r="V1707"/>
  <c r="Z1707" l="1"/>
  <c r="AC1707"/>
  <c r="T1709"/>
  <c r="V1708"/>
  <c r="U1708"/>
  <c r="W1708" s="1"/>
  <c r="Z1708" l="1"/>
  <c r="AC1708"/>
  <c r="U1709"/>
  <c r="W1709" s="1"/>
  <c r="T1710"/>
  <c r="V1709"/>
  <c r="Z1709" l="1"/>
  <c r="AC1709"/>
  <c r="T1711"/>
  <c r="V1710"/>
  <c r="U1710"/>
  <c r="W1710" s="1"/>
  <c r="Z1710" l="1"/>
  <c r="AC1710"/>
  <c r="U1711"/>
  <c r="W1711" s="1"/>
  <c r="T1712"/>
  <c r="V1711"/>
  <c r="Z1711" l="1"/>
  <c r="AC1711"/>
  <c r="T1713"/>
  <c r="V1712"/>
  <c r="U1712"/>
  <c r="S1713" l="1"/>
  <c r="U1713"/>
  <c r="W1713" s="1"/>
  <c r="V1713"/>
  <c r="T1714"/>
  <c r="Z1713" l="1"/>
  <c r="AC1713"/>
  <c r="U1714"/>
  <c r="W1714" s="1"/>
  <c r="T1715"/>
  <c r="V1714"/>
  <c r="Z1714" l="1"/>
  <c r="AC1714"/>
  <c r="T1716"/>
  <c r="V1715"/>
  <c r="U1715"/>
  <c r="W1715" s="1"/>
  <c r="Z1715" l="1"/>
  <c r="AC1715"/>
  <c r="U1716"/>
  <c r="W1716" s="1"/>
  <c r="T1717"/>
  <c r="V1716"/>
  <c r="Z1716" l="1"/>
  <c r="AC1716"/>
  <c r="T1718"/>
  <c r="V1717"/>
  <c r="U1717"/>
  <c r="W1717" s="1"/>
  <c r="Z1717" l="1"/>
  <c r="AC1717"/>
  <c r="U1718"/>
  <c r="T1719"/>
  <c r="V1718"/>
  <c r="U1719" l="1"/>
  <c r="W1719" s="1"/>
  <c r="S1719"/>
  <c r="T1720"/>
  <c r="V1719"/>
  <c r="Z1719" l="1"/>
  <c r="AC1719"/>
  <c r="T1721"/>
  <c r="V1720"/>
  <c r="U1720"/>
  <c r="W1720" s="1"/>
  <c r="Z1720" l="1"/>
  <c r="AC1720"/>
  <c r="U1721"/>
  <c r="W1721" s="1"/>
  <c r="T1722"/>
  <c r="V1721"/>
  <c r="Z1721" l="1"/>
  <c r="AC1721"/>
  <c r="T1723"/>
  <c r="V1722"/>
  <c r="U1722"/>
  <c r="W1722" s="1"/>
  <c r="Z1722" l="1"/>
  <c r="AC1722"/>
  <c r="U1723"/>
  <c r="W1723" s="1"/>
  <c r="T1724"/>
  <c r="V1723"/>
  <c r="Z1723" l="1"/>
  <c r="AC1723"/>
  <c r="T1725"/>
  <c r="V1724"/>
  <c r="U1724"/>
  <c r="S1725" l="1"/>
  <c r="U1725"/>
  <c r="W1725" s="1"/>
  <c r="V1725"/>
  <c r="T1726"/>
  <c r="Z1725" l="1"/>
  <c r="AC1725"/>
  <c r="U1726"/>
  <c r="W1726" s="1"/>
  <c r="T1727"/>
  <c r="V1726"/>
  <c r="Z1726" l="1"/>
  <c r="AC1726"/>
  <c r="T1728"/>
  <c r="V1727"/>
  <c r="U1727"/>
  <c r="W1727" s="1"/>
  <c r="Z1727" l="1"/>
  <c r="AC1727"/>
  <c r="U1728"/>
  <c r="W1728" s="1"/>
  <c r="T1729"/>
  <c r="V1728"/>
  <c r="Z1728" l="1"/>
  <c r="AC1728"/>
  <c r="T1730"/>
  <c r="V1729"/>
  <c r="U1729"/>
  <c r="W1729" s="1"/>
  <c r="Z1729" l="1"/>
  <c r="AC1729"/>
  <c r="U1730"/>
  <c r="T1731"/>
  <c r="V1730"/>
  <c r="U1731" l="1"/>
  <c r="W1731" s="1"/>
  <c r="S1731"/>
  <c r="T1732"/>
  <c r="V1731"/>
  <c r="Z1731" l="1"/>
  <c r="AC1731"/>
  <c r="T1733"/>
  <c r="V1732"/>
  <c r="U1732"/>
  <c r="W1732" s="1"/>
  <c r="Z1732" l="1"/>
  <c r="AC1732"/>
  <c r="U1733"/>
  <c r="W1733" s="1"/>
  <c r="T1734"/>
  <c r="V1733"/>
  <c r="Z1733" l="1"/>
  <c r="AC1733"/>
  <c r="T1735"/>
  <c r="V1734"/>
  <c r="U1734"/>
  <c r="W1734" s="1"/>
  <c r="Z1734" l="1"/>
  <c r="AC1734"/>
  <c r="U1735"/>
  <c r="W1735" s="1"/>
  <c r="T1736"/>
  <c r="V1735"/>
  <c r="Z1735" l="1"/>
  <c r="AC1735"/>
  <c r="T1737"/>
  <c r="V1736"/>
  <c r="U1736"/>
  <c r="S1737" l="1"/>
  <c r="U1737"/>
  <c r="W1737" s="1"/>
  <c r="V1737"/>
  <c r="T1738"/>
  <c r="Z1737" l="1"/>
  <c r="AC1737"/>
  <c r="U1738"/>
  <c r="W1738" s="1"/>
  <c r="T1739"/>
  <c r="V1738"/>
  <c r="Z1738" l="1"/>
  <c r="AC1738"/>
  <c r="T1740"/>
  <c r="V1739"/>
  <c r="U1739"/>
  <c r="W1739" s="1"/>
  <c r="Z1739" l="1"/>
  <c r="AC1739"/>
  <c r="U1740"/>
  <c r="W1740" s="1"/>
  <c r="T1741"/>
  <c r="V1740"/>
  <c r="Z1740" l="1"/>
  <c r="AC1740"/>
  <c r="T1742"/>
  <c r="V1741"/>
  <c r="U1741"/>
  <c r="W1741" s="1"/>
  <c r="Z1741" l="1"/>
  <c r="AC1741"/>
  <c r="U1742"/>
  <c r="T1743"/>
  <c r="V1742"/>
  <c r="U1743" l="1"/>
  <c r="W1743" s="1"/>
  <c r="S1743"/>
  <c r="T1744"/>
  <c r="V1743"/>
  <c r="Z1743" l="1"/>
  <c r="AC1743"/>
  <c r="T1745"/>
  <c r="V1744"/>
  <c r="U1744"/>
  <c r="W1744" s="1"/>
  <c r="Z1744" l="1"/>
  <c r="AC1744"/>
  <c r="U1745"/>
  <c r="W1745" s="1"/>
  <c r="T1746"/>
  <c r="V1745"/>
  <c r="Z1745" l="1"/>
  <c r="AC1745"/>
  <c r="T1747"/>
  <c r="V1746"/>
  <c r="U1746"/>
  <c r="W1746" s="1"/>
  <c r="Z1746" l="1"/>
  <c r="AC1746"/>
  <c r="U1747"/>
  <c r="W1747" s="1"/>
  <c r="T1748"/>
  <c r="V1747"/>
  <c r="Z1747" l="1"/>
  <c r="AC1747"/>
  <c r="T1749"/>
  <c r="V1748"/>
  <c r="U1748"/>
  <c r="S1749" l="1"/>
  <c r="U1749"/>
  <c r="W1749" s="1"/>
  <c r="V1749"/>
  <c r="T1750"/>
  <c r="Z1749" l="1"/>
  <c r="AC1749"/>
  <c r="U1750"/>
  <c r="W1750" s="1"/>
  <c r="T1751"/>
  <c r="V1750"/>
  <c r="Z1750" l="1"/>
  <c r="AC1750"/>
  <c r="T1752"/>
  <c r="V1751"/>
  <c r="U1751"/>
  <c r="W1751" s="1"/>
  <c r="Z1751" l="1"/>
  <c r="AC1751"/>
  <c r="U1752"/>
  <c r="W1752" s="1"/>
  <c r="T1753"/>
  <c r="V1752"/>
  <c r="Z1752" l="1"/>
  <c r="AC1752"/>
  <c r="T1754"/>
  <c r="V1753"/>
  <c r="U1753"/>
  <c r="W1753" s="1"/>
  <c r="Z1753" l="1"/>
  <c r="AC1753"/>
  <c r="U1754"/>
  <c r="T1755"/>
  <c r="V1754"/>
  <c r="U1755" l="1"/>
  <c r="W1755" s="1"/>
  <c r="S1755"/>
  <c r="T1756"/>
  <c r="V1755"/>
  <c r="Z1755" l="1"/>
  <c r="AC1755"/>
  <c r="T1757"/>
  <c r="V1756"/>
  <c r="U1756"/>
  <c r="W1756" s="1"/>
  <c r="Z1756" l="1"/>
  <c r="AC1756"/>
  <c r="U1757"/>
  <c r="W1757" s="1"/>
  <c r="T1758"/>
  <c r="V1757"/>
  <c r="Z1757" l="1"/>
  <c r="AC1757"/>
  <c r="T1759"/>
  <c r="V1758"/>
  <c r="U1758"/>
  <c r="W1758" s="1"/>
  <c r="Z1758" l="1"/>
  <c r="AC1758"/>
  <c r="U1759"/>
  <c r="W1759" s="1"/>
  <c r="T1760"/>
  <c r="V1759"/>
  <c r="Z1759" l="1"/>
  <c r="AC1759"/>
  <c r="T1761"/>
  <c r="V1760"/>
  <c r="U1760"/>
  <c r="S1761" l="1"/>
  <c r="U1761"/>
  <c r="W1761" s="1"/>
  <c r="V1761"/>
  <c r="T1762"/>
  <c r="Z1761" l="1"/>
  <c r="AC1761"/>
  <c r="U1762"/>
  <c r="W1762" s="1"/>
  <c r="T1763"/>
  <c r="V1762"/>
  <c r="Z1762" l="1"/>
  <c r="AC1762"/>
  <c r="T1764"/>
  <c r="V1763"/>
  <c r="U1763"/>
  <c r="W1763" s="1"/>
  <c r="Z1763" l="1"/>
  <c r="AC1763"/>
  <c r="U1764"/>
  <c r="W1764" s="1"/>
  <c r="T1765"/>
  <c r="V1764"/>
  <c r="Z1764" l="1"/>
  <c r="AC1764"/>
  <c r="T1766"/>
  <c r="V1765"/>
  <c r="U1765"/>
  <c r="W1765" s="1"/>
  <c r="Z1765" l="1"/>
  <c r="AC1765"/>
  <c r="U1766"/>
  <c r="T1767"/>
  <c r="V1766"/>
  <c r="U1767" l="1"/>
  <c r="W1767" s="1"/>
  <c r="S1767"/>
  <c r="T1768"/>
  <c r="V1767"/>
  <c r="Z1767" l="1"/>
  <c r="AC1767"/>
  <c r="T1769"/>
  <c r="V1768"/>
  <c r="U1768"/>
  <c r="W1768" s="1"/>
  <c r="Z1768" l="1"/>
  <c r="AC1768"/>
  <c r="U1769"/>
  <c r="W1769" s="1"/>
  <c r="T1770"/>
  <c r="V1769"/>
  <c r="Z1769" l="1"/>
  <c r="AC1769"/>
  <c r="T1771"/>
  <c r="V1770"/>
  <c r="U1770"/>
  <c r="W1770" s="1"/>
  <c r="Z1770" l="1"/>
  <c r="AC1770"/>
  <c r="U1771"/>
  <c r="W1771" s="1"/>
  <c r="T1772"/>
  <c r="V1771"/>
  <c r="Z1771" l="1"/>
  <c r="AC1771"/>
  <c r="T1773"/>
  <c r="V1772"/>
  <c r="U1772"/>
  <c r="S1773" l="1"/>
  <c r="U1773"/>
  <c r="W1773" s="1"/>
  <c r="V1773"/>
  <c r="T1774"/>
  <c r="Z1773" l="1"/>
  <c r="AC1773"/>
  <c r="U1774"/>
  <c r="W1774" s="1"/>
  <c r="T1775"/>
  <c r="V1774"/>
  <c r="Z1774" l="1"/>
  <c r="AC1774"/>
  <c r="T1776"/>
  <c r="V1775"/>
  <c r="U1775"/>
  <c r="W1775" s="1"/>
  <c r="Z1775" l="1"/>
  <c r="AC1775"/>
  <c r="U1776"/>
  <c r="W1776" s="1"/>
  <c r="T1777"/>
  <c r="V1776"/>
  <c r="Z1776" l="1"/>
  <c r="AC1776"/>
  <c r="T1778"/>
  <c r="V1777"/>
  <c r="U1777"/>
  <c r="W1777" s="1"/>
  <c r="Z1777" l="1"/>
  <c r="AC1777"/>
  <c r="U1778"/>
  <c r="T1779"/>
  <c r="V1778"/>
  <c r="U1779" l="1"/>
  <c r="W1779" s="1"/>
  <c r="S1779"/>
  <c r="T1780"/>
  <c r="V1779"/>
  <c r="Z1779" l="1"/>
  <c r="AC1779"/>
  <c r="T1781"/>
  <c r="V1780"/>
  <c r="U1780"/>
  <c r="W1780" s="1"/>
  <c r="Z1780" l="1"/>
  <c r="AC1780"/>
  <c r="U1781"/>
  <c r="W1781" s="1"/>
  <c r="T1782"/>
  <c r="V1781"/>
  <c r="Z1781" l="1"/>
  <c r="AC1781"/>
  <c r="T1783"/>
  <c r="V1782"/>
  <c r="U1782"/>
  <c r="W1782" s="1"/>
  <c r="Z1782" l="1"/>
  <c r="AC1782"/>
  <c r="U1783"/>
  <c r="W1783" s="1"/>
  <c r="T1784"/>
  <c r="V1783"/>
  <c r="Z1783" l="1"/>
  <c r="AC1783"/>
  <c r="T1785"/>
  <c r="V1784"/>
  <c r="U1784"/>
  <c r="S1785" l="1"/>
  <c r="U1785"/>
  <c r="W1785" s="1"/>
  <c r="V1785"/>
  <c r="T1786"/>
  <c r="Z1785" l="1"/>
  <c r="AC1785"/>
  <c r="U1786"/>
  <c r="W1786" s="1"/>
  <c r="T1787"/>
  <c r="V1786"/>
  <c r="Z1786" l="1"/>
  <c r="AC1786"/>
  <c r="T1788"/>
  <c r="V1787"/>
  <c r="U1787"/>
  <c r="W1787" s="1"/>
  <c r="Z1787" l="1"/>
  <c r="AC1787"/>
  <c r="U1788"/>
  <c r="W1788" s="1"/>
  <c r="T1789"/>
  <c r="V1788"/>
  <c r="Z1788" l="1"/>
  <c r="AC1788"/>
  <c r="T1790"/>
  <c r="V1789"/>
  <c r="U1789"/>
  <c r="W1789" s="1"/>
  <c r="Z1789" l="1"/>
  <c r="AC1789"/>
  <c r="U1790"/>
  <c r="T1791"/>
  <c r="V1790"/>
  <c r="U1791" l="1"/>
  <c r="W1791" s="1"/>
  <c r="S1791"/>
  <c r="T1792"/>
  <c r="V1791"/>
  <c r="Z1791" l="1"/>
  <c r="AC1791"/>
  <c r="T1793"/>
  <c r="V1792"/>
  <c r="U1792"/>
  <c r="W1792" s="1"/>
  <c r="Z1792" l="1"/>
  <c r="AC1792"/>
  <c r="U1793"/>
  <c r="W1793" s="1"/>
  <c r="T1794"/>
  <c r="V1793"/>
  <c r="Z1793" l="1"/>
  <c r="AC1793"/>
  <c r="T1795"/>
  <c r="V1794"/>
  <c r="U1794"/>
  <c r="W1794" s="1"/>
  <c r="Z1794" l="1"/>
  <c r="AC1794"/>
  <c r="U1795"/>
  <c r="W1795" s="1"/>
  <c r="T1796"/>
  <c r="V1795"/>
  <c r="Z1795" l="1"/>
  <c r="AC1795"/>
  <c r="T1797"/>
  <c r="V1796"/>
  <c r="U1796"/>
  <c r="S1797" l="1"/>
  <c r="U1797"/>
  <c r="W1797" s="1"/>
  <c r="V1797"/>
  <c r="T1798"/>
  <c r="Z1797" l="1"/>
  <c r="AC1797"/>
  <c r="U1798"/>
  <c r="W1798" s="1"/>
  <c r="T1799"/>
  <c r="V1798"/>
  <c r="Z1798" l="1"/>
  <c r="AC1798"/>
  <c r="T1800"/>
  <c r="V1799"/>
  <c r="U1799"/>
  <c r="W1799" s="1"/>
  <c r="Z1799" l="1"/>
  <c r="AC1799"/>
  <c r="U1800"/>
  <c r="W1800" s="1"/>
  <c r="T1801"/>
  <c r="V1800"/>
  <c r="Z1800" l="1"/>
  <c r="AC1800"/>
  <c r="T1802"/>
  <c r="V1801"/>
  <c r="U1801"/>
  <c r="W1801" s="1"/>
  <c r="Z1801" l="1"/>
  <c r="AC1801"/>
  <c r="U1802"/>
  <c r="T1803"/>
  <c r="V1802"/>
  <c r="U1803" l="1"/>
  <c r="W1803" s="1"/>
  <c r="S1803"/>
  <c r="T1804"/>
  <c r="V1803"/>
  <c r="Z1803" l="1"/>
  <c r="AC1803"/>
  <c r="T1805"/>
  <c r="V1804"/>
  <c r="U1804"/>
  <c r="W1804" s="1"/>
  <c r="Z1804" l="1"/>
  <c r="AC1804"/>
  <c r="U1805"/>
  <c r="W1805" s="1"/>
  <c r="T1806"/>
  <c r="V1805"/>
  <c r="Z1805" l="1"/>
  <c r="AC1805"/>
  <c r="T1807"/>
  <c r="V1806"/>
  <c r="U1806"/>
  <c r="W1806" s="1"/>
  <c r="Z1806" l="1"/>
  <c r="AC1806"/>
  <c r="U1807"/>
  <c r="W1807" s="1"/>
  <c r="T1808"/>
  <c r="V1807"/>
  <c r="Z1807" l="1"/>
  <c r="AC1807"/>
  <c r="T1809"/>
  <c r="V1808"/>
  <c r="U1808"/>
  <c r="S1809" l="1"/>
  <c r="U1809"/>
  <c r="W1809" s="1"/>
  <c r="V1809"/>
  <c r="T1810"/>
  <c r="Z1809" l="1"/>
  <c r="AC1809"/>
  <c r="U1810"/>
  <c r="W1810" s="1"/>
  <c r="T1811"/>
  <c r="V1810"/>
  <c r="Z1810" l="1"/>
  <c r="AC1810"/>
  <c r="T1812"/>
  <c r="V1811"/>
  <c r="U1811"/>
  <c r="W1811" s="1"/>
  <c r="Z1811" l="1"/>
  <c r="AC1811"/>
  <c r="U1812"/>
  <c r="W1812" s="1"/>
  <c r="T1813"/>
  <c r="V1812"/>
  <c r="Z1812" l="1"/>
  <c r="AC1812"/>
  <c r="T1814"/>
  <c r="V1813"/>
  <c r="U1813"/>
  <c r="W1813" s="1"/>
  <c r="Z1813" l="1"/>
  <c r="AC1813"/>
  <c r="U1814"/>
  <c r="T1815"/>
  <c r="V1814"/>
  <c r="U1815" l="1"/>
  <c r="W1815" s="1"/>
  <c r="S1815"/>
  <c r="T1816"/>
  <c r="V1815"/>
  <c r="Z1815" l="1"/>
  <c r="AC1815"/>
  <c r="T1817"/>
  <c r="V1816"/>
  <c r="U1816"/>
  <c r="W1816" s="1"/>
  <c r="Z1816" l="1"/>
  <c r="AC1816"/>
  <c r="U1817"/>
  <c r="W1817" s="1"/>
  <c r="T1818"/>
  <c r="V1817"/>
  <c r="Z1817" l="1"/>
  <c r="AC1817"/>
  <c r="T1819"/>
  <c r="V1818"/>
  <c r="U1818"/>
  <c r="W1818" s="1"/>
  <c r="Z1818" l="1"/>
  <c r="AC1818"/>
  <c r="U1819"/>
  <c r="W1819" s="1"/>
  <c r="T1820"/>
  <c r="V1819"/>
  <c r="Z1819" l="1"/>
  <c r="AC1819"/>
  <c r="T1821"/>
  <c r="V1820"/>
  <c r="U1820"/>
  <c r="S1821" l="1"/>
  <c r="U1821"/>
  <c r="W1821" s="1"/>
  <c r="V1821"/>
  <c r="T1822"/>
  <c r="Z1821" l="1"/>
  <c r="AC1821"/>
  <c r="U1822"/>
  <c r="W1822" s="1"/>
  <c r="T1823"/>
  <c r="V1822"/>
  <c r="Z1822" l="1"/>
  <c r="AC1822"/>
  <c r="T1824"/>
  <c r="V1823"/>
  <c r="U1823"/>
  <c r="W1823" s="1"/>
  <c r="Z1823" l="1"/>
  <c r="AC1823"/>
  <c r="U1824"/>
  <c r="W1824" s="1"/>
  <c r="T1825"/>
  <c r="V1824"/>
  <c r="Z1824" l="1"/>
  <c r="AC1824"/>
  <c r="T1826"/>
  <c r="V1825"/>
  <c r="U1825"/>
  <c r="W1825" s="1"/>
  <c r="Z1825" l="1"/>
  <c r="AC1825"/>
  <c r="U1826"/>
  <c r="T1827"/>
  <c r="V1826"/>
  <c r="U1827" l="1"/>
  <c r="W1827" s="1"/>
  <c r="S1827"/>
  <c r="T1828"/>
  <c r="V1827"/>
  <c r="Z1827" l="1"/>
  <c r="AC1827"/>
  <c r="T1829"/>
  <c r="V1828"/>
  <c r="U1828"/>
  <c r="W1828" s="1"/>
  <c r="Z1828" l="1"/>
  <c r="AC1828"/>
  <c r="U1829"/>
  <c r="W1829" s="1"/>
  <c r="T1830"/>
  <c r="V1829"/>
  <c r="Z1829" l="1"/>
  <c r="AC1829"/>
  <c r="T1831"/>
  <c r="V1830"/>
  <c r="U1830"/>
  <c r="W1830" s="1"/>
  <c r="Z1830" l="1"/>
  <c r="AC1830"/>
  <c r="U1831"/>
  <c r="W1831" s="1"/>
  <c r="T1832"/>
  <c r="V1831"/>
  <c r="Z1831" l="1"/>
  <c r="AC1831"/>
  <c r="T1833"/>
  <c r="V1832"/>
  <c r="U1832"/>
  <c r="S1833" l="1"/>
  <c r="U1833"/>
  <c r="W1833" s="1"/>
  <c r="V1833"/>
  <c r="T1834"/>
  <c r="Z1833" l="1"/>
  <c r="AC1833"/>
  <c r="U1834"/>
  <c r="W1834" s="1"/>
  <c r="T1835"/>
  <c r="V1834"/>
  <c r="Z1834" l="1"/>
  <c r="AC1834"/>
  <c r="T1836"/>
  <c r="V1835"/>
  <c r="U1835"/>
  <c r="W1835" s="1"/>
  <c r="Z1835" l="1"/>
  <c r="AC1835"/>
  <c r="U1836"/>
  <c r="W1836" s="1"/>
  <c r="T1837"/>
  <c r="V1836"/>
  <c r="Z1836" l="1"/>
  <c r="AC1836"/>
  <c r="T1838"/>
  <c r="V1837"/>
  <c r="U1837"/>
  <c r="W1837" s="1"/>
  <c r="Z1837" l="1"/>
  <c r="AC1837"/>
  <c r="U1838"/>
  <c r="T1839"/>
  <c r="V1838"/>
  <c r="U1839" l="1"/>
  <c r="W1839" s="1"/>
  <c r="S1839"/>
  <c r="T1840"/>
  <c r="V1839"/>
  <c r="Z1839" l="1"/>
  <c r="AC1839"/>
  <c r="T1841"/>
  <c r="V1840"/>
  <c r="U1840"/>
  <c r="W1840" s="1"/>
  <c r="Z1840" l="1"/>
  <c r="AC1840"/>
  <c r="U1841"/>
  <c r="W1841" s="1"/>
  <c r="T1842"/>
  <c r="V1841"/>
  <c r="Z1841" l="1"/>
  <c r="AC1841"/>
  <c r="T1843"/>
  <c r="V1842"/>
  <c r="U1842"/>
  <c r="W1842" s="1"/>
  <c r="Z1842" l="1"/>
  <c r="AC1842"/>
  <c r="U1843"/>
  <c r="W1843" s="1"/>
  <c r="T1844"/>
  <c r="V1843"/>
  <c r="Z1843" l="1"/>
  <c r="AC1843"/>
  <c r="T1845"/>
  <c r="V1844"/>
  <c r="U1844"/>
  <c r="S1845" l="1"/>
  <c r="U1845"/>
  <c r="W1845" s="1"/>
  <c r="V1845"/>
  <c r="T1846"/>
  <c r="Z1845" l="1"/>
  <c r="AC1845"/>
  <c r="U1846"/>
  <c r="W1846" s="1"/>
  <c r="T1847"/>
  <c r="V1846"/>
  <c r="Z1846" l="1"/>
  <c r="AC1846"/>
  <c r="T1848"/>
  <c r="V1847"/>
  <c r="U1847"/>
  <c r="W1847" s="1"/>
  <c r="Z1847" l="1"/>
  <c r="AC1847"/>
  <c r="U1848"/>
  <c r="W1848" s="1"/>
  <c r="T1849"/>
  <c r="V1848"/>
  <c r="Z1848" l="1"/>
  <c r="AC1848"/>
  <c r="T1850"/>
  <c r="V1849"/>
  <c r="U1849"/>
  <c r="W1849" s="1"/>
  <c r="Z1849" l="1"/>
  <c r="AC1849"/>
  <c r="U1850"/>
  <c r="T1851"/>
  <c r="V1850"/>
  <c r="U1851" l="1"/>
  <c r="W1851" s="1"/>
  <c r="S1851"/>
  <c r="T1852"/>
  <c r="V1851"/>
  <c r="Z1851" l="1"/>
  <c r="AC1851"/>
  <c r="T1853"/>
  <c r="V1852"/>
  <c r="U1852"/>
  <c r="W1852" s="1"/>
  <c r="Z1852" l="1"/>
  <c r="AC1852"/>
  <c r="U1853"/>
  <c r="W1853" s="1"/>
  <c r="T1854"/>
  <c r="V1853"/>
  <c r="Z1853" l="1"/>
  <c r="AC1853"/>
  <c r="T1855"/>
  <c r="V1854"/>
  <c r="U1854"/>
  <c r="W1854" s="1"/>
  <c r="Z1854" l="1"/>
  <c r="AC1854"/>
  <c r="U1855"/>
  <c r="W1855" s="1"/>
  <c r="T1856"/>
  <c r="V1855"/>
  <c r="Z1855" l="1"/>
  <c r="AC1855"/>
  <c r="T1857"/>
  <c r="V1856"/>
  <c r="U1856"/>
  <c r="S1857" l="1"/>
  <c r="U1857"/>
  <c r="W1857" s="1"/>
  <c r="V1857"/>
  <c r="T1858"/>
  <c r="Z1857" l="1"/>
  <c r="AC1857"/>
  <c r="U1858"/>
  <c r="W1858" s="1"/>
  <c r="T1859"/>
  <c r="V1858"/>
  <c r="Z1858" l="1"/>
  <c r="AC1858"/>
  <c r="T1860"/>
  <c r="V1859"/>
  <c r="U1859"/>
  <c r="W1859" s="1"/>
  <c r="Z1859" l="1"/>
  <c r="AC1859"/>
  <c r="U1860"/>
  <c r="W1860" s="1"/>
  <c r="T1861"/>
  <c r="V1860"/>
  <c r="Z1860" l="1"/>
  <c r="AC1860"/>
  <c r="T1862"/>
  <c r="V1861"/>
  <c r="U1861"/>
  <c r="W1861" s="1"/>
  <c r="Z1861" l="1"/>
  <c r="AC1861"/>
  <c r="U1862"/>
  <c r="T1863"/>
  <c r="V1862"/>
  <c r="U1863" l="1"/>
  <c r="W1863" s="1"/>
  <c r="S1863"/>
  <c r="T1864"/>
  <c r="V1863"/>
  <c r="Z1863" l="1"/>
  <c r="AC1863"/>
  <c r="T1865"/>
  <c r="V1864"/>
  <c r="U1864"/>
  <c r="W1864" s="1"/>
  <c r="Z1864" l="1"/>
  <c r="AC1864"/>
  <c r="U1865"/>
  <c r="W1865" s="1"/>
  <c r="T1866"/>
  <c r="V1865"/>
  <c r="Z1865" l="1"/>
  <c r="AC1865"/>
  <c r="T1867"/>
  <c r="V1866"/>
  <c r="U1866"/>
  <c r="W1866" s="1"/>
  <c r="Z1866" l="1"/>
  <c r="AC1866"/>
  <c r="U1867"/>
  <c r="W1867" s="1"/>
  <c r="T1868"/>
  <c r="V1867"/>
  <c r="Z1867" l="1"/>
  <c r="AC1867"/>
  <c r="T1869"/>
  <c r="V1868"/>
  <c r="U1868"/>
  <c r="S1869" l="1"/>
  <c r="U1869"/>
  <c r="W1869" s="1"/>
  <c r="V1869"/>
  <c r="T1870"/>
  <c r="Z1869" l="1"/>
  <c r="AC1869"/>
  <c r="U1870"/>
  <c r="W1870" s="1"/>
  <c r="T1871"/>
  <c r="V1870"/>
  <c r="Z1870" l="1"/>
  <c r="AC1870"/>
  <c r="T1872"/>
  <c r="V1871"/>
  <c r="U1871"/>
  <c r="W1871" s="1"/>
  <c r="Z1871" l="1"/>
  <c r="AC1871"/>
  <c r="U1872"/>
  <c r="W1872" s="1"/>
  <c r="T1873"/>
  <c r="V1872"/>
  <c r="Z1872" l="1"/>
  <c r="AC1872"/>
  <c r="T1874"/>
  <c r="V1873"/>
  <c r="U1873"/>
  <c r="W1873" s="1"/>
  <c r="Z1873" l="1"/>
  <c r="AC1873"/>
  <c r="U1874"/>
  <c r="T1875"/>
  <c r="V1874"/>
  <c r="U1875" l="1"/>
  <c r="W1875" s="1"/>
  <c r="S1875"/>
  <c r="T1876"/>
  <c r="V1875"/>
  <c r="Z1875" l="1"/>
  <c r="AC1875"/>
  <c r="T1877"/>
  <c r="V1876"/>
  <c r="U1876"/>
  <c r="W1876" s="1"/>
  <c r="Z1876" l="1"/>
  <c r="AC1876"/>
  <c r="U1877"/>
  <c r="W1877" s="1"/>
  <c r="T1878"/>
  <c r="V1877"/>
  <c r="Z1877" l="1"/>
  <c r="AC1877"/>
  <c r="T1879"/>
  <c r="V1878"/>
  <c r="U1878"/>
  <c r="W1878" s="1"/>
  <c r="Z1878" l="1"/>
  <c r="AC1878"/>
  <c r="U1879"/>
  <c r="W1879" s="1"/>
  <c r="T1880"/>
  <c r="V1879"/>
  <c r="Z1879" l="1"/>
  <c r="AC1879"/>
  <c r="T1881"/>
  <c r="V1880"/>
  <c r="U1880"/>
  <c r="S1881" l="1"/>
  <c r="U1881"/>
  <c r="W1881" s="1"/>
  <c r="V1881"/>
  <c r="T1882"/>
  <c r="Z1881" l="1"/>
  <c r="AC1881"/>
  <c r="U1882"/>
  <c r="W1882" s="1"/>
  <c r="T1883"/>
  <c r="V1882"/>
  <c r="Z1882" l="1"/>
  <c r="AC1882"/>
  <c r="T1884"/>
  <c r="V1883"/>
  <c r="U1883"/>
  <c r="W1883" s="1"/>
  <c r="Z1883" l="1"/>
  <c r="AC1883"/>
  <c r="U1884"/>
  <c r="W1884" s="1"/>
  <c r="T1885"/>
  <c r="V1884"/>
  <c r="Z1884" l="1"/>
  <c r="AC1884"/>
  <c r="T1886"/>
  <c r="V1885"/>
  <c r="U1885"/>
  <c r="W1885" s="1"/>
  <c r="Z1885" l="1"/>
  <c r="AC1885"/>
  <c r="U1886"/>
  <c r="T1887"/>
  <c r="V1886"/>
  <c r="U1887" l="1"/>
  <c r="W1887" s="1"/>
  <c r="S1887"/>
  <c r="T1888"/>
  <c r="V1887"/>
  <c r="Z1887" l="1"/>
  <c r="AC1887"/>
  <c r="T1889"/>
  <c r="V1888"/>
  <c r="U1888"/>
  <c r="W1888" s="1"/>
  <c r="Z1888" l="1"/>
  <c r="AC1888"/>
  <c r="U1889"/>
  <c r="W1889" s="1"/>
  <c r="T1890"/>
  <c r="V1889"/>
  <c r="Z1889" l="1"/>
  <c r="AC1889"/>
  <c r="T1891"/>
  <c r="V1890"/>
  <c r="U1890"/>
  <c r="W1890" s="1"/>
  <c r="Z1890" l="1"/>
  <c r="AC1890"/>
  <c r="U1891"/>
  <c r="W1891" s="1"/>
  <c r="T1892"/>
  <c r="V1891"/>
  <c r="Z1891" l="1"/>
  <c r="AC1891"/>
  <c r="T1893"/>
  <c r="V1892"/>
  <c r="U1892"/>
  <c r="S1893" l="1"/>
  <c r="U1893"/>
  <c r="W1893" s="1"/>
  <c r="V1893"/>
  <c r="T1894"/>
  <c r="Z1893" l="1"/>
  <c r="AC1893"/>
  <c r="U1894"/>
  <c r="W1894" s="1"/>
  <c r="T1895"/>
  <c r="V1894"/>
  <c r="Z1894" l="1"/>
  <c r="AC1894"/>
  <c r="T1896"/>
  <c r="V1895"/>
  <c r="U1895"/>
  <c r="W1895" s="1"/>
  <c r="Z1895" l="1"/>
  <c r="AC1895"/>
  <c r="U1896"/>
  <c r="W1896" s="1"/>
  <c r="T1897"/>
  <c r="V1896"/>
  <c r="Z1896" l="1"/>
  <c r="AC1896"/>
  <c r="T1898"/>
  <c r="V1897"/>
  <c r="U1897"/>
  <c r="W1897" s="1"/>
  <c r="Z1897" l="1"/>
  <c r="AC1897"/>
  <c r="U1898"/>
  <c r="T1899"/>
  <c r="V1898"/>
  <c r="U1899" l="1"/>
  <c r="W1899" s="1"/>
  <c r="S1899"/>
  <c r="T1900"/>
  <c r="V1899"/>
  <c r="Z1899" l="1"/>
  <c r="AC1899"/>
  <c r="T1901"/>
  <c r="V1900"/>
  <c r="U1900"/>
  <c r="W1900" s="1"/>
  <c r="Z1900" l="1"/>
  <c r="AC1900"/>
  <c r="U1901"/>
  <c r="W1901" s="1"/>
  <c r="T1902"/>
  <c r="V1901"/>
  <c r="Z1901" l="1"/>
  <c r="AC1901"/>
  <c r="T1903"/>
  <c r="V1902"/>
  <c r="U1902"/>
  <c r="W1902" s="1"/>
  <c r="Z1902" l="1"/>
  <c r="AC1902"/>
  <c r="U1903"/>
  <c r="W1903" s="1"/>
  <c r="T1904"/>
  <c r="V1903"/>
  <c r="Z1903" l="1"/>
  <c r="AC1903"/>
  <c r="T1905"/>
  <c r="V1904"/>
  <c r="U1904"/>
  <c r="S1905" l="1"/>
  <c r="U1905"/>
  <c r="W1905" s="1"/>
  <c r="V1905"/>
  <c r="T1906"/>
  <c r="Z1905" l="1"/>
  <c r="AC1905"/>
  <c r="U1906"/>
  <c r="W1906" s="1"/>
  <c r="T1907"/>
  <c r="V1906"/>
  <c r="Z1906" l="1"/>
  <c r="AC1906"/>
  <c r="T1908"/>
  <c r="V1907"/>
  <c r="U1907"/>
  <c r="W1907" s="1"/>
  <c r="Z1907" l="1"/>
  <c r="AC1907"/>
  <c r="U1908"/>
  <c r="W1908" s="1"/>
  <c r="T1909"/>
  <c r="V1908"/>
  <c r="Z1908" l="1"/>
  <c r="AC1908"/>
  <c r="T1910"/>
  <c r="V1909"/>
  <c r="U1909"/>
  <c r="W1909" s="1"/>
  <c r="Z1909" l="1"/>
  <c r="AC1909"/>
  <c r="U1910"/>
  <c r="T1911"/>
  <c r="V1910"/>
  <c r="U1911" l="1"/>
  <c r="W1911" s="1"/>
  <c r="S1911"/>
  <c r="T1912"/>
  <c r="V1911"/>
  <c r="Z1911" l="1"/>
  <c r="AC1911"/>
  <c r="T1913"/>
  <c r="V1912"/>
  <c r="U1912"/>
  <c r="W1912" s="1"/>
  <c r="Z1912" l="1"/>
  <c r="AC1912"/>
  <c r="U1913"/>
  <c r="W1913" s="1"/>
  <c r="T1914"/>
  <c r="V1913"/>
  <c r="Z1913" l="1"/>
  <c r="AC1913"/>
  <c r="T1915"/>
  <c r="V1914"/>
  <c r="U1914"/>
  <c r="W1914" s="1"/>
  <c r="Z1914" l="1"/>
  <c r="AC1914"/>
  <c r="U1915"/>
  <c r="W1915" s="1"/>
  <c r="T1916"/>
  <c r="V1915"/>
  <c r="Z1915" l="1"/>
  <c r="AC1915"/>
  <c r="T1917"/>
  <c r="V1916"/>
  <c r="U1916"/>
  <c r="S1917" l="1"/>
  <c r="U1917"/>
  <c r="W1917" s="1"/>
  <c r="V1917"/>
  <c r="T1918"/>
  <c r="Z1917" l="1"/>
  <c r="AC1917"/>
  <c r="U1918"/>
  <c r="W1918" s="1"/>
  <c r="T1919"/>
  <c r="V1918"/>
  <c r="Z1918" l="1"/>
  <c r="AC1918"/>
  <c r="T1920"/>
  <c r="V1919"/>
  <c r="U1919"/>
  <c r="W1919" s="1"/>
  <c r="Z1919" l="1"/>
  <c r="AC1919"/>
  <c r="U1920"/>
  <c r="W1920" s="1"/>
  <c r="T1921"/>
  <c r="V1920"/>
  <c r="Z1920" l="1"/>
  <c r="AC1920"/>
  <c r="T1922"/>
  <c r="V1921"/>
  <c r="U1921"/>
  <c r="W1921" s="1"/>
  <c r="Z1921" l="1"/>
  <c r="AC1921"/>
  <c r="U1922"/>
  <c r="T1923"/>
  <c r="V1922"/>
  <c r="U1923" l="1"/>
  <c r="W1923" s="1"/>
  <c r="S1923"/>
  <c r="T1924"/>
  <c r="V1923"/>
  <c r="Z1923" l="1"/>
  <c r="AC1923"/>
  <c r="T1925"/>
  <c r="V1924"/>
  <c r="U1924"/>
  <c r="W1924" s="1"/>
  <c r="Z1924" l="1"/>
  <c r="AC1924"/>
  <c r="U1925"/>
  <c r="W1925" s="1"/>
  <c r="T1926"/>
  <c r="V1925"/>
  <c r="Z1925" l="1"/>
  <c r="AC1925"/>
  <c r="T1927"/>
  <c r="V1926"/>
  <c r="U1926"/>
  <c r="W1926" s="1"/>
  <c r="Z1926" l="1"/>
  <c r="AC1926"/>
  <c r="U1927"/>
  <c r="W1927" s="1"/>
  <c r="T1928"/>
  <c r="V1927"/>
  <c r="Z1927" l="1"/>
  <c r="AC1927"/>
  <c r="T1929"/>
  <c r="V1928"/>
  <c r="U1928"/>
  <c r="S1929" l="1"/>
  <c r="U1929"/>
  <c r="W1929" s="1"/>
  <c r="V1929"/>
  <c r="T1930"/>
  <c r="Z1929" l="1"/>
  <c r="AC1929"/>
  <c r="U1930"/>
  <c r="W1930" s="1"/>
  <c r="T1931"/>
  <c r="V1930"/>
  <c r="Z1930" l="1"/>
  <c r="AC1930"/>
  <c r="T1932"/>
  <c r="V1931"/>
  <c r="U1931"/>
  <c r="W1931" s="1"/>
  <c r="Z1931" l="1"/>
  <c r="AC1931"/>
  <c r="U1932"/>
  <c r="W1932" s="1"/>
  <c r="T1933"/>
  <c r="V1932"/>
  <c r="Z1932" l="1"/>
  <c r="AC1932"/>
  <c r="T1934"/>
  <c r="V1933"/>
  <c r="U1933"/>
  <c r="W1933" s="1"/>
  <c r="Z1933" l="1"/>
  <c r="AC1933"/>
  <c r="U1934"/>
  <c r="T1935"/>
  <c r="V1934"/>
  <c r="U1935" l="1"/>
  <c r="W1935" s="1"/>
  <c r="S1935"/>
  <c r="T1936"/>
  <c r="V1935"/>
  <c r="Z1935" l="1"/>
  <c r="AC1935"/>
  <c r="T1937"/>
  <c r="V1936"/>
  <c r="U1936"/>
  <c r="W1936" s="1"/>
  <c r="Z1936" l="1"/>
  <c r="AC1936"/>
  <c r="U1937"/>
  <c r="W1937" s="1"/>
  <c r="T1938"/>
  <c r="V1937"/>
  <c r="Z1937" l="1"/>
  <c r="AC1937"/>
  <c r="T1939"/>
  <c r="V1938"/>
  <c r="U1938"/>
  <c r="W1938" s="1"/>
  <c r="Z1938" l="1"/>
  <c r="AC1938"/>
  <c r="U1939"/>
  <c r="W1939" s="1"/>
  <c r="T1940"/>
  <c r="V1939"/>
  <c r="Z1939" l="1"/>
  <c r="AC1939"/>
  <c r="T1941"/>
  <c r="V1940"/>
  <c r="U1940"/>
  <c r="S1941" l="1"/>
  <c r="U1941"/>
  <c r="W1941" s="1"/>
  <c r="V1941"/>
  <c r="T1942"/>
  <c r="Z1941" l="1"/>
  <c r="AC1941"/>
  <c r="U1942"/>
  <c r="W1942" s="1"/>
  <c r="T1943"/>
  <c r="V1942"/>
  <c r="Z1942" l="1"/>
  <c r="AC1942"/>
  <c r="T1944"/>
  <c r="V1943"/>
  <c r="U1943"/>
  <c r="W1943" s="1"/>
  <c r="Z1943" l="1"/>
  <c r="AC1943"/>
  <c r="U1944"/>
  <c r="W1944" s="1"/>
  <c r="T1945"/>
  <c r="V1944"/>
  <c r="Z1944" l="1"/>
  <c r="AC1944"/>
  <c r="T1946"/>
  <c r="V1945"/>
  <c r="U1945"/>
  <c r="W1945" s="1"/>
  <c r="Z1945" l="1"/>
  <c r="AC1945"/>
  <c r="U1946"/>
  <c r="T1947"/>
  <c r="V1946"/>
  <c r="U1947" l="1"/>
  <c r="W1947" s="1"/>
  <c r="S1947"/>
  <c r="T1948"/>
  <c r="V1947"/>
  <c r="Z1947" l="1"/>
  <c r="AC1947"/>
  <c r="T1949"/>
  <c r="V1948"/>
  <c r="U1948"/>
  <c r="W1948" s="1"/>
  <c r="Z1948" l="1"/>
  <c r="AC1948"/>
  <c r="U1949"/>
  <c r="W1949" s="1"/>
  <c r="T1950"/>
  <c r="V1949"/>
  <c r="Z1949" l="1"/>
  <c r="AC1949"/>
  <c r="T1951"/>
  <c r="V1950"/>
  <c r="U1950"/>
  <c r="W1950" s="1"/>
  <c r="Z1950" l="1"/>
  <c r="AC1950"/>
  <c r="U1951"/>
  <c r="W1951" s="1"/>
  <c r="T1952"/>
  <c r="V1951"/>
  <c r="Z1951" l="1"/>
  <c r="AC1951"/>
  <c r="T1953"/>
  <c r="V1952"/>
  <c r="U1952"/>
  <c r="S1953" l="1"/>
  <c r="U1953"/>
  <c r="W1953" s="1"/>
  <c r="V1953"/>
  <c r="T1954"/>
  <c r="Z1953" l="1"/>
  <c r="AC1953"/>
  <c r="U1954"/>
  <c r="W1954" s="1"/>
  <c r="T1955"/>
  <c r="V1954"/>
  <c r="Z1954" l="1"/>
  <c r="AC1954"/>
  <c r="T1956"/>
  <c r="V1955"/>
  <c r="U1955"/>
  <c r="W1955" s="1"/>
  <c r="Z1955" l="1"/>
  <c r="AC1955"/>
  <c r="U1956"/>
  <c r="W1956" s="1"/>
  <c r="T1957"/>
  <c r="V1956"/>
  <c r="Z1956" l="1"/>
  <c r="AC1956"/>
  <c r="T1958"/>
  <c r="V1957"/>
  <c r="U1957"/>
  <c r="W1957" s="1"/>
  <c r="Z1957" l="1"/>
  <c r="AC1957"/>
  <c r="U1958"/>
  <c r="T1959"/>
  <c r="V1958"/>
  <c r="U1959" l="1"/>
  <c r="W1959" s="1"/>
  <c r="S1959"/>
  <c r="T1960"/>
  <c r="V1959"/>
  <c r="Z1959" l="1"/>
  <c r="AC1959"/>
  <c r="T1961"/>
  <c r="V1960"/>
  <c r="U1960"/>
  <c r="W1960" s="1"/>
  <c r="Z1960" l="1"/>
  <c r="AC1960"/>
  <c r="U1961"/>
  <c r="W1961" s="1"/>
  <c r="T1962"/>
  <c r="V1961"/>
  <c r="Z1961" l="1"/>
  <c r="AC1961"/>
  <c r="T1963"/>
  <c r="V1962"/>
  <c r="U1962"/>
  <c r="W1962" s="1"/>
  <c r="Z1962" l="1"/>
  <c r="AC1962"/>
  <c r="U1963"/>
  <c r="W1963" s="1"/>
  <c r="T1964"/>
  <c r="V1963"/>
  <c r="Z1963" l="1"/>
  <c r="AC1963"/>
  <c r="T1965"/>
  <c r="V1964"/>
  <c r="U1964"/>
  <c r="S1965" l="1"/>
  <c r="U1965"/>
  <c r="W1965" s="1"/>
  <c r="V1965"/>
  <c r="T1966"/>
  <c r="Z1965" l="1"/>
  <c r="AC1965"/>
  <c r="U1966"/>
  <c r="W1966" s="1"/>
  <c r="T1967"/>
  <c r="V1966"/>
  <c r="Z1966" l="1"/>
  <c r="AC1966"/>
  <c r="T1968"/>
  <c r="V1967"/>
  <c r="U1967"/>
  <c r="W1967" s="1"/>
  <c r="Z1967" l="1"/>
  <c r="AC1967"/>
  <c r="U1968"/>
  <c r="W1968" s="1"/>
  <c r="T1969"/>
  <c r="V1968"/>
  <c r="Z1968" l="1"/>
  <c r="AC1968"/>
  <c r="T1970"/>
  <c r="V1969"/>
  <c r="U1969"/>
  <c r="W1969" s="1"/>
  <c r="Z1969" l="1"/>
  <c r="AC1969"/>
  <c r="U1970"/>
  <c r="T1971"/>
  <c r="V1970"/>
  <c r="U1971" l="1"/>
  <c r="W1971" s="1"/>
  <c r="S1971"/>
  <c r="T1972"/>
  <c r="V1971"/>
  <c r="Z1971" l="1"/>
  <c r="AC1971"/>
  <c r="T1973"/>
  <c r="V1972"/>
  <c r="U1972"/>
  <c r="W1972" s="1"/>
  <c r="Z1972" l="1"/>
  <c r="AC1972"/>
  <c r="U1973"/>
  <c r="W1973" s="1"/>
  <c r="T1974"/>
  <c r="V1973"/>
  <c r="Z1973" l="1"/>
  <c r="AC1973"/>
  <c r="V1974"/>
  <c r="T1975"/>
  <c r="U1974"/>
  <c r="W1974" s="1"/>
  <c r="Z1974" l="1"/>
  <c r="AC1974"/>
  <c r="T1976"/>
  <c r="V1975"/>
  <c r="U1975"/>
  <c r="W1975" s="1"/>
  <c r="Z1975" l="1"/>
  <c r="AC1975"/>
  <c r="U1976"/>
  <c r="T1977"/>
  <c r="V1976"/>
  <c r="U1977" l="1"/>
  <c r="W1977" s="1"/>
  <c r="S1977"/>
  <c r="T1978"/>
  <c r="V1977"/>
  <c r="Z1977" l="1"/>
  <c r="AC1977"/>
  <c r="T1979"/>
  <c r="V1978"/>
  <c r="U1978"/>
  <c r="W1978" s="1"/>
  <c r="Z1978" l="1"/>
  <c r="AC1978"/>
  <c r="U1979"/>
  <c r="W1979" s="1"/>
  <c r="T1980"/>
  <c r="V1979"/>
  <c r="Z1979" l="1"/>
  <c r="AC1979"/>
  <c r="T1981"/>
  <c r="V1980"/>
  <c r="U1980"/>
  <c r="W1980" s="1"/>
  <c r="Z1980" l="1"/>
  <c r="AC1980"/>
  <c r="U1981"/>
  <c r="W1981" s="1"/>
  <c r="T1982"/>
  <c r="V1981"/>
  <c r="Z1981" l="1"/>
  <c r="AC1981"/>
  <c r="U1982"/>
  <c r="V1982"/>
  <c r="T1983"/>
  <c r="S1983" l="1"/>
  <c r="U1983"/>
  <c r="W1983" s="1"/>
  <c r="V1983"/>
  <c r="T1984"/>
  <c r="Z1983" l="1"/>
  <c r="AC1983"/>
  <c r="U1984"/>
  <c r="W1984" s="1"/>
  <c r="T1985"/>
  <c r="V1984"/>
  <c r="Z1984" l="1"/>
  <c r="AC1984"/>
  <c r="T1986"/>
  <c r="V1985"/>
  <c r="U1985"/>
  <c r="W1985" s="1"/>
  <c r="Z1985" l="1"/>
  <c r="AC1985"/>
  <c r="U1986"/>
  <c r="W1986" s="1"/>
  <c r="T1987"/>
  <c r="V1986"/>
  <c r="Z1986" l="1"/>
  <c r="AC1986"/>
  <c r="T1988"/>
  <c r="V1987"/>
  <c r="U1987"/>
  <c r="W1987" s="1"/>
  <c r="Z1987" l="1"/>
  <c r="AC1987"/>
  <c r="U1988"/>
  <c r="T1989"/>
  <c r="V1988"/>
  <c r="U1989" l="1"/>
  <c r="W1989" s="1"/>
  <c r="V1989"/>
  <c r="T1990"/>
  <c r="S1989"/>
  <c r="Z1989" l="1"/>
  <c r="AC1989"/>
  <c r="T1991"/>
  <c r="V1990"/>
  <c r="U1990"/>
  <c r="W1990" s="1"/>
  <c r="Z1990" l="1"/>
  <c r="AC1990"/>
  <c r="U1991"/>
  <c r="W1991" s="1"/>
  <c r="T1992"/>
  <c r="V1991"/>
  <c r="Z1991" l="1"/>
  <c r="AC1991"/>
  <c r="T1993"/>
  <c r="V1992"/>
  <c r="U1992"/>
  <c r="W1992" s="1"/>
  <c r="Z1992" l="1"/>
  <c r="AC1992"/>
  <c r="U1993"/>
  <c r="W1993" s="1"/>
  <c r="T1994"/>
  <c r="V1993"/>
  <c r="Z1993" l="1"/>
  <c r="AC1993"/>
  <c r="T1995"/>
  <c r="V1994"/>
  <c r="U1994"/>
  <c r="S1995" l="1"/>
  <c r="U1995"/>
  <c r="W1995" s="1"/>
  <c r="V1995"/>
  <c r="T1996"/>
  <c r="Z1995" l="1"/>
  <c r="AC1995"/>
  <c r="U1996"/>
  <c r="W1996" s="1"/>
  <c r="T1997"/>
  <c r="V1996"/>
  <c r="Z1996" l="1"/>
  <c r="AC1996"/>
  <c r="T1998"/>
  <c r="V1997"/>
  <c r="U1997"/>
  <c r="W1997" s="1"/>
  <c r="Z1997" l="1"/>
  <c r="AC1997"/>
  <c r="U1998"/>
  <c r="W1998" s="1"/>
  <c r="T1999"/>
  <c r="V1998"/>
  <c r="Z1998" l="1"/>
  <c r="AC1998"/>
  <c r="T2000"/>
  <c r="V1999"/>
  <c r="U1999"/>
  <c r="W1999" s="1"/>
  <c r="Z1999" l="1"/>
  <c r="AC1999"/>
  <c r="U2000"/>
  <c r="T2001"/>
  <c r="V2000"/>
  <c r="U2001" l="1"/>
  <c r="W2001" s="1"/>
  <c r="S2001"/>
  <c r="T2002"/>
  <c r="V2001"/>
  <c r="Z2001" l="1"/>
  <c r="AC2001"/>
  <c r="T2003"/>
  <c r="V2002"/>
  <c r="U2002"/>
  <c r="W2002" s="1"/>
  <c r="Z2002" l="1"/>
  <c r="AC2002"/>
  <c r="U2003"/>
  <c r="W2003" s="1"/>
  <c r="T2004"/>
  <c r="V2003"/>
  <c r="Z2003" l="1"/>
  <c r="AC2003"/>
  <c r="T2005"/>
  <c r="V2004"/>
  <c r="U2004"/>
  <c r="W2004" s="1"/>
  <c r="Z2004" l="1"/>
  <c r="AC2004"/>
  <c r="U2005"/>
  <c r="W2005" s="1"/>
  <c r="T2006"/>
  <c r="V2005"/>
  <c r="Z2005" l="1"/>
  <c r="AC2005"/>
  <c r="U2006"/>
  <c r="V2006"/>
  <c r="T2007"/>
  <c r="S2007" l="1"/>
  <c r="U2007"/>
  <c r="W2007" s="1"/>
  <c r="V2007"/>
  <c r="T2008"/>
  <c r="Z2007" l="1"/>
  <c r="AC2007"/>
  <c r="U2008"/>
  <c r="W2008" s="1"/>
  <c r="T2009"/>
  <c r="V2008"/>
  <c r="Z2008" l="1"/>
  <c r="AC2008"/>
  <c r="T2010"/>
  <c r="V2009"/>
  <c r="U2009"/>
  <c r="W2009" s="1"/>
  <c r="Z2009" l="1"/>
  <c r="AC2009"/>
  <c r="U2010"/>
  <c r="W2010" s="1"/>
  <c r="T2011"/>
  <c r="V2010"/>
  <c r="Z2010" l="1"/>
  <c r="AC2010"/>
  <c r="T2012"/>
  <c r="V2011"/>
  <c r="U2011"/>
  <c r="W2011" s="1"/>
  <c r="Z2011" l="1"/>
  <c r="AC2011"/>
  <c r="U2012"/>
  <c r="T2013"/>
  <c r="V2012"/>
  <c r="U2013" l="1"/>
  <c r="W2013" s="1"/>
  <c r="V2013"/>
  <c r="T2014"/>
  <c r="S2013"/>
  <c r="Z2013" l="1"/>
  <c r="AC2013"/>
  <c r="T2015"/>
  <c r="V2014"/>
  <c r="U2014"/>
  <c r="W2014" s="1"/>
  <c r="Z2014" l="1"/>
  <c r="AC2014"/>
  <c r="U2015"/>
  <c r="W2015" s="1"/>
  <c r="T2016"/>
  <c r="V2015"/>
  <c r="Z2015" l="1"/>
  <c r="AC2015"/>
  <c r="T2017"/>
  <c r="V2016"/>
  <c r="U2016"/>
  <c r="W2016" s="1"/>
  <c r="Z2016" l="1"/>
  <c r="AC2016"/>
  <c r="U2017"/>
  <c r="W2017" s="1"/>
  <c r="T2018"/>
  <c r="V2017"/>
  <c r="Z2017" l="1"/>
  <c r="AC2017"/>
  <c r="T2019"/>
  <c r="V2018"/>
  <c r="U2018"/>
  <c r="S2019" l="1"/>
  <c r="U2019"/>
  <c r="W2019" s="1"/>
  <c r="V2019"/>
  <c r="T2020"/>
  <c r="Z2019" l="1"/>
  <c r="AC2019"/>
  <c r="U2020"/>
  <c r="W2020" s="1"/>
  <c r="T2021"/>
  <c r="V2020"/>
  <c r="Z2020" l="1"/>
  <c r="AC2020"/>
  <c r="T2022"/>
  <c r="V2021"/>
  <c r="U2021"/>
  <c r="W2021" s="1"/>
  <c r="Z2021" l="1"/>
  <c r="AC2021"/>
  <c r="U2022"/>
  <c r="W2022" s="1"/>
  <c r="T2023"/>
  <c r="V2022"/>
  <c r="Z2022" l="1"/>
  <c r="AC2022"/>
  <c r="T2024"/>
  <c r="V2023"/>
  <c r="U2023"/>
  <c r="W2023" s="1"/>
  <c r="Z2023" l="1"/>
  <c r="AC2023"/>
  <c r="U2024"/>
  <c r="T2025"/>
  <c r="V2024"/>
  <c r="U2025" l="1"/>
  <c r="W2025" s="1"/>
  <c r="S2025"/>
  <c r="T2026"/>
  <c r="V2025"/>
  <c r="Z2025" l="1"/>
  <c r="AC2025"/>
  <c r="T2027"/>
  <c r="V2026"/>
  <c r="U2026"/>
  <c r="W2026" s="1"/>
  <c r="Z2026" l="1"/>
  <c r="AC2026"/>
  <c r="U2027"/>
  <c r="W2027" s="1"/>
  <c r="T2028"/>
  <c r="V2027"/>
  <c r="Z2027" l="1"/>
  <c r="AC2027"/>
  <c r="T2029"/>
  <c r="V2028"/>
  <c r="U2028"/>
  <c r="W2028" s="1"/>
  <c r="Z2028" l="1"/>
  <c r="AC2028"/>
  <c r="U2029"/>
  <c r="W2029" s="1"/>
  <c r="T2030"/>
  <c r="V2029"/>
  <c r="Z2029" l="1"/>
  <c r="AC2029"/>
  <c r="U2030"/>
  <c r="V2030"/>
  <c r="T2031"/>
  <c r="S2031" l="1"/>
  <c r="U2031"/>
  <c r="W2031" s="1"/>
  <c r="V2031"/>
  <c r="T2032"/>
  <c r="Z2031" l="1"/>
  <c r="AC2031"/>
  <c r="U2032"/>
  <c r="W2032" s="1"/>
  <c r="T2033"/>
  <c r="V2032"/>
  <c r="Z2032" l="1"/>
  <c r="AC2032"/>
  <c r="T2034"/>
  <c r="V2033"/>
  <c r="U2033"/>
  <c r="W2033" s="1"/>
  <c r="Z2033" l="1"/>
  <c r="AC2033"/>
  <c r="U2034"/>
  <c r="W2034" s="1"/>
  <c r="T2035"/>
  <c r="V2034"/>
  <c r="Z2034" l="1"/>
  <c r="AC2034"/>
  <c r="T2036"/>
  <c r="V2035"/>
  <c r="U2035"/>
  <c r="W2035" s="1"/>
  <c r="Z2035" l="1"/>
  <c r="AC2035"/>
  <c r="U2036"/>
  <c r="T2037"/>
  <c r="V2036"/>
  <c r="U2037" l="1"/>
  <c r="W2037" s="1"/>
  <c r="V2037"/>
  <c r="T2038"/>
  <c r="S2037"/>
  <c r="Z2037" l="1"/>
  <c r="AC2037"/>
  <c r="T2039"/>
  <c r="V2038"/>
  <c r="U2038"/>
  <c r="W2038" s="1"/>
  <c r="Z2038" l="1"/>
  <c r="AC2038"/>
  <c r="U2039"/>
  <c r="W2039" s="1"/>
  <c r="T2040"/>
  <c r="V2039"/>
  <c r="Z2039" l="1"/>
  <c r="AC2039"/>
  <c r="T2041"/>
  <c r="V2040"/>
  <c r="U2040"/>
  <c r="W2040" s="1"/>
  <c r="Z2040" l="1"/>
  <c r="AC2040"/>
  <c r="U2041"/>
  <c r="W2041" s="1"/>
  <c r="T2042"/>
  <c r="V2041"/>
  <c r="Z2041" l="1"/>
  <c r="AC2041"/>
  <c r="T2043"/>
  <c r="V2042"/>
  <c r="U2042"/>
  <c r="S2043" l="1"/>
  <c r="U2043"/>
  <c r="W2043" s="1"/>
  <c r="V2043"/>
  <c r="T2044"/>
  <c r="Z2043" l="1"/>
  <c r="AC2043"/>
  <c r="U2044"/>
  <c r="W2044" s="1"/>
  <c r="T2045"/>
  <c r="V2044"/>
  <c r="Z2044" l="1"/>
  <c r="AC2044"/>
  <c r="T2046"/>
  <c r="V2045"/>
  <c r="U2045"/>
  <c r="W2045" s="1"/>
  <c r="Z2045" l="1"/>
  <c r="AC2045"/>
  <c r="U2046"/>
  <c r="W2046" s="1"/>
  <c r="T2047"/>
  <c r="V2046"/>
  <c r="Z2046" l="1"/>
  <c r="AC2046"/>
  <c r="T2048"/>
  <c r="V2047"/>
  <c r="U2047"/>
  <c r="W2047" s="1"/>
  <c r="Z2047" l="1"/>
  <c r="AC2047"/>
  <c r="U2048"/>
  <c r="T2049"/>
  <c r="V2048"/>
  <c r="U2049" l="1"/>
  <c r="W2049" s="1"/>
  <c r="S2049"/>
  <c r="T2050"/>
  <c r="V2049"/>
  <c r="Z2049" l="1"/>
  <c r="AC2049"/>
  <c r="T2051"/>
  <c r="V2050"/>
  <c r="U2050"/>
  <c r="W2050" s="1"/>
  <c r="Z2050" l="1"/>
  <c r="AC2050"/>
  <c r="U2051"/>
  <c r="W2051" s="1"/>
  <c r="T2052"/>
  <c r="V2051"/>
  <c r="Z2051" l="1"/>
  <c r="AC2051"/>
  <c r="T2053"/>
  <c r="V2052"/>
  <c r="U2052"/>
  <c r="W2052" s="1"/>
  <c r="Z2052" l="1"/>
  <c r="AC2052"/>
  <c r="U2053"/>
  <c r="W2053" s="1"/>
  <c r="T2054"/>
  <c r="V2053"/>
  <c r="Z2053" l="1"/>
  <c r="AC2053"/>
  <c r="U2054"/>
  <c r="V2054"/>
  <c r="T2055"/>
  <c r="S2055" l="1"/>
  <c r="U2055"/>
  <c r="W2055" s="1"/>
  <c r="V2055"/>
  <c r="T2056"/>
  <c r="Z2055" l="1"/>
  <c r="AC2055"/>
  <c r="U2056"/>
  <c r="W2056" s="1"/>
  <c r="T2057"/>
  <c r="V2056"/>
  <c r="Z2056" l="1"/>
  <c r="AC2056"/>
  <c r="T2058"/>
  <c r="V2057"/>
  <c r="U2057"/>
  <c r="W2057" s="1"/>
  <c r="Z2057" l="1"/>
  <c r="AC2057"/>
  <c r="U2058"/>
  <c r="W2058" s="1"/>
  <c r="T2059"/>
  <c r="V2058"/>
  <c r="Z2058" l="1"/>
  <c r="AC2058"/>
  <c r="T2060"/>
  <c r="V2059"/>
  <c r="U2059"/>
  <c r="W2059" s="1"/>
  <c r="Z2059" l="1"/>
  <c r="AC2059"/>
  <c r="U2060"/>
  <c r="T2061"/>
  <c r="V2060"/>
  <c r="U2061" l="1"/>
  <c r="W2061" s="1"/>
  <c r="V2061"/>
  <c r="T2062"/>
  <c r="S2061"/>
  <c r="Z2061" l="1"/>
  <c r="AC2061"/>
  <c r="T2063"/>
  <c r="V2062"/>
  <c r="U2062"/>
  <c r="W2062" s="1"/>
  <c r="Z2062" l="1"/>
  <c r="AC2062"/>
  <c r="U2063"/>
  <c r="W2063" s="1"/>
  <c r="T2064"/>
  <c r="V2063"/>
  <c r="Z2063" l="1"/>
  <c r="AC2063"/>
  <c r="T2065"/>
  <c r="V2064"/>
  <c r="U2064"/>
  <c r="W2064" s="1"/>
  <c r="Z2064" l="1"/>
  <c r="AC2064"/>
  <c r="U2065"/>
  <c r="W2065" s="1"/>
  <c r="T2066"/>
  <c r="V2065"/>
  <c r="Z2065" l="1"/>
  <c r="AC2065"/>
  <c r="T2067"/>
  <c r="V2066"/>
  <c r="U2066"/>
  <c r="S2067" l="1"/>
  <c r="U2067"/>
  <c r="W2067" s="1"/>
  <c r="V2067"/>
  <c r="T2068"/>
  <c r="Z2067" l="1"/>
  <c r="AC2067"/>
  <c r="U2068"/>
  <c r="W2068" s="1"/>
  <c r="T2069"/>
  <c r="V2068"/>
  <c r="Z2068" l="1"/>
  <c r="AC2068"/>
  <c r="T2070"/>
  <c r="V2069"/>
  <c r="U2069"/>
  <c r="W2069" s="1"/>
  <c r="Z2069" l="1"/>
  <c r="AC2069"/>
  <c r="U2070"/>
  <c r="W2070" s="1"/>
  <c r="T2071"/>
  <c r="V2070"/>
  <c r="Z2070" l="1"/>
  <c r="AC2070"/>
  <c r="T2072"/>
  <c r="V2071"/>
  <c r="U2071"/>
  <c r="W2071" s="1"/>
  <c r="Z2071" l="1"/>
  <c r="AC2071"/>
  <c r="U2072"/>
  <c r="T2073"/>
  <c r="V2072"/>
  <c r="U2073" l="1"/>
  <c r="W2073" s="1"/>
  <c r="S2073"/>
  <c r="T2074"/>
  <c r="V2073"/>
  <c r="Z2073" l="1"/>
  <c r="AC2073"/>
  <c r="T2075"/>
  <c r="V2074"/>
  <c r="U2074"/>
  <c r="W2074" s="1"/>
  <c r="Z2074" l="1"/>
  <c r="AC2074"/>
  <c r="U2075"/>
  <c r="W2075" s="1"/>
  <c r="T2076"/>
  <c r="V2075"/>
  <c r="Z2075" l="1"/>
  <c r="AC2075"/>
  <c r="T2077"/>
  <c r="V2076"/>
  <c r="U2076"/>
  <c r="W2076" s="1"/>
  <c r="Z2076" l="1"/>
  <c r="AC2076"/>
  <c r="U2077"/>
  <c r="W2077" s="1"/>
  <c r="T2078"/>
  <c r="V2077"/>
  <c r="Z2077" l="1"/>
  <c r="AC2077"/>
  <c r="U2078"/>
  <c r="V2078"/>
  <c r="T2079"/>
  <c r="S2079" l="1"/>
  <c r="U2079"/>
  <c r="W2079" s="1"/>
  <c r="V2079"/>
  <c r="T2080"/>
  <c r="Z2079" l="1"/>
  <c r="AC2079"/>
  <c r="U2080"/>
  <c r="W2080" s="1"/>
  <c r="T2081"/>
  <c r="V2080"/>
  <c r="Z2080" l="1"/>
  <c r="AC2080"/>
  <c r="T2082"/>
  <c r="V2081"/>
  <c r="U2081"/>
  <c r="W2081" s="1"/>
  <c r="Z2081" l="1"/>
  <c r="AC2081"/>
  <c r="U2082"/>
  <c r="W2082" s="1"/>
  <c r="T2083"/>
  <c r="V2082"/>
  <c r="Z2082" l="1"/>
  <c r="AC2082"/>
  <c r="T2084"/>
  <c r="V2083"/>
  <c r="U2083"/>
  <c r="W2083" s="1"/>
  <c r="Z2083" l="1"/>
  <c r="AC2083"/>
  <c r="U2084"/>
  <c r="T2085"/>
  <c r="V2084"/>
  <c r="U2085" l="1"/>
  <c r="W2085" s="1"/>
  <c r="V2085"/>
  <c r="T2086"/>
  <c r="S2085"/>
  <c r="Z2085" l="1"/>
  <c r="AC2085"/>
  <c r="T2087"/>
  <c r="V2086"/>
  <c r="U2086"/>
  <c r="W2086" s="1"/>
  <c r="Z2086" l="1"/>
  <c r="AC2086"/>
  <c r="U2087"/>
  <c r="W2087" s="1"/>
  <c r="T2088"/>
  <c r="V2087"/>
  <c r="Z2087" l="1"/>
  <c r="AC2087"/>
  <c r="T2089"/>
  <c r="V2088"/>
  <c r="U2088"/>
  <c r="W2088" s="1"/>
  <c r="Z2088" l="1"/>
  <c r="AC2088"/>
  <c r="U2089"/>
  <c r="W2089" s="1"/>
  <c r="T2090"/>
  <c r="V2089"/>
  <c r="Z2089" l="1"/>
  <c r="AC2089"/>
  <c r="T2091"/>
  <c r="V2090"/>
  <c r="U2090"/>
  <c r="S2091" l="1"/>
  <c r="U2091"/>
  <c r="W2091" s="1"/>
  <c r="V2091"/>
  <c r="T2092"/>
  <c r="Z2091" l="1"/>
  <c r="AC2091"/>
  <c r="U2092"/>
  <c r="W2092" s="1"/>
  <c r="T2093"/>
  <c r="V2092"/>
  <c r="Z2092" l="1"/>
  <c r="AC2092"/>
  <c r="T2094"/>
  <c r="V2093"/>
  <c r="U2093"/>
  <c r="W2093" s="1"/>
  <c r="Z2093" l="1"/>
  <c r="AC2093"/>
  <c r="U2094"/>
  <c r="W2094" s="1"/>
  <c r="T2095"/>
  <c r="V2094"/>
  <c r="Z2094" l="1"/>
  <c r="AC2094"/>
  <c r="T2096"/>
  <c r="V2095"/>
  <c r="U2095"/>
  <c r="W2095" s="1"/>
  <c r="Z2095" l="1"/>
  <c r="AC2095"/>
  <c r="U2096"/>
  <c r="T2097"/>
  <c r="V2096"/>
  <c r="U2097" l="1"/>
  <c r="W2097" s="1"/>
  <c r="S2097"/>
  <c r="T2098"/>
  <c r="V2097"/>
  <c r="Z2097" l="1"/>
  <c r="AC2097"/>
  <c r="T2099"/>
  <c r="V2098"/>
  <c r="U2098"/>
  <c r="W2098" s="1"/>
  <c r="Z2098" l="1"/>
  <c r="AC2098"/>
  <c r="U2099"/>
  <c r="W2099" s="1"/>
  <c r="T2100"/>
  <c r="V2099"/>
  <c r="Z2099" l="1"/>
  <c r="AC2099"/>
  <c r="U2100"/>
  <c r="W2100" s="1"/>
  <c r="T2101"/>
  <c r="V2100"/>
  <c r="Z2100" l="1"/>
  <c r="AC2100"/>
  <c r="T2102"/>
  <c r="V2101"/>
  <c r="U2101"/>
  <c r="W2101" s="1"/>
  <c r="Z2101" l="1"/>
  <c r="AC2101"/>
  <c r="U2102"/>
  <c r="T2103"/>
  <c r="V2102"/>
  <c r="U2103" l="1"/>
  <c r="W2103" s="1"/>
  <c r="S2103"/>
  <c r="T2104"/>
  <c r="V2103"/>
  <c r="Z2103" l="1"/>
  <c r="AC2103"/>
  <c r="T2105"/>
  <c r="V2104"/>
  <c r="U2104"/>
  <c r="W2104" s="1"/>
  <c r="Z2104" l="1"/>
  <c r="AC2104"/>
  <c r="U2105"/>
  <c r="W2105" s="1"/>
  <c r="T2106"/>
  <c r="V2105"/>
  <c r="Z2105" l="1"/>
  <c r="AC2105"/>
  <c r="T2107"/>
  <c r="V2106"/>
  <c r="U2106"/>
  <c r="W2106" s="1"/>
  <c r="Z2106" l="1"/>
  <c r="AC2106"/>
  <c r="U2107"/>
  <c r="W2107" s="1"/>
  <c r="T2108"/>
  <c r="V2107"/>
  <c r="Z2107" l="1"/>
  <c r="AC2107"/>
  <c r="T2109"/>
  <c r="V2108"/>
  <c r="U2108"/>
  <c r="S2109" l="1"/>
  <c r="U2109"/>
  <c r="W2109" s="1"/>
  <c r="V2109"/>
  <c r="T2110"/>
  <c r="Z2109" l="1"/>
  <c r="AC2109"/>
  <c r="U2110"/>
  <c r="W2110" s="1"/>
  <c r="T2111"/>
  <c r="V2110"/>
  <c r="Z2110" l="1"/>
  <c r="AC2110"/>
  <c r="T2112"/>
  <c r="V2111"/>
  <c r="U2111"/>
  <c r="W2111" s="1"/>
  <c r="Z2111" l="1"/>
  <c r="AC2111"/>
  <c r="U2112"/>
  <c r="W2112" s="1"/>
  <c r="T2113"/>
  <c r="V2112"/>
  <c r="Z2112" l="1"/>
  <c r="AC2112"/>
  <c r="T2114"/>
  <c r="V2113"/>
  <c r="U2113"/>
  <c r="W2113" s="1"/>
  <c r="Z2113" l="1"/>
  <c r="AC2113"/>
  <c r="U2114"/>
  <c r="T2115"/>
  <c r="V2114"/>
  <c r="U2115" l="1"/>
  <c r="W2115" s="1"/>
  <c r="S2115"/>
  <c r="T2116"/>
  <c r="V2115"/>
  <c r="Z2115" l="1"/>
  <c r="AC2115"/>
  <c r="T2117"/>
  <c r="V2116"/>
  <c r="U2116"/>
  <c r="W2116" s="1"/>
  <c r="Z2116" l="1"/>
  <c r="AC2116"/>
  <c r="U2117"/>
  <c r="W2117" s="1"/>
  <c r="T2118"/>
  <c r="V2117"/>
  <c r="Z2117" l="1"/>
  <c r="AC2117"/>
  <c r="T2119"/>
  <c r="V2118"/>
  <c r="U2118"/>
  <c r="W2118" s="1"/>
  <c r="Z2118" l="1"/>
  <c r="AC2118"/>
  <c r="U2119"/>
  <c r="W2119" s="1"/>
  <c r="T2120"/>
  <c r="V2119"/>
  <c r="Z2119" l="1"/>
  <c r="AC2119"/>
  <c r="T2121"/>
  <c r="V2120"/>
  <c r="U2120"/>
  <c r="S2121" l="1"/>
  <c r="U2121"/>
  <c r="W2121" s="1"/>
  <c r="V2121"/>
  <c r="T2122"/>
  <c r="Z2121" l="1"/>
  <c r="AC2121"/>
  <c r="U2122"/>
  <c r="W2122" s="1"/>
  <c r="T2123"/>
  <c r="V2122"/>
  <c r="Z2122" l="1"/>
  <c r="AC2122"/>
  <c r="T2124"/>
  <c r="V2123"/>
  <c r="U2123"/>
  <c r="W2123" s="1"/>
  <c r="Z2123" l="1"/>
  <c r="AC2123"/>
  <c r="U2124"/>
  <c r="W2124" s="1"/>
  <c r="T2125"/>
  <c r="V2124"/>
  <c r="Z2124" l="1"/>
  <c r="AC2124"/>
  <c r="T2126"/>
  <c r="V2125"/>
  <c r="U2125"/>
  <c r="W2125" s="1"/>
  <c r="Z2125" l="1"/>
  <c r="AC2125"/>
  <c r="U2126"/>
  <c r="T2127"/>
  <c r="V2126"/>
  <c r="U2127" l="1"/>
  <c r="W2127" s="1"/>
  <c r="S2127"/>
  <c r="T2128"/>
  <c r="V2127"/>
  <c r="Z2127" l="1"/>
  <c r="AC2127"/>
  <c r="T2129"/>
  <c r="V2128"/>
  <c r="U2128"/>
  <c r="W2128" s="1"/>
  <c r="Z2128" l="1"/>
  <c r="AC2128"/>
  <c r="U2129"/>
  <c r="W2129" s="1"/>
  <c r="T2130"/>
  <c r="V2129"/>
  <c r="Z2129" l="1"/>
  <c r="AC2129"/>
  <c r="T2131"/>
  <c r="V2130"/>
  <c r="U2130"/>
  <c r="W2130" s="1"/>
  <c r="Z2130" l="1"/>
  <c r="AC2130"/>
  <c r="U2131"/>
  <c r="W2131" s="1"/>
  <c r="T2132"/>
  <c r="V2131"/>
  <c r="Z2131" l="1"/>
  <c r="AC2131"/>
  <c r="T2133"/>
  <c r="V2132"/>
  <c r="U2132"/>
  <c r="S2133" l="1"/>
  <c r="U2133"/>
  <c r="W2133" s="1"/>
  <c r="V2133"/>
  <c r="T2134"/>
  <c r="Z2133" l="1"/>
  <c r="AC2133"/>
  <c r="U2134"/>
  <c r="W2134" s="1"/>
  <c r="T2135"/>
  <c r="V2134"/>
  <c r="Z2134" l="1"/>
  <c r="AC2134"/>
  <c r="T2136"/>
  <c r="V2135"/>
  <c r="U2135"/>
  <c r="W2135" s="1"/>
  <c r="Z2135" l="1"/>
  <c r="AC2135"/>
  <c r="U2136"/>
  <c r="W2136" s="1"/>
  <c r="T2137"/>
  <c r="V2136"/>
  <c r="Z2136" l="1"/>
  <c r="AC2136"/>
  <c r="T2138"/>
  <c r="V2137"/>
  <c r="U2137"/>
  <c r="W2137" s="1"/>
  <c r="Z2137" l="1"/>
  <c r="AC2137"/>
  <c r="U2138"/>
  <c r="T2139"/>
  <c r="V2138"/>
  <c r="U2139" l="1"/>
  <c r="W2139" s="1"/>
  <c r="S2139"/>
  <c r="T2140"/>
  <c r="V2139"/>
  <c r="Z2139" l="1"/>
  <c r="AC2139"/>
  <c r="T2141"/>
  <c r="V2140"/>
  <c r="U2140"/>
  <c r="W2140" s="1"/>
  <c r="Z2140" l="1"/>
  <c r="AC2140"/>
  <c r="U2141"/>
  <c r="W2141" s="1"/>
  <c r="T2142"/>
  <c r="V2141"/>
  <c r="Z2141" l="1"/>
  <c r="AC2141"/>
  <c r="T2143"/>
  <c r="V2142"/>
  <c r="U2142"/>
  <c r="W2142" s="1"/>
  <c r="Z2142" l="1"/>
  <c r="AC2142"/>
  <c r="U2143"/>
  <c r="W2143" s="1"/>
  <c r="T2144"/>
  <c r="V2143"/>
  <c r="Z2143" l="1"/>
  <c r="AC2143"/>
  <c r="T2145"/>
  <c r="V2144"/>
  <c r="U2144"/>
  <c r="S2145" l="1"/>
  <c r="U2145"/>
  <c r="W2145" s="1"/>
  <c r="V2145"/>
  <c r="T2146"/>
  <c r="Z2145" l="1"/>
  <c r="AC2145"/>
  <c r="U2146"/>
  <c r="W2146" s="1"/>
  <c r="T2147"/>
  <c r="V2146"/>
  <c r="Z2146" l="1"/>
  <c r="AC2146"/>
  <c r="T2148"/>
  <c r="V2147"/>
  <c r="U2147"/>
  <c r="W2147" s="1"/>
  <c r="Z2147" l="1"/>
  <c r="AC2147"/>
  <c r="U2148"/>
  <c r="W2148" s="1"/>
  <c r="T2149"/>
  <c r="V2148"/>
  <c r="Z2148" l="1"/>
  <c r="AC2148"/>
  <c r="T2150"/>
  <c r="V2149"/>
  <c r="U2149"/>
  <c r="W2149" s="1"/>
  <c r="Z2149" l="1"/>
  <c r="AC2149"/>
  <c r="U2150"/>
  <c r="T2151"/>
  <c r="V2150"/>
  <c r="U2151" l="1"/>
  <c r="W2151" s="1"/>
  <c r="S2151"/>
  <c r="T2152"/>
  <c r="V2151"/>
  <c r="Z2151" l="1"/>
  <c r="AC2151"/>
  <c r="T2153"/>
  <c r="V2152"/>
  <c r="U2152"/>
  <c r="W2152" s="1"/>
  <c r="Z2152" l="1"/>
  <c r="AC2152"/>
  <c r="U2153"/>
  <c r="W2153" s="1"/>
  <c r="T2154"/>
  <c r="V2153"/>
  <c r="Z2153" l="1"/>
  <c r="AC2153"/>
  <c r="T2155"/>
  <c r="V2154"/>
  <c r="U2154"/>
  <c r="W2154" s="1"/>
  <c r="Z2154" l="1"/>
  <c r="AC2154"/>
  <c r="U2155"/>
  <c r="W2155" s="1"/>
  <c r="T2156"/>
  <c r="V2155"/>
  <c r="Z2155" l="1"/>
  <c r="AC2155"/>
  <c r="T2157"/>
  <c r="V2156"/>
  <c r="U2156"/>
  <c r="S2157" l="1"/>
  <c r="U2157"/>
  <c r="W2157" s="1"/>
  <c r="V2157"/>
  <c r="T2158"/>
  <c r="Z2157" l="1"/>
  <c r="AC2157"/>
  <c r="U2158"/>
  <c r="W2158" s="1"/>
  <c r="T2159"/>
  <c r="V2158"/>
  <c r="Z2158" l="1"/>
  <c r="AC2158"/>
  <c r="T2160"/>
  <c r="V2159"/>
  <c r="U2159"/>
  <c r="W2159" s="1"/>
  <c r="Z2159" l="1"/>
  <c r="AC2159"/>
  <c r="U2160"/>
  <c r="W2160" s="1"/>
  <c r="T2161"/>
  <c r="V2160"/>
  <c r="Z2160" l="1"/>
  <c r="AC2160"/>
  <c r="T2162"/>
  <c r="V2161"/>
  <c r="U2161"/>
  <c r="W2161" s="1"/>
  <c r="Z2161" l="1"/>
  <c r="AC2161"/>
  <c r="U2162"/>
  <c r="V2162"/>
  <c r="C37" i="1" l="1"/>
  <c r="B13" i="6" s="1"/>
  <c r="C9" l="1"/>
  <c r="B9" s="1"/>
  <c r="C31" i="1"/>
  <c r="C30"/>
  <c r="B6" i="6"/>
  <c r="B13" i="8" l="1"/>
  <c r="C21" i="1"/>
  <c r="B14" i="6"/>
  <c r="C14" s="1"/>
  <c r="C6"/>
  <c r="C13"/>
  <c r="B84" i="1"/>
  <c r="E84" s="1"/>
  <c r="B70"/>
  <c r="B96" s="1"/>
  <c r="B79"/>
  <c r="B78" s="1"/>
  <c r="E78" s="1"/>
  <c r="B14" i="8"/>
  <c r="B77" i="1"/>
  <c r="E77" s="1"/>
  <c r="B7" i="8"/>
  <c r="F7" s="1"/>
  <c r="B82" i="1"/>
  <c r="E82" s="1"/>
  <c r="C11" i="8"/>
  <c r="G11" s="1"/>
  <c r="C7"/>
  <c r="G7" s="1"/>
  <c r="B11"/>
  <c r="F11" s="1"/>
  <c r="G49" l="1"/>
  <c r="E49" s="1"/>
  <c r="F49" s="1"/>
  <c r="C22" i="1"/>
  <c r="B22" s="1"/>
  <c r="V49" i="8"/>
  <c r="X855" i="6"/>
  <c r="AB855" s="1"/>
  <c r="D101" i="8"/>
  <c r="G37"/>
  <c r="E37" s="1"/>
  <c r="F37" s="1"/>
  <c r="P37" s="1"/>
  <c r="G45"/>
  <c r="E45" s="1"/>
  <c r="F45" s="1"/>
  <c r="P45" s="1"/>
  <c r="G47"/>
  <c r="E47" s="1"/>
  <c r="F47" s="1"/>
  <c r="G46"/>
  <c r="E46" s="1"/>
  <c r="F46" s="1"/>
  <c r="G31"/>
  <c r="E31" s="1"/>
  <c r="X2119" i="6"/>
  <c r="AB2119" s="1"/>
  <c r="G30" i="8"/>
  <c r="G29"/>
  <c r="G33"/>
  <c r="G34"/>
  <c r="X1929" i="6"/>
  <c r="AB1929" s="1"/>
  <c r="X1103"/>
  <c r="AB1103" s="1"/>
  <c r="G36" i="8"/>
  <c r="G48"/>
  <c r="E48" s="1"/>
  <c r="F48" s="1"/>
  <c r="G50"/>
  <c r="X817" i="6"/>
  <c r="AB817" s="1"/>
  <c r="X1435"/>
  <c r="AB1435" s="1"/>
  <c r="X439"/>
  <c r="AB439" s="1"/>
  <c r="X565"/>
  <c r="AB565" s="1"/>
  <c r="X219"/>
  <c r="AB219" s="1"/>
  <c r="X820"/>
  <c r="AB820" s="1"/>
  <c r="X527"/>
  <c r="AB527" s="1"/>
  <c r="X505"/>
  <c r="AB505" s="1"/>
  <c r="X1552"/>
  <c r="AB1552" s="1"/>
  <c r="G39" i="8"/>
  <c r="G38"/>
  <c r="G40"/>
  <c r="G42"/>
  <c r="G52"/>
  <c r="G32"/>
  <c r="G35"/>
  <c r="G41"/>
  <c r="X627" i="6"/>
  <c r="AB627" s="1"/>
  <c r="X1290"/>
  <c r="AB1290" s="1"/>
  <c r="X337"/>
  <c r="AB337" s="1"/>
  <c r="X2026"/>
  <c r="AB2026" s="1"/>
  <c r="X1090"/>
  <c r="AB1090" s="1"/>
  <c r="G43" i="8"/>
  <c r="X1536" i="6"/>
  <c r="AB1536" s="1"/>
  <c r="X1912"/>
  <c r="AB1912" s="1"/>
  <c r="X276"/>
  <c r="AB276" s="1"/>
  <c r="X315"/>
  <c r="AB315" s="1"/>
  <c r="X1174"/>
  <c r="AB1174" s="1"/>
  <c r="X701"/>
  <c r="AB701" s="1"/>
  <c r="X2021"/>
  <c r="AB2021" s="1"/>
  <c r="X723"/>
  <c r="AB723" s="1"/>
  <c r="X1759"/>
  <c r="AB1759" s="1"/>
  <c r="X1991"/>
  <c r="AB1991" s="1"/>
  <c r="X257"/>
  <c r="AB257" s="1"/>
  <c r="X1560"/>
  <c r="AB1560" s="1"/>
  <c r="X601"/>
  <c r="AB601" s="1"/>
  <c r="X923"/>
  <c r="AB923" s="1"/>
  <c r="X430"/>
  <c r="AB430" s="1"/>
  <c r="X87"/>
  <c r="AB87" s="1"/>
  <c r="X946"/>
  <c r="AB946" s="1"/>
  <c r="X1068"/>
  <c r="AB1068" s="1"/>
  <c r="X1291"/>
  <c r="AB1291" s="1"/>
  <c r="X1962"/>
  <c r="AB1962" s="1"/>
  <c r="X1216"/>
  <c r="AB1216" s="1"/>
  <c r="X1643"/>
  <c r="AB1643" s="1"/>
  <c r="X1313"/>
  <c r="AB1313" s="1"/>
  <c r="X1812"/>
  <c r="AB1812" s="1"/>
  <c r="X135"/>
  <c r="AB135" s="1"/>
  <c r="X753"/>
  <c r="AB753" s="1"/>
  <c r="X1707"/>
  <c r="AB1707" s="1"/>
  <c r="X1588"/>
  <c r="AB1588" s="1"/>
  <c r="X1969"/>
  <c r="AB1969" s="1"/>
  <c r="X665"/>
  <c r="AB665" s="1"/>
  <c r="X1001"/>
  <c r="AB1001" s="1"/>
  <c r="X2040"/>
  <c r="AB2040" s="1"/>
  <c r="X1143"/>
  <c r="AB1143" s="1"/>
  <c r="X508"/>
  <c r="AB508" s="1"/>
  <c r="X1475"/>
  <c r="AB1475" s="1"/>
  <c r="X1157"/>
  <c r="AB1157" s="1"/>
  <c r="X1150"/>
  <c r="AB1150" s="1"/>
  <c r="X612"/>
  <c r="AB612" s="1"/>
  <c r="X418"/>
  <c r="AB418" s="1"/>
  <c r="X1985"/>
  <c r="AB1985" s="1"/>
  <c r="X1167"/>
  <c r="AB1167" s="1"/>
  <c r="X4"/>
  <c r="AB4" s="1"/>
  <c r="X1033"/>
  <c r="AB1033" s="1"/>
  <c r="X1260"/>
  <c r="AB1260" s="1"/>
  <c r="X1708"/>
  <c r="AB1708" s="1"/>
  <c r="X657"/>
  <c r="AB657" s="1"/>
  <c r="X1799"/>
  <c r="AB1799" s="1"/>
  <c r="X949"/>
  <c r="AB949" s="1"/>
  <c r="X1357"/>
  <c r="AB1357" s="1"/>
  <c r="X262"/>
  <c r="AB262" s="1"/>
  <c r="X329"/>
  <c r="AB329" s="1"/>
  <c r="X697"/>
  <c r="AB697" s="1"/>
  <c r="X719"/>
  <c r="AB719" s="1"/>
  <c r="X789"/>
  <c r="AB789" s="1"/>
  <c r="X799"/>
  <c r="AB799" s="1"/>
  <c r="X1661"/>
  <c r="AB1661" s="1"/>
  <c r="X1393"/>
  <c r="AB1393" s="1"/>
  <c r="X1474"/>
  <c r="AB1474" s="1"/>
  <c r="X1837"/>
  <c r="AB1837" s="1"/>
  <c r="X1427"/>
  <c r="AB1427" s="1"/>
  <c r="X802"/>
  <c r="AB802" s="1"/>
  <c r="X917"/>
  <c r="AB917" s="1"/>
  <c r="X1998"/>
  <c r="AB1998" s="1"/>
  <c r="X859"/>
  <c r="AB859" s="1"/>
  <c r="X604"/>
  <c r="AB604" s="1"/>
  <c r="X1113"/>
  <c r="AB1113" s="1"/>
  <c r="X1438"/>
  <c r="AB1438" s="1"/>
  <c r="X451"/>
  <c r="AB451" s="1"/>
  <c r="X348"/>
  <c r="AB348" s="1"/>
  <c r="X696"/>
  <c r="AB696" s="1"/>
  <c r="X33"/>
  <c r="AB33" s="1"/>
  <c r="X1585"/>
  <c r="AB1585" s="1"/>
  <c r="X1051"/>
  <c r="AB1051" s="1"/>
  <c r="X1649"/>
  <c r="AB1649" s="1"/>
  <c r="X1263"/>
  <c r="AB1263" s="1"/>
  <c r="X931"/>
  <c r="AB931" s="1"/>
  <c r="X1009"/>
  <c r="AB1009" s="1"/>
  <c r="X195"/>
  <c r="AB195" s="1"/>
  <c r="X238"/>
  <c r="AB238" s="1"/>
  <c r="X147"/>
  <c r="AB147" s="1"/>
  <c r="X19"/>
  <c r="AB19" s="1"/>
  <c r="X2115"/>
  <c r="AB2115" s="1"/>
  <c r="X581"/>
  <c r="AB581" s="1"/>
  <c r="X1243"/>
  <c r="AB1243" s="1"/>
  <c r="X1146"/>
  <c r="AB1146" s="1"/>
  <c r="X1476"/>
  <c r="AB1476" s="1"/>
  <c r="X1894"/>
  <c r="AB1894" s="1"/>
  <c r="X930"/>
  <c r="AB930" s="1"/>
  <c r="X306"/>
  <c r="AB306" s="1"/>
  <c r="X1360"/>
  <c r="AB1360" s="1"/>
  <c r="X389"/>
  <c r="AB389" s="1"/>
  <c r="X432"/>
  <c r="AB432" s="1"/>
  <c r="X1665"/>
  <c r="AB1665" s="1"/>
  <c r="X21"/>
  <c r="AB21" s="1"/>
  <c r="X2032"/>
  <c r="AB2032" s="1"/>
  <c r="X1831"/>
  <c r="AB1831" s="1"/>
  <c r="X1105"/>
  <c r="AB1105" s="1"/>
  <c r="X2002"/>
  <c r="AB2002" s="1"/>
  <c r="X826"/>
  <c r="AB826" s="1"/>
  <c r="X907"/>
  <c r="AB907" s="1"/>
  <c r="X687"/>
  <c r="AB687" s="1"/>
  <c r="X131"/>
  <c r="AB131" s="1"/>
  <c r="X867"/>
  <c r="AB867" s="1"/>
  <c r="X1553"/>
  <c r="AB1553" s="1"/>
  <c r="X1063"/>
  <c r="AB1063" s="1"/>
  <c r="X34"/>
  <c r="AB34" s="1"/>
  <c r="X781"/>
  <c r="AB781" s="1"/>
  <c r="X1515"/>
  <c r="AB1515" s="1"/>
  <c r="X166"/>
  <c r="AB166" s="1"/>
  <c r="X1117"/>
  <c r="AB1117" s="1"/>
  <c r="X1800"/>
  <c r="AB1800" s="1"/>
  <c r="X1582"/>
  <c r="AB1582" s="1"/>
  <c r="X1468"/>
  <c r="AB1468" s="1"/>
  <c r="X643"/>
  <c r="AB643" s="1"/>
  <c r="X1451"/>
  <c r="AB1451" s="1"/>
  <c r="X1944"/>
  <c r="AB1944" s="1"/>
  <c r="X1399"/>
  <c r="AB1399" s="1"/>
  <c r="X663"/>
  <c r="AB663" s="1"/>
  <c r="X904"/>
  <c r="AB904" s="1"/>
  <c r="X2076"/>
  <c r="AB2076" s="1"/>
  <c r="X1863"/>
  <c r="AB1863" s="1"/>
  <c r="X1473"/>
  <c r="AB1473" s="1"/>
  <c r="X1272"/>
  <c r="AB1272" s="1"/>
  <c r="X239"/>
  <c r="AB239" s="1"/>
  <c r="X1163"/>
  <c r="AB1163" s="1"/>
  <c r="X544"/>
  <c r="AB544" s="1"/>
  <c r="X1989"/>
  <c r="AB1989" s="1"/>
  <c r="X341"/>
  <c r="AB341" s="1"/>
  <c r="X467"/>
  <c r="AB467" s="1"/>
  <c r="X275"/>
  <c r="AB275" s="1"/>
  <c r="X916"/>
  <c r="AB916" s="1"/>
  <c r="X2106"/>
  <c r="AB2106" s="1"/>
  <c r="X57"/>
  <c r="AB57" s="1"/>
  <c r="X1231"/>
  <c r="AB1231" s="1"/>
  <c r="X447"/>
  <c r="AB447" s="1"/>
  <c r="X768"/>
  <c r="AB768" s="1"/>
  <c r="X1770"/>
  <c r="AB1770" s="1"/>
  <c r="X375"/>
  <c r="AB375" s="1"/>
  <c r="X1846"/>
  <c r="AB1846" s="1"/>
  <c r="X1445"/>
  <c r="AB1445" s="1"/>
  <c r="X1479"/>
  <c r="AB1479" s="1"/>
  <c r="X217"/>
  <c r="AB217" s="1"/>
  <c r="X1421"/>
  <c r="AB1421" s="1"/>
  <c r="X192"/>
  <c r="AB192" s="1"/>
  <c r="X1692"/>
  <c r="AB1692" s="1"/>
  <c r="X988"/>
  <c r="AB988" s="1"/>
  <c r="X955"/>
  <c r="AB955" s="1"/>
  <c r="X889"/>
  <c r="AB889" s="1"/>
  <c r="X534"/>
  <c r="AB534" s="1"/>
  <c r="X1457"/>
  <c r="AB1457" s="1"/>
  <c r="X1648"/>
  <c r="AB1648" s="1"/>
  <c r="X2092"/>
  <c r="AB2092" s="1"/>
  <c r="X1073"/>
  <c r="AB1073" s="1"/>
  <c r="X1583"/>
  <c r="AB1583" s="1"/>
  <c r="X213"/>
  <c r="AB213" s="1"/>
  <c r="X1255"/>
  <c r="AB1255" s="1"/>
  <c r="X2107"/>
  <c r="AB2107" s="1"/>
  <c r="X1369"/>
  <c r="AB1369" s="1"/>
  <c r="X1470"/>
  <c r="AB1470" s="1"/>
  <c r="X1306"/>
  <c r="AB1306" s="1"/>
  <c r="X253"/>
  <c r="AB253" s="1"/>
  <c r="X600"/>
  <c r="AB600" s="1"/>
  <c r="X977"/>
  <c r="AB977" s="1"/>
  <c r="X141"/>
  <c r="AB141" s="1"/>
  <c r="X1409"/>
  <c r="AB1409" s="1"/>
  <c r="X1721"/>
  <c r="AB1721" s="1"/>
  <c r="X1908"/>
  <c r="AB1908" s="1"/>
  <c r="X1697"/>
  <c r="AB1697" s="1"/>
  <c r="X1215"/>
  <c r="AB1215" s="1"/>
  <c r="X1638"/>
  <c r="AB1638" s="1"/>
  <c r="X1072"/>
  <c r="AB1072" s="1"/>
  <c r="X2069"/>
  <c r="AB2069" s="1"/>
  <c r="X839"/>
  <c r="AB839" s="1"/>
  <c r="X421"/>
  <c r="AB421" s="1"/>
  <c r="X574"/>
  <c r="AB574" s="1"/>
  <c r="X390"/>
  <c r="AB390" s="1"/>
  <c r="X2137"/>
  <c r="AB2137" s="1"/>
  <c r="X1011"/>
  <c r="AB1011" s="1"/>
  <c r="X654"/>
  <c r="AB654" s="1"/>
  <c r="X66"/>
  <c r="AB66" s="1"/>
  <c r="X1338"/>
  <c r="AB1338" s="1"/>
  <c r="X1981"/>
  <c r="AB1981" s="1"/>
  <c r="X1590"/>
  <c r="AB1590" s="1"/>
  <c r="X1398"/>
  <c r="AB1398" s="1"/>
  <c r="X1327"/>
  <c r="AB1327" s="1"/>
  <c r="X1267"/>
  <c r="AB1267" s="1"/>
  <c r="X2104"/>
  <c r="AB2104" s="1"/>
  <c r="X1937"/>
  <c r="AB1937" s="1"/>
  <c r="X1528"/>
  <c r="AB1528" s="1"/>
  <c r="X685"/>
  <c r="AB685" s="1"/>
  <c r="X575"/>
  <c r="AB575" s="1"/>
  <c r="X1803"/>
  <c r="AB1803" s="1"/>
  <c r="X1228"/>
  <c r="AB1228" s="1"/>
  <c r="X1050"/>
  <c r="AB1050" s="1"/>
  <c r="X520"/>
  <c r="AB520" s="1"/>
  <c r="X124"/>
  <c r="AB124" s="1"/>
  <c r="X1056"/>
  <c r="AB1056" s="1"/>
  <c r="X1569"/>
  <c r="AB1569" s="1"/>
  <c r="X1926"/>
  <c r="AB1926" s="1"/>
  <c r="X1201"/>
  <c r="AB1201" s="1"/>
  <c r="X1612"/>
  <c r="AB1612" s="1"/>
  <c r="X1080"/>
  <c r="AB1080" s="1"/>
  <c r="X493"/>
  <c r="AB493" s="1"/>
  <c r="X355"/>
  <c r="AB355" s="1"/>
  <c r="X1017"/>
  <c r="AB1017" s="1"/>
  <c r="X1860"/>
  <c r="AB1860" s="1"/>
  <c r="X1968"/>
  <c r="AB1968" s="1"/>
  <c r="X9"/>
  <c r="AB9" s="1"/>
  <c r="X1277"/>
  <c r="AB1277" s="1"/>
  <c r="X468"/>
  <c r="AB468" s="1"/>
  <c r="X117"/>
  <c r="AB117" s="1"/>
  <c r="X1645"/>
  <c r="AB1645" s="1"/>
  <c r="X509"/>
  <c r="AB509" s="1"/>
  <c r="X1587"/>
  <c r="AB1587" s="1"/>
  <c r="X1102"/>
  <c r="AB1102" s="1"/>
  <c r="X52"/>
  <c r="AB52" s="1"/>
  <c r="X2001"/>
  <c r="AB2001" s="1"/>
  <c r="X1128"/>
  <c r="AB1128" s="1"/>
  <c r="X1757"/>
  <c r="AB1757" s="1"/>
  <c r="X943"/>
  <c r="AB943" s="1"/>
  <c r="X784"/>
  <c r="AB784" s="1"/>
  <c r="X797"/>
  <c r="AB797" s="1"/>
  <c r="X1239"/>
  <c r="AB1239" s="1"/>
  <c r="X1755"/>
  <c r="AB1755" s="1"/>
  <c r="X919"/>
  <c r="AB919" s="1"/>
  <c r="X1787"/>
  <c r="AB1787" s="1"/>
  <c r="X1618"/>
  <c r="AB1618" s="1"/>
  <c r="X1141"/>
  <c r="AB1141" s="1"/>
  <c r="X1015"/>
  <c r="AB1015" s="1"/>
  <c r="X247"/>
  <c r="AB247" s="1"/>
  <c r="X886"/>
  <c r="AB886" s="1"/>
  <c r="X2136"/>
  <c r="AB2136" s="1"/>
  <c r="X985"/>
  <c r="AB985" s="1"/>
  <c r="X2014"/>
  <c r="AB2014" s="1"/>
  <c r="X1701"/>
  <c r="AB1701" s="1"/>
  <c r="X1642"/>
  <c r="AB1642" s="1"/>
  <c r="X1888"/>
  <c r="AB1888" s="1"/>
  <c r="X1108"/>
  <c r="AB1108" s="1"/>
  <c r="X1625"/>
  <c r="AB1625" s="1"/>
  <c r="X2087"/>
  <c r="AB2087" s="1"/>
  <c r="X856"/>
  <c r="AB856" s="1"/>
  <c r="X1042"/>
  <c r="AB1042" s="1"/>
  <c r="X233"/>
  <c r="AB233" s="1"/>
  <c r="X402"/>
  <c r="AB402" s="1"/>
  <c r="X1714"/>
  <c r="AB1714" s="1"/>
  <c r="X1578"/>
  <c r="AB1578" s="1"/>
  <c r="X979"/>
  <c r="AB979" s="1"/>
  <c r="X1816"/>
  <c r="AB1816" s="1"/>
  <c r="X46"/>
  <c r="AB46" s="1"/>
  <c r="X215"/>
  <c r="AB215" s="1"/>
  <c r="X102"/>
  <c r="AB102" s="1"/>
  <c r="X532"/>
  <c r="AB532" s="1"/>
  <c r="X252"/>
  <c r="AB252" s="1"/>
  <c r="X1057"/>
  <c r="AB1057" s="1"/>
  <c r="X1855"/>
  <c r="AB1855" s="1"/>
  <c r="X1624"/>
  <c r="AB1624" s="1"/>
  <c r="X543"/>
  <c r="AB543" s="1"/>
  <c r="X1823"/>
  <c r="AB1823" s="1"/>
  <c r="X1603"/>
  <c r="AB1603" s="1"/>
  <c r="X1504"/>
  <c r="AB1504" s="1"/>
  <c r="X833"/>
  <c r="AB833" s="1"/>
  <c r="X1426"/>
  <c r="AB1426" s="1"/>
  <c r="X888"/>
  <c r="AB888" s="1"/>
  <c r="X395"/>
  <c r="AB395" s="1"/>
  <c r="X1165"/>
  <c r="AB1165" s="1"/>
  <c r="X1794"/>
  <c r="AB1794" s="1"/>
  <c r="X1851"/>
  <c r="AB1851" s="1"/>
  <c r="X947"/>
  <c r="AB947" s="1"/>
  <c r="X1347"/>
  <c r="AB1347" s="1"/>
  <c r="X2031"/>
  <c r="AB2031" s="1"/>
  <c r="X1054"/>
  <c r="AB1054" s="1"/>
  <c r="X472"/>
  <c r="AB472" s="1"/>
  <c r="X1899"/>
  <c r="AB1899" s="1"/>
  <c r="X1549"/>
  <c r="AB1549" s="1"/>
  <c r="X773"/>
  <c r="AB773" s="1"/>
  <c r="X771"/>
  <c r="AB771" s="1"/>
  <c r="X982"/>
  <c r="AB982" s="1"/>
  <c r="X1579"/>
  <c r="AB1579" s="1"/>
  <c r="X29"/>
  <c r="AB29" s="1"/>
  <c r="X209"/>
  <c r="AB209" s="1"/>
  <c r="X1341"/>
  <c r="AB1341" s="1"/>
  <c r="X1416"/>
  <c r="AB1416" s="1"/>
  <c r="X346"/>
  <c r="AB346" s="1"/>
  <c r="X892"/>
  <c r="AB892" s="1"/>
  <c r="X1104"/>
  <c r="AB1104" s="1"/>
  <c r="X229"/>
  <c r="AB229" s="1"/>
  <c r="X1287"/>
  <c r="AB1287" s="1"/>
  <c r="X831"/>
  <c r="AB831" s="1"/>
  <c r="X84"/>
  <c r="AB84" s="1"/>
  <c r="X1078"/>
  <c r="AB1078" s="1"/>
  <c r="X1690"/>
  <c r="AB1690" s="1"/>
  <c r="X1653"/>
  <c r="AB1653" s="1"/>
  <c r="X459"/>
  <c r="AB459" s="1"/>
  <c r="X1242"/>
  <c r="AB1242" s="1"/>
  <c r="X1006"/>
  <c r="AB1006" s="1"/>
  <c r="X1140"/>
  <c r="AB1140" s="1"/>
  <c r="X169"/>
  <c r="AB169" s="1"/>
  <c r="X291"/>
  <c r="AB291" s="1"/>
  <c r="X1512"/>
  <c r="AB1512" s="1"/>
  <c r="X1061"/>
  <c r="AB1061" s="1"/>
  <c r="X525"/>
  <c r="AB525" s="1"/>
  <c r="X1195"/>
  <c r="AB1195" s="1"/>
  <c r="X757"/>
  <c r="AB757" s="1"/>
  <c r="X603"/>
  <c r="AB603" s="1"/>
  <c r="X186"/>
  <c r="AB186" s="1"/>
  <c r="X945"/>
  <c r="AB945" s="1"/>
  <c r="X939"/>
  <c r="AB939" s="1"/>
  <c r="X960"/>
  <c r="AB960" s="1"/>
  <c r="X1411"/>
  <c r="AB1411" s="1"/>
  <c r="X2142"/>
  <c r="AB2142" s="1"/>
  <c r="X1459"/>
  <c r="AB1459" s="1"/>
  <c r="X707"/>
  <c r="AB707" s="1"/>
  <c r="X787"/>
  <c r="AB787" s="1"/>
  <c r="X6"/>
  <c r="AB6" s="1"/>
  <c r="X853"/>
  <c r="AB853" s="1"/>
  <c r="X1657"/>
  <c r="AB1657" s="1"/>
  <c r="X1505"/>
  <c r="AB1505" s="1"/>
  <c r="X1477"/>
  <c r="AB1477" s="1"/>
  <c r="X706"/>
  <c r="AB706" s="1"/>
  <c r="X340"/>
  <c r="AB340" s="1"/>
  <c r="X633"/>
  <c r="AB633" s="1"/>
  <c r="X1355"/>
  <c r="AB1355" s="1"/>
  <c r="X1303"/>
  <c r="AB1303" s="1"/>
  <c r="X55"/>
  <c r="AB55" s="1"/>
  <c r="X1907"/>
  <c r="AB1907" s="1"/>
  <c r="X1230"/>
  <c r="AB1230" s="1"/>
  <c r="X2035"/>
  <c r="AB2035" s="1"/>
  <c r="X712"/>
  <c r="AB712" s="1"/>
  <c r="X569"/>
  <c r="AB569" s="1"/>
  <c r="X1704"/>
  <c r="AB1704" s="1"/>
  <c r="X2158"/>
  <c r="AB2158" s="1"/>
  <c r="X1751"/>
  <c r="AB1751" s="1"/>
  <c r="X1533"/>
  <c r="AB1533" s="1"/>
  <c r="X528"/>
  <c r="AB528" s="1"/>
  <c r="X490"/>
  <c r="AB490" s="1"/>
  <c r="X1959"/>
  <c r="AB1959" s="1"/>
  <c r="X1879"/>
  <c r="AB1879" s="1"/>
  <c r="X53"/>
  <c r="AB53" s="1"/>
  <c r="X317"/>
  <c r="AB317" s="1"/>
  <c r="X60"/>
  <c r="AB60" s="1"/>
  <c r="X111"/>
  <c r="AB111" s="1"/>
  <c r="X1660"/>
  <c r="AB1660" s="1"/>
  <c r="X323"/>
  <c r="AB323" s="1"/>
  <c r="X1219"/>
  <c r="AB1219" s="1"/>
  <c r="X1655"/>
  <c r="AB1655" s="1"/>
  <c r="X365"/>
  <c r="AB365" s="1"/>
  <c r="X1806"/>
  <c r="AB1806" s="1"/>
  <c r="X13"/>
  <c r="AB13" s="1"/>
  <c r="X105"/>
  <c r="AB105" s="1"/>
  <c r="X1525"/>
  <c r="AB1525" s="1"/>
  <c r="X481"/>
  <c r="AB481" s="1"/>
  <c r="X743"/>
  <c r="AB743" s="1"/>
  <c r="X1686"/>
  <c r="AB1686" s="1"/>
  <c r="X1764"/>
  <c r="AB1764" s="1"/>
  <c r="X1777"/>
  <c r="AB1777" s="1"/>
  <c r="X1857"/>
  <c r="AB1857" s="1"/>
  <c r="X99"/>
  <c r="AB99" s="1"/>
  <c r="X905"/>
  <c r="AB905" s="1"/>
  <c r="X1878"/>
  <c r="AB1878" s="1"/>
  <c r="X2063"/>
  <c r="AB2063" s="1"/>
  <c r="X1617"/>
  <c r="AB1617" s="1"/>
  <c r="X1331"/>
  <c r="AB1331" s="1"/>
  <c r="X1966"/>
  <c r="AB1966" s="1"/>
  <c r="X849"/>
  <c r="AB849" s="1"/>
  <c r="X126"/>
  <c r="AB126" s="1"/>
  <c r="X1029"/>
  <c r="AB1029" s="1"/>
  <c r="X63"/>
  <c r="AB63" s="1"/>
  <c r="X399"/>
  <c r="AB399" s="1"/>
  <c r="X495"/>
  <c r="AB495" s="1"/>
  <c r="X857"/>
  <c r="AB857" s="1"/>
  <c r="X1890"/>
  <c r="AB1890" s="1"/>
  <c r="X873"/>
  <c r="AB873" s="1"/>
  <c r="X1236"/>
  <c r="AB1236" s="1"/>
  <c r="X225"/>
  <c r="AB225" s="1"/>
  <c r="X109"/>
  <c r="AB109" s="1"/>
  <c r="X78"/>
  <c r="AB78" s="1"/>
  <c r="X269"/>
  <c r="AB269" s="1"/>
  <c r="X1278"/>
  <c r="AB1278" s="1"/>
  <c r="X825"/>
  <c r="AB825" s="1"/>
  <c r="X179"/>
  <c r="AB179" s="1"/>
  <c r="X2080"/>
  <c r="AB2080" s="1"/>
  <c r="X1702"/>
  <c r="AB1702" s="1"/>
  <c r="X1810"/>
  <c r="AB1810" s="1"/>
  <c r="X816"/>
  <c r="AB816" s="1"/>
  <c r="X1685"/>
  <c r="AB1685" s="1"/>
  <c r="X1359"/>
  <c r="AB1359" s="1"/>
  <c r="X1722"/>
  <c r="AB1722" s="1"/>
  <c r="X996"/>
  <c r="AB996" s="1"/>
  <c r="X1696"/>
  <c r="AB1696" s="1"/>
  <c r="X2103"/>
  <c r="AB2103" s="1"/>
  <c r="X1673"/>
  <c r="AB1673" s="1"/>
  <c r="X400"/>
  <c r="AB400" s="1"/>
  <c r="X1464"/>
  <c r="AB1464" s="1"/>
  <c r="X864"/>
  <c r="AB864" s="1"/>
  <c r="X737"/>
  <c r="AB737" s="1"/>
  <c r="X843"/>
  <c r="AB843" s="1"/>
  <c r="X103"/>
  <c r="AB103" s="1"/>
  <c r="X1384"/>
  <c r="AB1384" s="1"/>
  <c r="X347"/>
  <c r="AB347" s="1"/>
  <c r="X1110"/>
  <c r="AB1110" s="1"/>
  <c r="X293"/>
  <c r="AB293" s="1"/>
  <c r="X282"/>
  <c r="AB282" s="1"/>
  <c r="X2101"/>
  <c r="AB2101" s="1"/>
  <c r="X1179"/>
  <c r="AB1179" s="1"/>
  <c r="X617"/>
  <c r="AB617" s="1"/>
  <c r="X401"/>
  <c r="AB401" s="1"/>
  <c r="X1961"/>
  <c r="AB1961" s="1"/>
  <c r="X1249"/>
  <c r="AB1249" s="1"/>
  <c r="X1561"/>
  <c r="AB1561" s="1"/>
  <c r="X1074"/>
  <c r="AB1074" s="1"/>
  <c r="X1288"/>
  <c r="AB1288" s="1"/>
  <c r="X1381"/>
  <c r="AB1381" s="1"/>
  <c r="X828"/>
  <c r="AB828" s="1"/>
  <c r="X760"/>
  <c r="AB760" s="1"/>
  <c r="X1053"/>
  <c r="AB1053" s="1"/>
  <c r="X766"/>
  <c r="AB766" s="1"/>
  <c r="X733"/>
  <c r="AB733" s="1"/>
  <c r="X1348"/>
  <c r="AB1348" s="1"/>
  <c r="X1815"/>
  <c r="AB1815" s="1"/>
  <c r="X125"/>
  <c r="AB125" s="1"/>
  <c r="X1350"/>
  <c r="AB1350" s="1"/>
  <c r="X599"/>
  <c r="AB599" s="1"/>
  <c r="X1821"/>
  <c r="AB1821" s="1"/>
  <c r="X58"/>
  <c r="AB58" s="1"/>
  <c r="X1849"/>
  <c r="AB1849" s="1"/>
  <c r="X1317"/>
  <c r="AB1317" s="1"/>
  <c r="X1149"/>
  <c r="AB1149" s="1"/>
  <c r="X1573"/>
  <c r="AB1573" s="1"/>
  <c r="X1321"/>
  <c r="AB1321" s="1"/>
  <c r="X1368"/>
  <c r="AB1368" s="1"/>
  <c r="X1199"/>
  <c r="AB1199" s="1"/>
  <c r="X1362"/>
  <c r="AB1362" s="1"/>
  <c r="X727"/>
  <c r="AB727" s="1"/>
  <c r="X2088"/>
  <c r="AB2088" s="1"/>
  <c r="X1273"/>
  <c r="AB1273" s="1"/>
  <c r="X292"/>
  <c r="AB292" s="1"/>
  <c r="X352"/>
  <c r="AB352" s="1"/>
  <c r="X1717"/>
  <c r="AB1717" s="1"/>
  <c r="X424"/>
  <c r="AB424" s="1"/>
  <c r="X250"/>
  <c r="AB250" s="1"/>
  <c r="X322"/>
  <c r="AB322" s="1"/>
  <c r="X1847"/>
  <c r="AB1847" s="1"/>
  <c r="X769"/>
  <c r="AB769" s="1"/>
  <c r="X1181"/>
  <c r="AB1181" s="1"/>
  <c r="X1986"/>
  <c r="AB1986" s="1"/>
  <c r="X411"/>
  <c r="AB411" s="1"/>
  <c r="X28"/>
  <c r="AB28" s="1"/>
  <c r="X933"/>
  <c r="AB933" s="1"/>
  <c r="X81"/>
  <c r="AB81" s="1"/>
  <c r="X868"/>
  <c r="AB868" s="1"/>
  <c r="X1639"/>
  <c r="AB1639" s="1"/>
  <c r="X1518"/>
  <c r="AB1518" s="1"/>
  <c r="X1503"/>
  <c r="AB1503" s="1"/>
  <c r="X708"/>
  <c r="AB708" s="1"/>
  <c r="X1332"/>
  <c r="AB1332" s="1"/>
  <c r="X498"/>
  <c r="AB498" s="1"/>
  <c r="X953"/>
  <c r="AB953" s="1"/>
  <c r="X2038"/>
  <c r="AB2038" s="1"/>
  <c r="X7"/>
  <c r="AB7" s="1"/>
  <c r="X1945"/>
  <c r="AB1945" s="1"/>
  <c r="X1330"/>
  <c r="AB1330" s="1"/>
  <c r="X1595"/>
  <c r="AB1595" s="1"/>
  <c r="X801"/>
  <c r="AB801" s="1"/>
  <c r="X1488"/>
  <c r="AB1488" s="1"/>
  <c r="X1002"/>
  <c r="AB1002" s="1"/>
  <c r="X576"/>
  <c r="AB576" s="1"/>
  <c r="X739"/>
  <c r="AB739" s="1"/>
  <c r="X477"/>
  <c r="AB477" s="1"/>
  <c r="X1774"/>
  <c r="AB1774" s="1"/>
  <c r="X1180"/>
  <c r="AB1180" s="1"/>
  <c r="X966"/>
  <c r="AB966" s="1"/>
  <c r="X1534"/>
  <c r="AB1534" s="1"/>
  <c r="X24"/>
  <c r="AB24" s="1"/>
  <c r="X193"/>
  <c r="AB193" s="1"/>
  <c r="X180"/>
  <c r="AB180" s="1"/>
  <c r="X130"/>
  <c r="AB130" s="1"/>
  <c r="X2013"/>
  <c r="AB2013" s="1"/>
  <c r="X1315"/>
  <c r="AB1315" s="1"/>
  <c r="X211"/>
  <c r="AB211" s="1"/>
  <c r="X112"/>
  <c r="AB112" s="1"/>
  <c r="X1469"/>
  <c r="AB1469" s="1"/>
  <c r="X1005"/>
  <c r="AB1005" s="1"/>
  <c r="X216"/>
  <c r="AB216" s="1"/>
  <c r="X1943"/>
  <c r="AB1943" s="1"/>
  <c r="X1091"/>
  <c r="AB1091" s="1"/>
  <c r="X1431"/>
  <c r="AB1431" s="1"/>
  <c r="X407"/>
  <c r="AB407" s="1"/>
  <c r="X615"/>
  <c r="AB615" s="1"/>
  <c r="X2027"/>
  <c r="AB2027" s="1"/>
  <c r="X96"/>
  <c r="AB96" s="1"/>
  <c r="X69"/>
  <c r="AB69" s="1"/>
  <c r="X49"/>
  <c r="AB49" s="1"/>
  <c r="X1749"/>
  <c r="AB1749" s="1"/>
  <c r="X2005"/>
  <c r="AB2005" s="1"/>
  <c r="X1993"/>
  <c r="AB1993" s="1"/>
  <c r="X1275"/>
  <c r="AB1275" s="1"/>
  <c r="X594"/>
  <c r="AB594" s="1"/>
  <c r="X1545"/>
  <c r="AB1545" s="1"/>
  <c r="X961"/>
  <c r="AB961" s="1"/>
  <c r="X1951"/>
  <c r="AB1951" s="1"/>
  <c r="B106" i="1"/>
  <c r="E106" s="1"/>
  <c r="E79"/>
  <c r="B83"/>
  <c r="E83" s="1"/>
  <c r="B86"/>
  <c r="E86" s="1"/>
  <c r="X449" i="6"/>
  <c r="AB449" s="1"/>
  <c r="X433"/>
  <c r="AB433" s="1"/>
  <c r="X208"/>
  <c r="AB208" s="1"/>
  <c r="X1098"/>
  <c r="AB1098" s="1"/>
  <c r="X1422"/>
  <c r="AB1422" s="1"/>
  <c r="X546"/>
  <c r="AB546" s="1"/>
  <c r="X1311"/>
  <c r="AB1311" s="1"/>
  <c r="X570"/>
  <c r="AB570" s="1"/>
  <c r="X59"/>
  <c r="AB59" s="1"/>
  <c r="X1392"/>
  <c r="AB1392" s="1"/>
  <c r="X1089"/>
  <c r="AB1089" s="1"/>
  <c r="X1027"/>
  <c r="AB1027" s="1"/>
  <c r="X1032"/>
  <c r="AB1032" s="1"/>
  <c r="X2095"/>
  <c r="AB2095" s="1"/>
  <c r="X898"/>
  <c r="AB898" s="1"/>
  <c r="X88"/>
  <c r="AB88" s="1"/>
  <c r="X1008"/>
  <c r="AB1008" s="1"/>
  <c r="X1395"/>
  <c r="AB1395" s="1"/>
  <c r="X732"/>
  <c r="AB732" s="1"/>
  <c r="X1925"/>
  <c r="AB1925" s="1"/>
  <c r="X1420"/>
  <c r="AB1420" s="1"/>
  <c r="X1513"/>
  <c r="AB1513" s="1"/>
  <c r="X1709"/>
  <c r="AB1709" s="1"/>
  <c r="X721"/>
  <c r="AB721" s="1"/>
  <c r="X929"/>
  <c r="AB929" s="1"/>
  <c r="X1295"/>
  <c r="AB1295" s="1"/>
  <c r="X171"/>
  <c r="AB171" s="1"/>
  <c r="X281"/>
  <c r="AB281" s="1"/>
  <c r="X39"/>
  <c r="AB39" s="1"/>
  <c r="X136"/>
  <c r="AB136" s="1"/>
  <c r="X232"/>
  <c r="AB232" s="1"/>
  <c r="X1324"/>
  <c r="AB1324" s="1"/>
  <c r="X1932"/>
  <c r="AB1932" s="1"/>
  <c r="X1817"/>
  <c r="AB1817" s="1"/>
  <c r="X664"/>
  <c r="AB664" s="1"/>
  <c r="X357"/>
  <c r="AB357" s="1"/>
  <c r="X1233"/>
  <c r="AB1233" s="1"/>
  <c r="X837"/>
  <c r="AB837" s="1"/>
  <c r="X1211"/>
  <c r="AB1211" s="1"/>
  <c r="X871"/>
  <c r="AB871" s="1"/>
  <c r="X971"/>
  <c r="AB971" s="1"/>
  <c r="X1107"/>
  <c r="AB1107" s="1"/>
  <c r="X2160"/>
  <c r="AB2160" s="1"/>
  <c r="X2037"/>
  <c r="AB2037" s="1"/>
  <c r="X661"/>
  <c r="AB661" s="1"/>
  <c r="X1672"/>
  <c r="AB1672" s="1"/>
  <c r="X436"/>
  <c r="AB436" s="1"/>
  <c r="X1767"/>
  <c r="AB1767" s="1"/>
  <c r="X471"/>
  <c r="AB471" s="1"/>
  <c r="X65"/>
  <c r="AB65" s="1"/>
  <c r="X1162"/>
  <c r="AB1162" s="1"/>
  <c r="X918"/>
  <c r="AB918" s="1"/>
  <c r="X265"/>
  <c r="AB265" s="1"/>
  <c r="X1253"/>
  <c r="AB1253" s="1"/>
  <c r="X251"/>
  <c r="AB251" s="1"/>
  <c r="X1132"/>
  <c r="AB1132" s="1"/>
  <c r="X487"/>
  <c r="AB487" s="1"/>
  <c r="X763"/>
  <c r="AB763" s="1"/>
  <c r="X2086"/>
  <c r="AB2086" s="1"/>
  <c r="X427"/>
  <c r="AB427" s="1"/>
  <c r="X1861"/>
  <c r="AB1861" s="1"/>
  <c r="X259"/>
  <c r="AB259" s="1"/>
  <c r="X1293"/>
  <c r="AB1293" s="1"/>
  <c r="X877"/>
  <c r="AB877" s="1"/>
  <c r="X1900"/>
  <c r="AB1900" s="1"/>
  <c r="X610"/>
  <c r="AB610" s="1"/>
  <c r="X2082"/>
  <c r="AB2082" s="1"/>
  <c r="X832"/>
  <c r="AB832" s="1"/>
  <c r="X148"/>
  <c r="AB148" s="1"/>
  <c r="X845"/>
  <c r="AB845" s="1"/>
  <c r="X460"/>
  <c r="AB460" s="1"/>
  <c r="X844"/>
  <c r="AB844" s="1"/>
  <c r="X1429"/>
  <c r="AB1429" s="1"/>
  <c r="X1428"/>
  <c r="AB1428" s="1"/>
  <c r="X513"/>
  <c r="AB513" s="1"/>
  <c r="X1546"/>
  <c r="AB1546" s="1"/>
  <c r="X1747"/>
  <c r="AB1747" s="1"/>
  <c r="X1781"/>
  <c r="AB1781" s="1"/>
  <c r="X819"/>
  <c r="AB819" s="1"/>
  <c r="X2017"/>
  <c r="AB2017" s="1"/>
  <c r="X2044"/>
  <c r="AB2044" s="1"/>
  <c r="X2047"/>
  <c r="AB2047" s="1"/>
  <c r="X1858"/>
  <c r="AB1858" s="1"/>
  <c r="X811"/>
  <c r="AB811" s="1"/>
  <c r="X369"/>
  <c r="AB369" s="1"/>
  <c r="X1596"/>
  <c r="AB1596" s="1"/>
  <c r="X875"/>
  <c r="AB875" s="1"/>
  <c r="X1942"/>
  <c r="AB1942" s="1"/>
  <c r="X1788"/>
  <c r="AB1788" s="1"/>
  <c r="X529"/>
  <c r="AB529" s="1"/>
  <c r="X1164"/>
  <c r="AB1164" s="1"/>
  <c r="X815"/>
  <c r="AB815" s="1"/>
  <c r="X385"/>
  <c r="AB385" s="1"/>
  <c r="X207"/>
  <c r="AB207" s="1"/>
  <c r="X223"/>
  <c r="AB223" s="1"/>
  <c r="X814"/>
  <c r="AB814" s="1"/>
  <c r="X958"/>
  <c r="AB958" s="1"/>
  <c r="X1584"/>
  <c r="AB1584" s="1"/>
  <c r="X154"/>
  <c r="AB154" s="1"/>
  <c r="X221"/>
  <c r="AB221" s="1"/>
  <c r="X821"/>
  <c r="AB821" s="1"/>
  <c r="X2073"/>
  <c r="AB2073" s="1"/>
  <c r="X2100"/>
  <c r="AB2100" s="1"/>
  <c r="X611"/>
  <c r="AB611" s="1"/>
  <c r="X1632"/>
  <c r="AB1632" s="1"/>
  <c r="X2110"/>
  <c r="AB2110" s="1"/>
  <c r="X2129"/>
  <c r="AB2129" s="1"/>
  <c r="X12"/>
  <c r="AB12" s="1"/>
  <c r="X2122"/>
  <c r="AB2122" s="1"/>
  <c r="X2003"/>
  <c r="AB2003" s="1"/>
  <c r="X1540"/>
  <c r="AB1540" s="1"/>
  <c r="X160"/>
  <c r="AB160" s="1"/>
  <c r="X309"/>
  <c r="AB309" s="1"/>
  <c r="X1548"/>
  <c r="AB1548" s="1"/>
  <c r="X1014"/>
  <c r="AB1014" s="1"/>
  <c r="X1667"/>
  <c r="AB1667" s="1"/>
  <c r="X1425"/>
  <c r="AB1425" s="1"/>
  <c r="X1949"/>
  <c r="AB1949" s="1"/>
  <c r="X724"/>
  <c r="AB724" s="1"/>
  <c r="X1599"/>
  <c r="AB1599" s="1"/>
  <c r="X964"/>
  <c r="AB964" s="1"/>
  <c r="X2050"/>
  <c r="AB2050" s="1"/>
  <c r="X1955"/>
  <c r="AB1955" s="1"/>
  <c r="X2011"/>
  <c r="AB2011" s="1"/>
  <c r="X1805"/>
  <c r="AB1805" s="1"/>
  <c r="X1258"/>
  <c r="AB1258" s="1"/>
  <c r="X1375"/>
  <c r="AB1375" s="1"/>
  <c r="X891"/>
  <c r="AB891" s="1"/>
  <c r="X2098"/>
  <c r="AB2098" s="1"/>
  <c r="X210"/>
  <c r="AB210" s="1"/>
  <c r="X1871"/>
  <c r="AB1871" s="1"/>
  <c r="X648"/>
  <c r="AB648" s="1"/>
  <c r="X2131"/>
  <c r="AB2131" s="1"/>
  <c r="X1923"/>
  <c r="AB1923" s="1"/>
  <c r="X1191"/>
  <c r="AB1191" s="1"/>
  <c r="X1877"/>
  <c r="AB1877" s="1"/>
  <c r="X1297"/>
  <c r="AB1297" s="1"/>
  <c r="X359"/>
  <c r="AB359" s="1"/>
  <c r="X1456"/>
  <c r="AB1456" s="1"/>
  <c r="X1519"/>
  <c r="AB1519" s="1"/>
  <c r="X2097"/>
  <c r="AB2097" s="1"/>
  <c r="X1576"/>
  <c r="AB1576" s="1"/>
  <c r="X711"/>
  <c r="AB711" s="1"/>
  <c r="X1121"/>
  <c r="AB1121" s="1"/>
  <c r="X463"/>
  <c r="AB463" s="1"/>
  <c r="X1769"/>
  <c r="AB1769" s="1"/>
  <c r="X1049"/>
  <c r="AB1049" s="1"/>
  <c r="X762"/>
  <c r="AB762" s="1"/>
  <c r="X189"/>
  <c r="AB189" s="1"/>
  <c r="X1213"/>
  <c r="AB1213" s="1"/>
  <c r="X741"/>
  <c r="AB741" s="1"/>
  <c r="X2140"/>
  <c r="AB2140" s="1"/>
  <c r="X1285"/>
  <c r="AB1285" s="1"/>
  <c r="X2045"/>
  <c r="AB2045" s="1"/>
  <c r="X1773"/>
  <c r="AB1773" s="1"/>
  <c r="X1026"/>
  <c r="AB1026" s="1"/>
  <c r="X1039"/>
  <c r="AB1039" s="1"/>
  <c r="X1492"/>
  <c r="AB1492" s="1"/>
  <c r="X1169"/>
  <c r="AB1169" s="1"/>
  <c r="X1698"/>
  <c r="AB1698" s="1"/>
  <c r="X1956"/>
  <c r="AB1956" s="1"/>
  <c r="X1979"/>
  <c r="AB1979" s="1"/>
  <c r="X1531"/>
  <c r="AB1531" s="1"/>
  <c r="X586"/>
  <c r="AB586" s="1"/>
  <c r="X693"/>
  <c r="AB693" s="1"/>
  <c r="X415"/>
  <c r="AB415" s="1"/>
  <c r="X1119"/>
  <c r="AB1119" s="1"/>
  <c r="X1731"/>
  <c r="AB1731" s="1"/>
  <c r="X1125"/>
  <c r="AB1125" s="1"/>
  <c r="X382"/>
  <c r="AB382" s="1"/>
  <c r="X1276"/>
  <c r="AB1276" s="1"/>
  <c r="X1483"/>
  <c r="AB1483" s="1"/>
  <c r="X1843"/>
  <c r="AB1843" s="1"/>
  <c r="X1224"/>
  <c r="AB1224" s="1"/>
  <c r="X558"/>
  <c r="AB558" s="1"/>
  <c r="X469"/>
  <c r="AB469" s="1"/>
  <c r="X1013"/>
  <c r="AB1013" s="1"/>
  <c r="X300"/>
  <c r="AB300" s="1"/>
  <c r="X1739"/>
  <c r="AB1739" s="1"/>
  <c r="X709"/>
  <c r="AB709" s="1"/>
  <c r="X738"/>
  <c r="AB738" s="1"/>
  <c r="X2153"/>
  <c r="AB2153" s="1"/>
  <c r="X1865"/>
  <c r="AB1865" s="1"/>
  <c r="X118"/>
  <c r="AB118" s="1"/>
  <c r="X1081"/>
  <c r="AB1081" s="1"/>
  <c r="X607"/>
  <c r="AB607" s="1"/>
  <c r="X1282"/>
  <c r="AB1282" s="1"/>
  <c r="X1133"/>
  <c r="AB1133" s="1"/>
  <c r="X1613"/>
  <c r="AB1613" s="1"/>
  <c r="X1099"/>
  <c r="AB1099" s="1"/>
  <c r="X162"/>
  <c r="AB162" s="1"/>
  <c r="X636"/>
  <c r="AB636" s="1"/>
  <c r="X1326"/>
  <c r="AB1326" s="1"/>
  <c r="X2023"/>
  <c r="AB2023" s="1"/>
  <c r="X936"/>
  <c r="AB936" s="1"/>
  <c r="X1363"/>
  <c r="AB1363" s="1"/>
  <c r="X583"/>
  <c r="AB583" s="1"/>
  <c r="X882"/>
  <c r="AB882" s="1"/>
  <c r="X850"/>
  <c r="AB850" s="1"/>
  <c r="X258"/>
  <c r="AB258" s="1"/>
  <c r="X1127"/>
  <c r="AB1127" s="1"/>
  <c r="X1186"/>
  <c r="AB1186" s="1"/>
  <c r="X2151"/>
  <c r="AB2151" s="1"/>
  <c r="X1486"/>
  <c r="AB1486" s="1"/>
  <c r="X185"/>
  <c r="AB185" s="1"/>
  <c r="X993"/>
  <c r="AB993" s="1"/>
  <c r="X984"/>
  <c r="AB984" s="1"/>
  <c r="X1921"/>
  <c r="AB1921" s="1"/>
  <c r="X522"/>
  <c r="AB522" s="1"/>
  <c r="X1859"/>
  <c r="AB1859" s="1"/>
  <c r="X1903"/>
  <c r="AB1903" s="1"/>
  <c r="X1965"/>
  <c r="AB1965" s="1"/>
  <c r="X1677"/>
  <c r="AB1677" s="1"/>
  <c r="X1048"/>
  <c r="AB1048" s="1"/>
  <c r="X1158"/>
  <c r="AB1158" s="1"/>
  <c r="X1530"/>
  <c r="AB1530" s="1"/>
  <c r="X121"/>
  <c r="AB121" s="1"/>
  <c r="X1401"/>
  <c r="AB1401" s="1"/>
  <c r="X1911"/>
  <c r="AB1911" s="1"/>
  <c r="X909"/>
  <c r="AB909" s="1"/>
  <c r="X1251"/>
  <c r="AB1251" s="1"/>
  <c r="X901"/>
  <c r="AB901" s="1"/>
  <c r="X2081"/>
  <c r="AB2081" s="1"/>
  <c r="X2121"/>
  <c r="AB2121" s="1"/>
  <c r="X1493"/>
  <c r="AB1493" s="1"/>
  <c r="X1240"/>
  <c r="AB1240" s="1"/>
  <c r="X496"/>
  <c r="AB496" s="1"/>
  <c r="X745"/>
  <c r="AB745" s="1"/>
  <c r="X1095"/>
  <c r="AB1095" s="1"/>
  <c r="X1300"/>
  <c r="AB1300" s="1"/>
  <c r="X1980"/>
  <c r="AB1980" s="1"/>
  <c r="X705"/>
  <c r="AB705" s="1"/>
  <c r="X1294"/>
  <c r="AB1294" s="1"/>
  <c r="X563"/>
  <c r="AB563" s="1"/>
  <c r="X145"/>
  <c r="AB145" s="1"/>
  <c r="X51"/>
  <c r="AB51" s="1"/>
  <c r="X2154"/>
  <c r="AB2154" s="1"/>
  <c r="X23"/>
  <c r="AB23" s="1"/>
  <c r="X883"/>
  <c r="AB883" s="1"/>
  <c r="X519"/>
  <c r="AB519" s="1"/>
  <c r="X852"/>
  <c r="AB852" s="1"/>
  <c r="X1343"/>
  <c r="AB1343" s="1"/>
  <c r="X1170"/>
  <c r="AB1170" s="1"/>
  <c r="X829"/>
  <c r="AB829" s="1"/>
  <c r="X1500"/>
  <c r="AB1500" s="1"/>
  <c r="X324"/>
  <c r="AB324" s="1"/>
  <c r="X1443"/>
  <c r="AB1443" s="1"/>
  <c r="X1377"/>
  <c r="AB1377" s="1"/>
  <c r="X660"/>
  <c r="AB660" s="1"/>
  <c r="X1867"/>
  <c r="AB1867" s="1"/>
  <c r="X1914"/>
  <c r="AB1914" s="1"/>
  <c r="X1111"/>
  <c r="AB1111" s="1"/>
  <c r="X511"/>
  <c r="AB511" s="1"/>
  <c r="X1758"/>
  <c r="AB1758" s="1"/>
  <c r="X1197"/>
  <c r="AB1197" s="1"/>
  <c r="X2071"/>
  <c r="AB2071" s="1"/>
  <c r="X41"/>
  <c r="AB41" s="1"/>
  <c r="X1785"/>
  <c r="AB1785" s="1"/>
  <c r="X597"/>
  <c r="AB597" s="1"/>
  <c r="X289"/>
  <c r="AB289" s="1"/>
  <c r="X149"/>
  <c r="AB149" s="1"/>
  <c r="X1776"/>
  <c r="AB1776" s="1"/>
  <c r="X1541"/>
  <c r="AB1541" s="1"/>
  <c r="X503"/>
  <c r="AB503" s="1"/>
  <c r="X847"/>
  <c r="AB847" s="1"/>
  <c r="X1591"/>
  <c r="AB1591" s="1"/>
  <c r="X1669"/>
  <c r="AB1669" s="1"/>
  <c r="X1198"/>
  <c r="AB1198" s="1"/>
  <c r="X288"/>
  <c r="AB288" s="1"/>
  <c r="X2015"/>
  <c r="AB2015" s="1"/>
  <c r="X681"/>
  <c r="AB681" s="1"/>
  <c r="X263"/>
  <c r="AB263" s="1"/>
  <c r="X307"/>
  <c r="AB307" s="1"/>
  <c r="X2058"/>
  <c r="AB2058" s="1"/>
  <c r="X585"/>
  <c r="AB585" s="1"/>
  <c r="X2128"/>
  <c r="AB2128" s="1"/>
  <c r="X1889"/>
  <c r="AB1889" s="1"/>
  <c r="X165"/>
  <c r="AB165" s="1"/>
  <c r="X1271"/>
  <c r="AB1271" s="1"/>
  <c r="X294"/>
  <c r="AB294" s="1"/>
  <c r="X1691"/>
  <c r="AB1691" s="1"/>
  <c r="X450"/>
  <c r="AB450" s="1"/>
  <c r="X1035"/>
  <c r="AB1035" s="1"/>
  <c r="X473"/>
  <c r="AB473" s="1"/>
  <c r="X2028"/>
  <c r="AB2028" s="1"/>
  <c r="X652"/>
  <c r="AB652" s="1"/>
  <c r="X729"/>
  <c r="AB729" s="1"/>
  <c r="X987"/>
  <c r="AB987" s="1"/>
  <c r="X1234"/>
  <c r="AB1234" s="1"/>
  <c r="X1675"/>
  <c r="AB1675" s="1"/>
  <c r="X1606"/>
  <c r="AB1606" s="1"/>
  <c r="X1619"/>
  <c r="AB1619" s="1"/>
  <c r="X779"/>
  <c r="AB779" s="1"/>
  <c r="X2052"/>
  <c r="AB2052" s="1"/>
  <c r="X1630"/>
  <c r="AB1630" s="1"/>
  <c r="X61"/>
  <c r="AB61" s="1"/>
  <c r="X555"/>
  <c r="AB555" s="1"/>
  <c r="X335"/>
  <c r="AB335" s="1"/>
  <c r="X1135"/>
  <c r="AB1135" s="1"/>
  <c r="X2143"/>
  <c r="AB2143" s="1"/>
  <c r="X1241"/>
  <c r="AB1241" s="1"/>
  <c r="X1935"/>
  <c r="AB1935" s="1"/>
  <c r="X299"/>
  <c r="AB299" s="1"/>
  <c r="X2065"/>
  <c r="AB2065" s="1"/>
  <c r="X1547"/>
  <c r="AB1547" s="1"/>
  <c r="X2019"/>
  <c r="AB2019" s="1"/>
  <c r="X700"/>
  <c r="AB700" s="1"/>
  <c r="X2016"/>
  <c r="AB2016" s="1"/>
  <c r="X72"/>
  <c r="AB72" s="1"/>
  <c r="X2147"/>
  <c r="AB2147" s="1"/>
  <c r="X237"/>
  <c r="AB237" s="1"/>
  <c r="X1779"/>
  <c r="AB1779" s="1"/>
  <c r="X538"/>
  <c r="AB538" s="1"/>
  <c r="X85"/>
  <c r="AB85" s="1"/>
  <c r="X1036"/>
  <c r="AB1036" s="1"/>
  <c r="X1137"/>
  <c r="AB1137" s="1"/>
  <c r="X792"/>
  <c r="AB792" s="1"/>
  <c r="X1918"/>
  <c r="AB1918" s="1"/>
  <c r="X567"/>
  <c r="AB567" s="1"/>
  <c r="X1818"/>
  <c r="AB1818" s="1"/>
  <c r="X1000"/>
  <c r="AB1000" s="1"/>
  <c r="X1623"/>
  <c r="AB1623" s="1"/>
  <c r="X244"/>
  <c r="AB244" s="1"/>
  <c r="X173"/>
  <c r="AB173" s="1"/>
  <c r="X921"/>
  <c r="AB921" s="1"/>
  <c r="X1383"/>
  <c r="AB1383" s="1"/>
  <c r="X1408"/>
  <c r="AB1408" s="1"/>
  <c r="X809"/>
  <c r="AB809" s="1"/>
  <c r="X1037"/>
  <c r="AB1037" s="1"/>
  <c r="X925"/>
  <c r="AB925" s="1"/>
  <c r="X625"/>
  <c r="AB625" s="1"/>
  <c r="X1897"/>
  <c r="AB1897" s="1"/>
  <c r="X274"/>
  <c r="AB274" s="1"/>
  <c r="X168"/>
  <c r="AB168" s="1"/>
  <c r="X1517"/>
  <c r="AB1517" s="1"/>
  <c r="X1407"/>
  <c r="AB1407" s="1"/>
  <c r="X1641"/>
  <c r="AB1641" s="1"/>
  <c r="X367"/>
  <c r="AB367" s="1"/>
  <c r="X1221"/>
  <c r="AB1221" s="1"/>
  <c r="X1681"/>
  <c r="AB1681" s="1"/>
  <c r="X1353"/>
  <c r="AB1353" s="1"/>
  <c r="X1554"/>
  <c r="AB1554" s="1"/>
  <c r="X378"/>
  <c r="AB378" s="1"/>
  <c r="X714"/>
  <c r="AB714" s="1"/>
  <c r="X1109"/>
  <c r="AB1109" s="1"/>
  <c r="X1161"/>
  <c r="AB1161" s="1"/>
  <c r="X994"/>
  <c r="AB994" s="1"/>
  <c r="X2123"/>
  <c r="AB2123" s="1"/>
  <c r="X744"/>
  <c r="AB744" s="1"/>
  <c r="X351"/>
  <c r="AB351" s="1"/>
  <c r="X959"/>
  <c r="AB959" s="1"/>
  <c r="X438"/>
  <c r="AB438" s="1"/>
  <c r="X363"/>
  <c r="AB363" s="1"/>
  <c r="X304"/>
  <c r="AB304" s="1"/>
  <c r="X456"/>
  <c r="AB456" s="1"/>
  <c r="X965"/>
  <c r="AB965" s="1"/>
  <c r="X1620"/>
  <c r="AB1620" s="1"/>
  <c r="X2007"/>
  <c r="AB2007" s="1"/>
  <c r="X1905"/>
  <c r="AB1905" s="1"/>
  <c r="X177"/>
  <c r="AB177" s="1"/>
  <c r="X772"/>
  <c r="AB772" s="1"/>
  <c r="X1023"/>
  <c r="AB1023" s="1"/>
  <c r="X10"/>
  <c r="AB10" s="1"/>
  <c r="X1235"/>
  <c r="AB1235" s="1"/>
  <c r="X2004"/>
  <c r="AB2004" s="1"/>
  <c r="X523"/>
  <c r="AB523" s="1"/>
  <c r="X1284"/>
  <c r="AB1284" s="1"/>
  <c r="X1413"/>
  <c r="AB1413" s="1"/>
  <c r="X1791"/>
  <c r="AB1791" s="1"/>
  <c r="X571"/>
  <c r="AB571" s="1"/>
  <c r="X725"/>
  <c r="AB725" s="1"/>
  <c r="X327"/>
  <c r="AB327" s="1"/>
  <c r="X1563"/>
  <c r="AB1563" s="1"/>
  <c r="X623"/>
  <c r="AB623" s="1"/>
  <c r="X1497"/>
  <c r="AB1497" s="1"/>
  <c r="X1374"/>
  <c r="AB1374" s="1"/>
  <c r="X1247"/>
  <c r="AB1247" s="1"/>
  <c r="X775"/>
  <c r="AB775" s="1"/>
  <c r="X1302"/>
  <c r="AB1302" s="1"/>
  <c r="X761"/>
  <c r="AB761" s="1"/>
  <c r="X1405"/>
  <c r="AB1405" s="1"/>
  <c r="X261"/>
  <c r="AB261" s="1"/>
  <c r="X1950"/>
  <c r="AB1950" s="1"/>
  <c r="X90"/>
  <c r="AB90" s="1"/>
  <c r="X2029"/>
  <c r="AB2029" s="1"/>
  <c r="X1283"/>
  <c r="AB1283" s="1"/>
  <c r="X780"/>
  <c r="AB780" s="1"/>
  <c r="X1637"/>
  <c r="AB1637" s="1"/>
  <c r="X1924"/>
  <c r="AB1924" s="1"/>
  <c r="X1593"/>
  <c r="AB1593" s="1"/>
  <c r="X71"/>
  <c r="AB71" s="1"/>
  <c r="X742"/>
  <c r="AB742" s="1"/>
  <c r="X1663"/>
  <c r="AB1663" s="1"/>
  <c r="X1629"/>
  <c r="AB1629" s="1"/>
  <c r="X100"/>
  <c r="AB100" s="1"/>
  <c r="X1123"/>
  <c r="AB1123" s="1"/>
  <c r="X885"/>
  <c r="AB885" s="1"/>
  <c r="X666"/>
  <c r="AB666" s="1"/>
  <c r="X1662"/>
  <c r="AB1662" s="1"/>
  <c r="X595"/>
  <c r="AB595" s="1"/>
  <c r="X2149"/>
  <c r="AB2149" s="1"/>
  <c r="X1481"/>
  <c r="AB1481" s="1"/>
  <c r="X1594"/>
  <c r="AB1594" s="1"/>
  <c r="X1589"/>
  <c r="AB1589" s="1"/>
  <c r="X1719"/>
  <c r="AB1719" s="1"/>
  <c r="X318"/>
  <c r="AB318" s="1"/>
  <c r="X553"/>
  <c r="AB553" s="1"/>
  <c r="X1975"/>
  <c r="AB1975" s="1"/>
  <c r="X975"/>
  <c r="AB975" s="1"/>
  <c r="X1822"/>
  <c r="AB1822" s="1"/>
  <c r="X1728"/>
  <c r="AB1728" s="1"/>
  <c r="X1732"/>
  <c r="AB1732" s="1"/>
  <c r="X1031"/>
  <c r="AB1031" s="1"/>
  <c r="X561"/>
  <c r="AB561" s="1"/>
  <c r="X1345"/>
  <c r="AB1345" s="1"/>
  <c r="X618"/>
  <c r="AB618" s="1"/>
  <c r="X1984"/>
  <c r="AB1984" s="1"/>
  <c r="X774"/>
  <c r="AB774" s="1"/>
  <c r="X202"/>
  <c r="AB202" s="1"/>
  <c r="X1973"/>
  <c r="AB1973" s="1"/>
  <c r="X268"/>
  <c r="AB268" s="1"/>
  <c r="X1939"/>
  <c r="AB1939" s="1"/>
  <c r="X1936"/>
  <c r="AB1936" s="1"/>
  <c r="X851"/>
  <c r="AB851" s="1"/>
  <c r="X1045"/>
  <c r="AB1045" s="1"/>
  <c r="X1974"/>
  <c r="AB1974" s="1"/>
  <c r="X412"/>
  <c r="AB412" s="1"/>
  <c r="X557"/>
  <c r="AB557" s="1"/>
  <c r="X564"/>
  <c r="AB564" s="1"/>
  <c r="X1854"/>
  <c r="AB1854" s="1"/>
  <c r="X1452"/>
  <c r="AB1452" s="1"/>
  <c r="X605"/>
  <c r="AB605" s="1"/>
  <c r="X334"/>
  <c r="AB334" s="1"/>
  <c r="X388"/>
  <c r="AB388" s="1"/>
  <c r="X2093"/>
  <c r="AB2093" s="1"/>
  <c r="X1570"/>
  <c r="AB1570" s="1"/>
  <c r="X1809"/>
  <c r="AB1809" s="1"/>
  <c r="X2074"/>
  <c r="AB2074" s="1"/>
  <c r="X1938"/>
  <c r="AB1938" s="1"/>
  <c r="X2009"/>
  <c r="AB2009" s="1"/>
  <c r="X646"/>
  <c r="AB646" s="1"/>
  <c r="X504"/>
  <c r="AB504" s="1"/>
  <c r="X2062"/>
  <c r="AB2062" s="1"/>
  <c r="X373"/>
  <c r="AB373" s="1"/>
  <c r="X1339"/>
  <c r="AB1339" s="1"/>
  <c r="X1828"/>
  <c r="AB1828" s="1"/>
  <c r="X1750"/>
  <c r="AB1750" s="1"/>
  <c r="X120"/>
  <c r="AB120" s="1"/>
  <c r="X1337"/>
  <c r="AB1337" s="1"/>
  <c r="X231"/>
  <c r="AB231" s="1"/>
  <c r="X462"/>
  <c r="AB462" s="1"/>
  <c r="X73"/>
  <c r="AB73" s="1"/>
  <c r="X1489"/>
  <c r="AB1489" s="1"/>
  <c r="X2109"/>
  <c r="AB2109" s="1"/>
  <c r="X77"/>
  <c r="AB77" s="1"/>
  <c r="X2091"/>
  <c r="AB2091" s="1"/>
  <c r="X1659"/>
  <c r="AB1659" s="1"/>
  <c r="X990"/>
  <c r="AB990" s="1"/>
  <c r="X573"/>
  <c r="AB573" s="1"/>
  <c r="X937"/>
  <c r="AB937" s="1"/>
  <c r="X89"/>
  <c r="AB89" s="1"/>
  <c r="X1264"/>
  <c r="AB1264" s="1"/>
  <c r="X619"/>
  <c r="AB619" s="1"/>
  <c r="X756"/>
  <c r="AB756" s="1"/>
  <c r="X1780"/>
  <c r="AB1780" s="1"/>
  <c r="X214"/>
  <c r="AB214" s="1"/>
  <c r="X1507"/>
  <c r="AB1507" s="1"/>
  <c r="X1499"/>
  <c r="AB1499" s="1"/>
  <c r="X1931"/>
  <c r="AB1931" s="1"/>
  <c r="X1047"/>
  <c r="AB1047" s="1"/>
  <c r="X1830"/>
  <c r="AB1830" s="1"/>
  <c r="X1727"/>
  <c r="AB1727" s="1"/>
  <c r="X1447"/>
  <c r="AB1447" s="1"/>
  <c r="X1156"/>
  <c r="AB1156" s="1"/>
  <c r="X838"/>
  <c r="AB838" s="1"/>
  <c r="X910"/>
  <c r="AB910" s="1"/>
  <c r="X1207"/>
  <c r="AB1207" s="1"/>
  <c r="X2094"/>
  <c r="AB2094" s="1"/>
  <c r="X420"/>
  <c r="AB420" s="1"/>
  <c r="X670"/>
  <c r="AB670" s="1"/>
  <c r="X1494"/>
  <c r="AB1494" s="1"/>
  <c r="X255"/>
  <c r="AB255" s="1"/>
  <c r="X1853"/>
  <c r="AB1853" s="1"/>
  <c r="X2139"/>
  <c r="AB2139" s="1"/>
  <c r="X1883"/>
  <c r="AB1883" s="1"/>
  <c r="X190"/>
  <c r="AB190" s="1"/>
  <c r="X150"/>
  <c r="AB150" s="1"/>
  <c r="X199"/>
  <c r="AB199" s="1"/>
  <c r="X935"/>
  <c r="AB935" s="1"/>
  <c r="X353"/>
  <c r="AB353" s="1"/>
  <c r="X1954"/>
  <c r="AB1954" s="1"/>
  <c r="X862"/>
  <c r="AB862" s="1"/>
  <c r="X2146"/>
  <c r="AB2146" s="1"/>
  <c r="X1609"/>
  <c r="AB1609" s="1"/>
  <c r="X15"/>
  <c r="AB15" s="1"/>
  <c r="X2099"/>
  <c r="AB2099" s="1"/>
  <c r="X226"/>
  <c r="AB226" s="1"/>
  <c r="X684"/>
  <c r="AB684" s="1"/>
  <c r="X2135"/>
  <c r="AB2135" s="1"/>
  <c r="X93"/>
  <c r="AB93" s="1"/>
  <c r="X537"/>
  <c r="AB537" s="1"/>
  <c r="X582"/>
  <c r="AB582" s="1"/>
  <c r="X1194"/>
  <c r="AB1194" s="1"/>
  <c r="X1607"/>
  <c r="AB1607" s="1"/>
  <c r="X2089"/>
  <c r="AB2089" s="1"/>
  <c r="X1086"/>
  <c r="AB1086" s="1"/>
  <c r="X45"/>
  <c r="AB45" s="1"/>
  <c r="X75"/>
  <c r="AB75" s="1"/>
  <c r="X1671"/>
  <c r="AB1671" s="1"/>
  <c r="X1987"/>
  <c r="AB1987" s="1"/>
  <c r="X183"/>
  <c r="AB183" s="1"/>
  <c r="X1597"/>
  <c r="AB1597" s="1"/>
  <c r="X191"/>
  <c r="AB191" s="1"/>
  <c r="X1693"/>
  <c r="AB1693" s="1"/>
  <c r="X1087"/>
  <c r="AB1087" s="1"/>
  <c r="X2061"/>
  <c r="AB2061" s="1"/>
  <c r="X2055"/>
  <c r="AB2055" s="1"/>
  <c r="X287"/>
  <c r="AB287" s="1"/>
  <c r="X491"/>
  <c r="AB491" s="1"/>
  <c r="X1906"/>
  <c r="AB1906" s="1"/>
  <c r="X1115"/>
  <c r="AB1115" s="1"/>
  <c r="X651"/>
  <c r="AB651" s="1"/>
  <c r="X515"/>
  <c r="AB515" s="1"/>
  <c r="X1461"/>
  <c r="AB1461" s="1"/>
  <c r="X40"/>
  <c r="AB40" s="1"/>
  <c r="X1869"/>
  <c r="AB1869" s="1"/>
  <c r="X1066"/>
  <c r="AB1066" s="1"/>
  <c r="X834"/>
  <c r="AB834" s="1"/>
  <c r="X435"/>
  <c r="AB435" s="1"/>
  <c r="X76"/>
  <c r="AB76" s="1"/>
  <c r="X1626"/>
  <c r="AB1626" s="1"/>
  <c r="X1055"/>
  <c r="AB1055" s="1"/>
  <c r="X1423"/>
  <c r="AB1423" s="1"/>
  <c r="X2118"/>
  <c r="AB2118" s="1"/>
  <c r="X43"/>
  <c r="AB43" s="1"/>
  <c r="X786"/>
  <c r="AB786" s="1"/>
  <c r="X2033"/>
  <c r="AB2033" s="1"/>
  <c r="X455"/>
  <c r="AB455" s="1"/>
  <c r="X1674"/>
  <c r="AB1674" s="1"/>
  <c r="X349"/>
  <c r="AB349" s="1"/>
  <c r="X475"/>
  <c r="AB475" s="1"/>
  <c r="X1270"/>
  <c r="AB1270" s="1"/>
  <c r="X1997"/>
  <c r="AB1997" s="1"/>
  <c r="X64"/>
  <c r="AB64" s="1"/>
  <c r="X751"/>
  <c r="AB751" s="1"/>
  <c r="X1189"/>
  <c r="AB1189" s="1"/>
  <c r="X325"/>
  <c r="AB325" s="1"/>
  <c r="X345"/>
  <c r="AB345" s="1"/>
  <c r="X1223"/>
  <c r="AB1223" s="1"/>
  <c r="X1248"/>
  <c r="AB1248" s="1"/>
  <c r="X683"/>
  <c r="AB683" s="1"/>
  <c r="X1960"/>
  <c r="AB1960" s="1"/>
  <c r="X417"/>
  <c r="AB417" s="1"/>
  <c r="X246"/>
  <c r="AB246" s="1"/>
  <c r="X245"/>
  <c r="AB245" s="1"/>
  <c r="X541"/>
  <c r="AB541" s="1"/>
  <c r="X1524"/>
  <c r="AB1524" s="1"/>
  <c r="X827"/>
  <c r="AB827" s="1"/>
  <c r="X547"/>
  <c r="AB547" s="1"/>
  <c r="X1441"/>
  <c r="AB1441" s="1"/>
  <c r="X2083"/>
  <c r="AB2083" s="1"/>
  <c r="X1537"/>
  <c r="AB1537" s="1"/>
  <c r="X1025"/>
  <c r="AB1025" s="1"/>
  <c r="X271"/>
  <c r="AB271" s="1"/>
  <c r="X137"/>
  <c r="AB137" s="1"/>
  <c r="X835"/>
  <c r="AB835" s="1"/>
  <c r="X1783"/>
  <c r="AB1783" s="1"/>
  <c r="X689"/>
  <c r="AB689" s="1"/>
  <c r="X196"/>
  <c r="AB196" s="1"/>
  <c r="X1608"/>
  <c r="AB1608" s="1"/>
  <c r="X1948"/>
  <c r="AB1948" s="1"/>
  <c r="X267"/>
  <c r="AB267" s="1"/>
  <c r="X616"/>
  <c r="AB616" s="1"/>
  <c r="X1839"/>
  <c r="AB1839" s="1"/>
  <c r="X1440"/>
  <c r="AB1440" s="1"/>
  <c r="X1333"/>
  <c r="AB1333" s="1"/>
  <c r="X2130"/>
  <c r="AB2130" s="1"/>
  <c r="X954"/>
  <c r="AB954" s="1"/>
  <c r="X1516"/>
  <c r="AB1516" s="1"/>
  <c r="X649"/>
  <c r="AB649" s="1"/>
  <c r="X1192"/>
  <c r="AB1192" s="1"/>
  <c r="X840"/>
  <c r="AB840" s="1"/>
  <c r="X1527"/>
  <c r="AB1527" s="1"/>
  <c r="X1689"/>
  <c r="AB1689" s="1"/>
  <c r="X2077"/>
  <c r="AB2077" s="1"/>
  <c r="X1789"/>
  <c r="AB1789" s="1"/>
  <c r="X453"/>
  <c r="AB453" s="1"/>
  <c r="X587"/>
  <c r="AB587" s="1"/>
  <c r="X748"/>
  <c r="AB748" s="1"/>
  <c r="X47"/>
  <c r="AB47" s="1"/>
  <c r="X1096"/>
  <c r="AB1096" s="1"/>
  <c r="X1930"/>
  <c r="AB1930" s="1"/>
  <c r="X957"/>
  <c r="AB957" s="1"/>
  <c r="X1344"/>
  <c r="AB1344" s="1"/>
  <c r="X791"/>
  <c r="AB791" s="1"/>
  <c r="X301"/>
  <c r="AB301" s="1"/>
  <c r="X286"/>
  <c r="AB286" s="1"/>
  <c r="X364"/>
  <c r="AB364" s="1"/>
  <c r="X466"/>
  <c r="AB466" s="1"/>
  <c r="X444"/>
  <c r="AB444" s="1"/>
  <c r="X983"/>
  <c r="AB983" s="1"/>
  <c r="X383"/>
  <c r="AB383" s="1"/>
  <c r="X645"/>
  <c r="AB645" s="1"/>
  <c r="X1030"/>
  <c r="AB1030" s="1"/>
  <c r="X405"/>
  <c r="AB405" s="1"/>
  <c r="X1259"/>
  <c r="AB1259" s="1"/>
  <c r="X478"/>
  <c r="AB478" s="1"/>
  <c r="X133"/>
  <c r="AB133" s="1"/>
  <c r="X1356"/>
  <c r="AB1356" s="1"/>
  <c r="X2022"/>
  <c r="AB2022" s="1"/>
  <c r="X765"/>
  <c r="AB765" s="1"/>
  <c r="X406"/>
  <c r="AB406" s="1"/>
  <c r="X328"/>
  <c r="AB328" s="1"/>
  <c r="X144"/>
  <c r="AB144" s="1"/>
  <c r="X874"/>
  <c r="AB874" s="1"/>
  <c r="X342"/>
  <c r="AB342" s="1"/>
  <c r="X483"/>
  <c r="AB483" s="1"/>
  <c r="X1159"/>
  <c r="AB1159" s="1"/>
  <c r="X1138"/>
  <c r="AB1138" s="1"/>
  <c r="X694"/>
  <c r="AB694" s="1"/>
  <c r="X1902"/>
  <c r="AB1902" s="1"/>
  <c r="X174"/>
  <c r="AB174" s="1"/>
  <c r="X1101"/>
  <c r="AB1101" s="1"/>
  <c r="X5"/>
  <c r="AB5" s="1"/>
  <c r="X688"/>
  <c r="AB688" s="1"/>
  <c r="X1647"/>
  <c r="AB1647" s="1"/>
  <c r="X1710"/>
  <c r="AB1710" s="1"/>
  <c r="X1062"/>
  <c r="AB1062" s="1"/>
  <c r="X42"/>
  <c r="AB42" s="1"/>
  <c r="X895"/>
  <c r="AB895" s="1"/>
  <c r="X606"/>
  <c r="AB606" s="1"/>
  <c r="X1933"/>
  <c r="AB1933" s="1"/>
  <c r="X172"/>
  <c r="AB172" s="1"/>
  <c r="X1947"/>
  <c r="AB1947" s="1"/>
  <c r="X952"/>
  <c r="AB952" s="1"/>
  <c r="X1567"/>
  <c r="AB1567" s="1"/>
  <c r="X54"/>
  <c r="AB54" s="1"/>
  <c r="X783"/>
  <c r="AB783" s="1"/>
  <c r="X298"/>
  <c r="AB298" s="1"/>
  <c r="X1314"/>
  <c r="AB1314" s="1"/>
  <c r="X354"/>
  <c r="AB354" s="1"/>
  <c r="X730"/>
  <c r="AB730" s="1"/>
  <c r="X735"/>
  <c r="AB735" s="1"/>
  <c r="X1999"/>
  <c r="AB1999" s="1"/>
  <c r="X1335"/>
  <c r="AB1335" s="1"/>
  <c r="X1060"/>
  <c r="AB1060" s="1"/>
  <c r="X358"/>
  <c r="AB358" s="1"/>
  <c r="X376"/>
  <c r="AB376" s="1"/>
  <c r="X679"/>
  <c r="AB679" s="1"/>
  <c r="X1699"/>
  <c r="AB1699" s="1"/>
  <c r="X1444"/>
  <c r="AB1444" s="1"/>
  <c r="X1003"/>
  <c r="AB1003" s="1"/>
  <c r="X630"/>
  <c r="AB630" s="1"/>
  <c r="X2008"/>
  <c r="AB2008" s="1"/>
  <c r="X879"/>
  <c r="AB879" s="1"/>
  <c r="X813"/>
  <c r="AB813" s="1"/>
  <c r="X718"/>
  <c r="AB718" s="1"/>
  <c r="X552"/>
  <c r="AB552" s="1"/>
  <c r="X2053"/>
  <c r="AB2053" s="1"/>
  <c r="X1450"/>
  <c r="AB1450" s="1"/>
  <c r="X995"/>
  <c r="AB995" s="1"/>
  <c r="X1354"/>
  <c r="AB1354" s="1"/>
  <c r="X249"/>
  <c r="AB249" s="1"/>
  <c r="X156"/>
  <c r="AB156" s="1"/>
  <c r="X539"/>
  <c r="AB539" s="1"/>
  <c r="X201"/>
  <c r="AB201" s="1"/>
  <c r="X187"/>
  <c r="AB187" s="1"/>
  <c r="X785"/>
  <c r="AB785" s="1"/>
  <c r="X1458"/>
  <c r="AB1458" s="1"/>
  <c r="X1289"/>
  <c r="AB1289" s="1"/>
  <c r="X1279"/>
  <c r="AB1279" s="1"/>
  <c r="X731"/>
  <c r="AB731" s="1"/>
  <c r="X1485"/>
  <c r="AB1485" s="1"/>
  <c r="X658"/>
  <c r="AB658" s="1"/>
  <c r="X461"/>
  <c r="AB461" s="1"/>
  <c r="X426"/>
  <c r="AB426" s="1"/>
  <c r="X906"/>
  <c r="AB906" s="1"/>
  <c r="X1977"/>
  <c r="AB1977" s="1"/>
  <c r="X1410"/>
  <c r="AB1410" s="1"/>
  <c r="X1804"/>
  <c r="AB1804" s="1"/>
  <c r="X1845"/>
  <c r="AB1845" s="1"/>
  <c r="X667"/>
  <c r="AB667" s="1"/>
  <c r="X393"/>
  <c r="AB393" s="1"/>
  <c r="X1600"/>
  <c r="AB1600" s="1"/>
  <c r="X339"/>
  <c r="AB339" s="1"/>
  <c r="X243"/>
  <c r="AB243" s="1"/>
  <c r="X1990"/>
  <c r="AB1990" s="1"/>
  <c r="X1841"/>
  <c r="AB1841" s="1"/>
  <c r="X1129"/>
  <c r="AB1129" s="1"/>
  <c r="X502"/>
  <c r="AB502" s="1"/>
  <c r="X1176"/>
  <c r="AB1176" s="1"/>
  <c r="X97"/>
  <c r="AB97" s="1"/>
  <c r="X2152"/>
  <c r="AB2152" s="1"/>
  <c r="X1797"/>
  <c r="AB1797" s="1"/>
  <c r="X677"/>
  <c r="AB677" s="1"/>
  <c r="X928"/>
  <c r="AB928" s="1"/>
  <c r="X1402"/>
  <c r="AB1402" s="1"/>
  <c r="X1059"/>
  <c r="AB1059" s="1"/>
  <c r="X510"/>
  <c r="AB510" s="1"/>
  <c r="X303"/>
  <c r="AB303" s="1"/>
  <c r="X480"/>
  <c r="AB480" s="1"/>
  <c r="X893"/>
  <c r="AB893" s="1"/>
  <c r="X1864"/>
  <c r="AB1864" s="1"/>
  <c r="X1650"/>
  <c r="AB1650" s="1"/>
  <c r="X106"/>
  <c r="AB106" s="1"/>
  <c r="X1227"/>
  <c r="AB1227" s="1"/>
  <c r="X159"/>
  <c r="AB159" s="1"/>
  <c r="X1145"/>
  <c r="AB1145" s="1"/>
  <c r="X1996"/>
  <c r="AB1996" s="1"/>
  <c r="X613"/>
  <c r="AB613" s="1"/>
  <c r="X550"/>
  <c r="AB550" s="1"/>
  <c r="X1511"/>
  <c r="AB1511" s="1"/>
  <c r="X876"/>
  <c r="AB876" s="1"/>
  <c r="X1827"/>
  <c r="AB1827" s="1"/>
  <c r="X516"/>
  <c r="AB516" s="1"/>
  <c r="X641"/>
  <c r="AB641" s="1"/>
  <c r="X1558"/>
  <c r="AB1558" s="1"/>
  <c r="X2059"/>
  <c r="AB2059" s="1"/>
  <c r="X1373"/>
  <c r="AB1373" s="1"/>
  <c r="X1763"/>
  <c r="AB1763" s="1"/>
  <c r="X1122"/>
  <c r="AB1122" s="1"/>
  <c r="X1615"/>
  <c r="AB1615" s="1"/>
  <c r="X702"/>
  <c r="AB702" s="1"/>
  <c r="X1193"/>
  <c r="AB1193" s="1"/>
  <c r="X366"/>
  <c r="AB366" s="1"/>
  <c r="X1756"/>
  <c r="AB1756" s="1"/>
  <c r="X624"/>
  <c r="AB624" s="1"/>
  <c r="X1711"/>
  <c r="AB1711" s="1"/>
  <c r="X1177"/>
  <c r="AB1177" s="1"/>
  <c r="X1705"/>
  <c r="AB1705" s="1"/>
  <c r="X1390"/>
  <c r="AB1390" s="1"/>
  <c r="X521"/>
  <c r="AB521" s="1"/>
  <c r="X1876"/>
  <c r="AB1876" s="1"/>
  <c r="X915"/>
  <c r="AB915" s="1"/>
  <c r="X1116"/>
  <c r="AB1116" s="1"/>
  <c r="X1506"/>
  <c r="AB1506" s="1"/>
  <c r="X387"/>
  <c r="AB387" s="1"/>
  <c r="X1391"/>
  <c r="AB1391" s="1"/>
  <c r="X1746"/>
  <c r="AB1746" s="1"/>
  <c r="X1668"/>
  <c r="AB1668" s="1"/>
  <c r="X1761"/>
  <c r="AB1761" s="1"/>
  <c r="X1308"/>
  <c r="AB1308" s="1"/>
  <c r="X1171"/>
  <c r="AB1171" s="1"/>
  <c r="X808"/>
  <c r="AB808" s="1"/>
  <c r="X922"/>
  <c r="AB922" s="1"/>
  <c r="X1168"/>
  <c r="AB1168" s="1"/>
  <c r="X1666"/>
  <c r="AB1666" s="1"/>
  <c r="X1378"/>
  <c r="AB1378" s="1"/>
  <c r="X285"/>
  <c r="AB285" s="1"/>
  <c r="X1967"/>
  <c r="AB1967" s="1"/>
  <c r="X897"/>
  <c r="AB897" s="1"/>
  <c r="X1913"/>
  <c r="AB1913" s="1"/>
  <c r="X331"/>
  <c r="AB331" s="1"/>
  <c r="X2068"/>
  <c r="AB2068" s="1"/>
  <c r="X1349"/>
  <c r="AB1349" s="1"/>
  <c r="X973"/>
  <c r="AB973" s="1"/>
  <c r="X1265"/>
  <c r="AB1265" s="1"/>
  <c r="X1041"/>
  <c r="AB1041" s="1"/>
  <c r="X1266"/>
  <c r="AB1266" s="1"/>
  <c r="X1218"/>
  <c r="AB1218" s="1"/>
  <c r="X1555"/>
  <c r="AB1555" s="1"/>
  <c r="X713"/>
  <c r="AB713" s="1"/>
  <c r="X533"/>
  <c r="AB533" s="1"/>
  <c r="X691"/>
  <c r="AB691" s="1"/>
  <c r="X1188"/>
  <c r="AB1188" s="1"/>
  <c r="X1915"/>
  <c r="AB1915" s="1"/>
  <c r="X396"/>
  <c r="AB396" s="1"/>
  <c r="X1079"/>
  <c r="AB1079" s="1"/>
  <c r="X804"/>
  <c r="AB804" s="1"/>
  <c r="X1510"/>
  <c r="AB1510" s="1"/>
  <c r="X197"/>
  <c r="AB197" s="1"/>
  <c r="X1735"/>
  <c r="AB1735" s="1"/>
  <c r="X517"/>
  <c r="AB517" s="1"/>
  <c r="X67"/>
  <c r="AB67" s="1"/>
  <c r="X139"/>
  <c r="AB139" s="1"/>
  <c r="X655"/>
  <c r="AB655" s="1"/>
  <c r="X911"/>
  <c r="AB911" s="1"/>
  <c r="X2070"/>
  <c r="AB2070" s="1"/>
  <c r="X629"/>
  <c r="AB629" s="1"/>
  <c r="X1261"/>
  <c r="AB1261" s="1"/>
  <c r="X333"/>
  <c r="AB333" s="1"/>
  <c r="X18"/>
  <c r="AB18" s="1"/>
  <c r="X642"/>
  <c r="AB642" s="1"/>
  <c r="X1651"/>
  <c r="AB1651" s="1"/>
  <c r="X622"/>
  <c r="AB622" s="1"/>
  <c r="X981"/>
  <c r="AB981" s="1"/>
  <c r="X1559"/>
  <c r="AB1559" s="1"/>
  <c r="X1085"/>
  <c r="AB1085" s="1"/>
  <c r="X699"/>
  <c r="AB699" s="1"/>
  <c r="X457"/>
  <c r="AB457" s="1"/>
  <c r="X295"/>
  <c r="AB295" s="1"/>
  <c r="X540"/>
  <c r="AB540" s="1"/>
  <c r="X1565"/>
  <c r="AB1565" s="1"/>
  <c r="X1020"/>
  <c r="AB1020" s="1"/>
  <c r="X579"/>
  <c r="AB579" s="1"/>
  <c r="X372"/>
  <c r="AB372" s="1"/>
  <c r="X1683"/>
  <c r="AB1683" s="1"/>
  <c r="X1901"/>
  <c r="AB1901" s="1"/>
  <c r="X1318"/>
  <c r="AB1318" s="1"/>
  <c r="X336"/>
  <c r="AB336" s="1"/>
  <c r="X1953"/>
  <c r="AB1953" s="1"/>
  <c r="X1462"/>
  <c r="AB1462" s="1"/>
  <c r="X924"/>
  <c r="AB924" s="1"/>
  <c r="X695"/>
  <c r="AB695" s="1"/>
  <c r="X1175"/>
  <c r="AB1175" s="1"/>
  <c r="X484"/>
  <c r="AB484" s="1"/>
  <c r="X551"/>
  <c r="AB551" s="1"/>
  <c r="X492"/>
  <c r="AB492" s="1"/>
  <c r="X940"/>
  <c r="AB940" s="1"/>
  <c r="X948"/>
  <c r="AB948" s="1"/>
  <c r="X2155"/>
  <c r="AB2155" s="1"/>
  <c r="X1577"/>
  <c r="AB1577" s="1"/>
  <c r="X589"/>
  <c r="AB589" s="1"/>
  <c r="X736"/>
  <c r="AB736" s="1"/>
  <c r="X108"/>
  <c r="AB108" s="1"/>
  <c r="X927"/>
  <c r="AB927" s="1"/>
  <c r="X311"/>
  <c r="AB311" s="1"/>
  <c r="X2157"/>
  <c r="AB2157" s="1"/>
  <c r="X1067"/>
  <c r="AB1067" s="1"/>
  <c r="X880"/>
  <c r="AB880" s="1"/>
  <c r="X1155"/>
  <c r="AB1155" s="1"/>
  <c r="X2124"/>
  <c r="AB2124" s="1"/>
  <c r="X805"/>
  <c r="AB805" s="1"/>
  <c r="X1131"/>
  <c r="AB1131" s="1"/>
  <c r="X1893"/>
  <c r="AB1893" s="1"/>
  <c r="X635"/>
  <c r="AB635" s="1"/>
  <c r="X1134"/>
  <c r="AB1134" s="1"/>
  <c r="X1920"/>
  <c r="AB1920" s="1"/>
  <c r="X175"/>
  <c r="AB175" s="1"/>
  <c r="X1887"/>
  <c r="AB1887" s="1"/>
  <c r="X2117"/>
  <c r="AB2117" s="1"/>
  <c r="X2041"/>
  <c r="AB2041" s="1"/>
  <c r="X425"/>
  <c r="AB425" s="1"/>
  <c r="X2057"/>
  <c r="AB2057" s="1"/>
  <c r="X1325"/>
  <c r="AB1325" s="1"/>
  <c r="X1501"/>
  <c r="AB1501" s="1"/>
  <c r="X280"/>
  <c r="AB280" s="1"/>
  <c r="X1222"/>
  <c r="AB1222" s="1"/>
  <c r="X912"/>
  <c r="AB912" s="1"/>
  <c r="X391"/>
  <c r="AB391" s="1"/>
  <c r="X1229"/>
  <c r="AB1229" s="1"/>
  <c r="X1187"/>
  <c r="AB1187" s="1"/>
  <c r="X127"/>
  <c r="AB127" s="1"/>
  <c r="X198"/>
  <c r="AB198" s="1"/>
  <c r="X2056"/>
  <c r="AB2056" s="1"/>
  <c r="X790"/>
  <c r="AB790" s="1"/>
  <c r="X1329"/>
  <c r="AB1329" s="1"/>
  <c r="X1206"/>
  <c r="AB1206" s="1"/>
  <c r="X934"/>
  <c r="AB934" s="1"/>
  <c r="X370"/>
  <c r="AB370" s="1"/>
  <c r="X138"/>
  <c r="AB138" s="1"/>
  <c r="X270"/>
  <c r="AB270" s="1"/>
  <c r="X598"/>
  <c r="AB598" s="1"/>
  <c r="X1679"/>
  <c r="AB1679" s="1"/>
  <c r="X556"/>
  <c r="AB556" s="1"/>
  <c r="X1386"/>
  <c r="AB1386" s="1"/>
  <c r="X414"/>
  <c r="AB414" s="1"/>
  <c r="X1365"/>
  <c r="AB1365" s="1"/>
  <c r="X1467"/>
  <c r="AB1467" s="1"/>
  <c r="X1771"/>
  <c r="AB1771" s="1"/>
  <c r="X900"/>
  <c r="AB900" s="1"/>
  <c r="X1885"/>
  <c r="AB1885" s="1"/>
  <c r="X1185"/>
  <c r="AB1185" s="1"/>
  <c r="X1419"/>
  <c r="AB1419" s="1"/>
  <c r="X1495"/>
  <c r="AB1495" s="1"/>
  <c r="X1453"/>
  <c r="AB1453" s="1"/>
  <c r="X11"/>
  <c r="AB11" s="1"/>
  <c r="X143"/>
  <c r="AB143" s="1"/>
  <c r="X94"/>
  <c r="AB94" s="1"/>
  <c r="X1733"/>
  <c r="AB1733" s="1"/>
  <c r="X1212"/>
  <c r="AB1212" s="1"/>
  <c r="X465"/>
  <c r="AB465" s="1"/>
  <c r="X443"/>
  <c r="AB443" s="1"/>
  <c r="X669"/>
  <c r="AB669" s="1"/>
  <c r="X1309"/>
  <c r="AB1309" s="1"/>
  <c r="X409"/>
  <c r="AB409" s="1"/>
  <c r="X161"/>
  <c r="AB161" s="1"/>
  <c r="X1895"/>
  <c r="AB1895" s="1"/>
  <c r="X682"/>
  <c r="AB682" s="1"/>
  <c r="X1246"/>
  <c r="AB1246" s="1"/>
  <c r="X1482"/>
  <c r="AB1482" s="1"/>
  <c r="X1097"/>
  <c r="AB1097" s="1"/>
  <c r="X1446"/>
  <c r="AB1446" s="1"/>
  <c r="X881"/>
  <c r="AB881" s="1"/>
  <c r="X1581"/>
  <c r="AB1581" s="1"/>
  <c r="X1471"/>
  <c r="AB1471" s="1"/>
  <c r="X545"/>
  <c r="AB545" s="1"/>
  <c r="X967"/>
  <c r="AB967" s="1"/>
  <c r="X1281"/>
  <c r="AB1281" s="1"/>
  <c r="X384"/>
  <c r="AB384" s="1"/>
  <c r="X37"/>
  <c r="AB37" s="1"/>
  <c r="X381"/>
  <c r="AB381" s="1"/>
  <c r="X2043"/>
  <c r="AB2043" s="1"/>
  <c r="X1631"/>
  <c r="AB1631" s="1"/>
  <c r="X690"/>
  <c r="AB690" s="1"/>
  <c r="X1371"/>
  <c r="AB1371" s="1"/>
  <c r="X2046"/>
  <c r="AB2046" s="1"/>
  <c r="X163"/>
  <c r="AB163" s="1"/>
  <c r="X1083"/>
  <c r="AB1083" s="1"/>
  <c r="X1842"/>
  <c r="AB1842" s="1"/>
  <c r="X132"/>
  <c r="AB132" s="1"/>
  <c r="X1153"/>
  <c r="AB1153" s="1"/>
  <c r="X609"/>
  <c r="AB609" s="1"/>
  <c r="X1723"/>
  <c r="AB1723" s="1"/>
  <c r="X1342"/>
  <c r="AB1342" s="1"/>
  <c r="X592"/>
  <c r="AB592" s="1"/>
  <c r="X1834"/>
  <c r="AB1834" s="1"/>
  <c r="X454"/>
  <c r="AB454" s="1"/>
  <c r="X486"/>
  <c r="AB486" s="1"/>
  <c r="X720"/>
  <c r="AB720" s="1"/>
  <c r="X1654"/>
  <c r="AB1654" s="1"/>
  <c r="X35"/>
  <c r="AB35" s="1"/>
  <c r="X1680"/>
  <c r="AB1680" s="1"/>
  <c r="X1200"/>
  <c r="AB1200" s="1"/>
  <c r="X2134"/>
  <c r="AB2134" s="1"/>
  <c r="X1740"/>
  <c r="AB1740" s="1"/>
  <c r="X903"/>
  <c r="AB903" s="1"/>
  <c r="X3"/>
  <c r="AB3" s="1"/>
  <c r="X1564"/>
  <c r="AB1564" s="1"/>
  <c r="X1183"/>
  <c r="AB1183" s="1"/>
  <c r="X807"/>
  <c r="AB807" s="1"/>
  <c r="X1396"/>
  <c r="AB1396" s="1"/>
  <c r="X497"/>
  <c r="AB497" s="1"/>
  <c r="X1065"/>
  <c r="AB1065" s="1"/>
  <c r="X273"/>
  <c r="AB273" s="1"/>
  <c r="X989"/>
  <c r="AB989" s="1"/>
  <c r="X803"/>
  <c r="AB803" s="1"/>
  <c r="X1957"/>
  <c r="AB1957" s="1"/>
  <c r="X1745"/>
  <c r="AB1745" s="1"/>
  <c r="X913"/>
  <c r="AB913" s="1"/>
  <c r="X1941"/>
  <c r="AB1941" s="1"/>
  <c r="X1012"/>
  <c r="AB1012" s="1"/>
  <c r="X2049"/>
  <c r="AB2049" s="1"/>
  <c r="X485"/>
  <c r="AB485" s="1"/>
  <c r="X1092"/>
  <c r="AB1092" s="1"/>
  <c r="X1602"/>
  <c r="AB1602" s="1"/>
  <c r="X1312"/>
  <c r="AB1312" s="1"/>
  <c r="X899"/>
  <c r="AB899" s="1"/>
  <c r="X1465"/>
  <c r="AB1465" s="1"/>
  <c r="X778"/>
  <c r="AB778" s="1"/>
  <c r="X2039"/>
  <c r="AB2039" s="1"/>
  <c r="X2127"/>
  <c r="AB2127" s="1"/>
  <c r="X184"/>
  <c r="AB184" s="1"/>
  <c r="X474"/>
  <c r="AB474" s="1"/>
  <c r="X129"/>
  <c r="AB129" s="1"/>
  <c r="X991"/>
  <c r="AB991" s="1"/>
  <c r="X1542"/>
  <c r="AB1542" s="1"/>
  <c r="X1367"/>
  <c r="AB1367" s="1"/>
  <c r="X142"/>
  <c r="AB142" s="1"/>
  <c r="X1151"/>
  <c r="AB1151" s="1"/>
  <c r="X1601"/>
  <c r="AB1601" s="1"/>
  <c r="X1824"/>
  <c r="AB1824" s="1"/>
  <c r="X91"/>
  <c r="AB91" s="1"/>
  <c r="X2064"/>
  <c r="AB2064" s="1"/>
  <c r="X313"/>
  <c r="AB313" s="1"/>
  <c r="X841"/>
  <c r="AB841" s="1"/>
  <c r="X16"/>
  <c r="AB16" s="1"/>
  <c r="X793"/>
  <c r="AB793" s="1"/>
  <c r="X1385"/>
  <c r="AB1385" s="1"/>
  <c r="X1114"/>
  <c r="AB1114" s="1"/>
  <c r="X1813"/>
  <c r="AB1813" s="1"/>
  <c r="X256"/>
  <c r="AB256" s="1"/>
  <c r="X1257"/>
  <c r="AB1257" s="1"/>
  <c r="X2085"/>
  <c r="AB2085" s="1"/>
  <c r="X2113"/>
  <c r="AB2113" s="1"/>
  <c r="X441"/>
  <c r="AB441" s="1"/>
  <c r="X157"/>
  <c r="AB157" s="1"/>
  <c r="X1487"/>
  <c r="AB1487" s="1"/>
  <c r="X361"/>
  <c r="AB361" s="1"/>
  <c r="X673"/>
  <c r="AB673" s="1"/>
  <c r="X377"/>
  <c r="AB377" s="1"/>
  <c r="X82"/>
  <c r="AB82" s="1"/>
  <c r="X1319"/>
  <c r="AB1319" s="1"/>
  <c r="X1437"/>
  <c r="AB1437" s="1"/>
  <c r="X1299"/>
  <c r="AB1299" s="1"/>
  <c r="X559"/>
  <c r="AB559" s="1"/>
  <c r="X429"/>
  <c r="AB429" s="1"/>
  <c r="X1633"/>
  <c r="AB1633" s="1"/>
  <c r="X423"/>
  <c r="AB423" s="1"/>
  <c r="X403"/>
  <c r="AB403" s="1"/>
  <c r="X972"/>
  <c r="AB972" s="1"/>
  <c r="X1753"/>
  <c r="AB1753" s="1"/>
  <c r="X394"/>
  <c r="AB394" s="1"/>
  <c r="X1147"/>
  <c r="AB1147" s="1"/>
  <c r="X588"/>
  <c r="AB588" s="1"/>
  <c r="X1725"/>
  <c r="AB1725" s="1"/>
  <c r="X1093"/>
  <c r="AB1093" s="1"/>
  <c r="X1539"/>
  <c r="AB1539" s="1"/>
  <c r="X312"/>
  <c r="AB312" s="1"/>
  <c r="X1069"/>
  <c r="AB1069" s="1"/>
  <c r="X1551"/>
  <c r="AB1551" s="1"/>
  <c r="X1614"/>
  <c r="AB1614" s="1"/>
  <c r="X321"/>
  <c r="AB321" s="1"/>
  <c r="X1019"/>
  <c r="AB1019" s="1"/>
  <c r="X448"/>
  <c r="AB448" s="1"/>
  <c r="X1896"/>
  <c r="AB1896" s="1"/>
  <c r="X1792"/>
  <c r="AB1792" s="1"/>
  <c r="X1529"/>
  <c r="AB1529" s="1"/>
  <c r="X1627"/>
  <c r="AB1627" s="1"/>
  <c r="X1729"/>
  <c r="AB1729" s="1"/>
  <c r="X310"/>
  <c r="AB310" s="1"/>
  <c r="X1182"/>
  <c r="AB1182" s="1"/>
  <c r="X123"/>
  <c r="AB123" s="1"/>
  <c r="X1752"/>
  <c r="AB1752" s="1"/>
  <c r="X1387"/>
  <c r="AB1387" s="1"/>
  <c r="X2105"/>
  <c r="AB2105" s="1"/>
  <c r="X1963"/>
  <c r="AB1963" s="1"/>
  <c r="X1870"/>
  <c r="AB1870" s="1"/>
  <c r="X1835"/>
  <c r="AB1835" s="1"/>
  <c r="X1021"/>
  <c r="AB1021" s="1"/>
  <c r="X1361"/>
  <c r="AB1361" s="1"/>
  <c r="X1523"/>
  <c r="AB1523" s="1"/>
  <c r="X227"/>
  <c r="AB227" s="1"/>
  <c r="X1852"/>
  <c r="AB1852" s="1"/>
  <c r="X1782"/>
  <c r="AB1782" s="1"/>
  <c r="X431"/>
  <c r="AB431" s="1"/>
  <c r="X101"/>
  <c r="AB101" s="1"/>
  <c r="X1417"/>
  <c r="AB1417" s="1"/>
  <c r="X963"/>
  <c r="AB963" s="1"/>
  <c r="X969"/>
  <c r="AB969" s="1"/>
  <c r="X951"/>
  <c r="AB951" s="1"/>
  <c r="X2079"/>
  <c r="AB2079" s="1"/>
  <c r="X264"/>
  <c r="AB264" s="1"/>
  <c r="X1786"/>
  <c r="AB1786" s="1"/>
  <c r="X703"/>
  <c r="AB703" s="1"/>
  <c r="X1432"/>
  <c r="AB1432" s="1"/>
  <c r="X240"/>
  <c r="AB240" s="1"/>
  <c r="X1024"/>
  <c r="AB1024" s="1"/>
  <c r="X678"/>
  <c r="AB678" s="1"/>
  <c r="X1703"/>
  <c r="AB1703" s="1"/>
  <c r="X1768"/>
  <c r="AB1768" s="1"/>
  <c r="X1139"/>
  <c r="AB1139" s="1"/>
  <c r="X997"/>
  <c r="AB997" s="1"/>
  <c r="X1152"/>
  <c r="AB1152" s="1"/>
  <c r="X1209"/>
  <c r="AB1209" s="1"/>
  <c r="X2051"/>
  <c r="AB2051" s="1"/>
  <c r="X1491"/>
  <c r="AB1491" s="1"/>
  <c r="X1909"/>
  <c r="AB1909" s="1"/>
  <c r="X1415"/>
  <c r="AB1415" s="1"/>
  <c r="X151"/>
  <c r="AB151" s="1"/>
  <c r="X1480"/>
  <c r="AB1480" s="1"/>
  <c r="X1434"/>
  <c r="AB1434" s="1"/>
  <c r="X672"/>
  <c r="AB672" s="1"/>
  <c r="X235"/>
  <c r="AB235" s="1"/>
  <c r="X181"/>
  <c r="AB181" s="1"/>
  <c r="X343"/>
  <c r="AB343" s="1"/>
  <c r="X1237"/>
  <c r="AB1237" s="1"/>
  <c r="X628"/>
  <c r="AB628" s="1"/>
  <c r="X1875"/>
  <c r="AB1875" s="1"/>
  <c r="X639"/>
  <c r="AB639" s="1"/>
  <c r="X2025"/>
  <c r="AB2025" s="1"/>
  <c r="X2133"/>
  <c r="AB2133" s="1"/>
  <c r="X1018"/>
  <c r="AB1018" s="1"/>
  <c r="X408"/>
  <c r="AB408" s="1"/>
  <c r="X750"/>
  <c r="AB750" s="1"/>
  <c r="X1144"/>
  <c r="AB1144" s="1"/>
  <c r="X1498"/>
  <c r="AB1498" s="1"/>
  <c r="X1829"/>
  <c r="AB1829" s="1"/>
  <c r="X978"/>
  <c r="AB978" s="1"/>
  <c r="X568"/>
  <c r="AB568" s="1"/>
  <c r="X717"/>
  <c r="AB717" s="1"/>
  <c r="X1403"/>
  <c r="AB1403" s="1"/>
  <c r="X796"/>
  <c r="AB796" s="1"/>
  <c r="X671"/>
  <c r="AB671" s="1"/>
  <c r="X204"/>
  <c r="AB204" s="1"/>
  <c r="X1983"/>
  <c r="AB1983" s="1"/>
  <c r="X2141"/>
  <c r="AB2141" s="1"/>
  <c r="X1320"/>
  <c r="AB1320" s="1"/>
  <c r="X1848"/>
  <c r="AB1848" s="1"/>
  <c r="X1252"/>
  <c r="AB1252" s="1"/>
  <c r="X887"/>
  <c r="AB887" s="1"/>
  <c r="X676"/>
  <c r="AB676" s="1"/>
  <c r="X1891"/>
  <c r="AB1891" s="1"/>
  <c r="X1126"/>
  <c r="AB1126" s="1"/>
  <c r="X107"/>
  <c r="AB107" s="1"/>
  <c r="X220"/>
  <c r="AB220" s="1"/>
  <c r="X1404"/>
  <c r="AB1404" s="1"/>
  <c r="X1071"/>
  <c r="AB1071" s="1"/>
  <c r="X1301"/>
  <c r="AB1301" s="1"/>
  <c r="X1571"/>
  <c r="AB1571" s="1"/>
  <c r="X869"/>
  <c r="AB869" s="1"/>
  <c r="X1433"/>
  <c r="AB1433" s="1"/>
  <c r="X1205"/>
  <c r="AB1205" s="1"/>
  <c r="X726"/>
  <c r="AB726" s="1"/>
  <c r="X1210"/>
  <c r="AB1210" s="1"/>
  <c r="X277"/>
  <c r="AB277" s="1"/>
  <c r="X2112"/>
  <c r="AB2112" s="1"/>
  <c r="X1873"/>
  <c r="AB1873" s="1"/>
  <c r="X1449"/>
  <c r="AB1449" s="1"/>
  <c r="X1881"/>
  <c r="AB1881" s="1"/>
  <c r="X1872"/>
  <c r="AB1872" s="1"/>
  <c r="X1971"/>
  <c r="AB1971" s="1"/>
  <c r="X1245"/>
  <c r="AB1245" s="1"/>
  <c r="X653"/>
  <c r="AB653" s="1"/>
  <c r="X241"/>
  <c r="AB241" s="1"/>
  <c r="X1307"/>
  <c r="AB1307" s="1"/>
  <c r="X1716"/>
  <c r="AB1716" s="1"/>
  <c r="X1611"/>
  <c r="AB1611" s="1"/>
  <c r="X1720"/>
  <c r="AB1720" s="1"/>
  <c r="X70"/>
  <c r="AB70" s="1"/>
  <c r="X1509"/>
  <c r="AB1509" s="1"/>
  <c r="X2075"/>
  <c r="AB2075" s="1"/>
  <c r="X489"/>
  <c r="AB489" s="1"/>
  <c r="X2159"/>
  <c r="AB2159" s="1"/>
  <c r="X580"/>
  <c r="AB580" s="1"/>
  <c r="X1077"/>
  <c r="AB1077" s="1"/>
  <c r="X1801"/>
  <c r="AB1801" s="1"/>
  <c r="X1713"/>
  <c r="AB1713" s="1"/>
  <c r="X1439"/>
  <c r="AB1439" s="1"/>
  <c r="X647"/>
  <c r="AB647" s="1"/>
  <c r="X1656"/>
  <c r="AB1656" s="1"/>
  <c r="X976"/>
  <c r="AB976" s="1"/>
  <c r="X203"/>
  <c r="AB203" s="1"/>
  <c r="X749"/>
  <c r="AB749" s="1"/>
  <c r="X1336"/>
  <c r="AB1336" s="1"/>
  <c r="X1572"/>
  <c r="AB1572" s="1"/>
  <c r="X1522"/>
  <c r="AB1522" s="1"/>
  <c r="X1389"/>
  <c r="AB1389" s="1"/>
  <c r="X1644"/>
  <c r="AB1644" s="1"/>
  <c r="X1605"/>
  <c r="AB1605" s="1"/>
  <c r="X858"/>
  <c r="AB858" s="1"/>
  <c r="X1798"/>
  <c r="AB1798" s="1"/>
  <c r="X1715"/>
  <c r="AB1715" s="1"/>
  <c r="X1296"/>
  <c r="AB1296" s="1"/>
  <c r="X48"/>
  <c r="AB48" s="1"/>
  <c r="X113"/>
  <c r="AB113" s="1"/>
  <c r="X27"/>
  <c r="AB27" s="1"/>
  <c r="X1635"/>
  <c r="AB1635" s="1"/>
  <c r="X759"/>
  <c r="AB759" s="1"/>
  <c r="X501"/>
  <c r="AB501" s="1"/>
  <c r="X549"/>
  <c r="AB549" s="1"/>
  <c r="X798"/>
  <c r="AB798" s="1"/>
  <c r="X621"/>
  <c r="AB621" s="1"/>
  <c r="X577"/>
  <c r="AB577" s="1"/>
  <c r="X379"/>
  <c r="AB379" s="1"/>
  <c r="X1543"/>
  <c r="AB1543" s="1"/>
  <c r="X715"/>
  <c r="AB715" s="1"/>
  <c r="X1366"/>
  <c r="AB1366" s="1"/>
  <c r="X479"/>
  <c r="AB479" s="1"/>
  <c r="X1695"/>
  <c r="AB1695" s="1"/>
  <c r="X1269"/>
  <c r="AB1269" s="1"/>
  <c r="X865"/>
  <c r="AB865" s="1"/>
  <c r="X637"/>
  <c r="AB637" s="1"/>
  <c r="X2125"/>
  <c r="AB2125" s="1"/>
  <c r="X297"/>
  <c r="AB297" s="1"/>
  <c r="X1836"/>
  <c r="AB1836" s="1"/>
  <c r="X531"/>
  <c r="AB531" s="1"/>
  <c r="X1535"/>
  <c r="AB1535" s="1"/>
  <c r="X1217"/>
  <c r="AB1217" s="1"/>
  <c r="X1455"/>
  <c r="AB1455" s="1"/>
  <c r="X1811"/>
  <c r="AB1811" s="1"/>
  <c r="X319"/>
  <c r="AB319" s="1"/>
  <c r="X1521"/>
  <c r="AB1521" s="1"/>
  <c r="X970"/>
  <c r="AB970" s="1"/>
  <c r="X1557"/>
  <c r="AB1557" s="1"/>
  <c r="X305"/>
  <c r="AB305" s="1"/>
  <c r="X1775"/>
  <c r="AB1775" s="1"/>
  <c r="X1203"/>
  <c r="AB1203" s="1"/>
  <c r="X1254"/>
  <c r="AB1254" s="1"/>
  <c r="X863"/>
  <c r="AB863" s="1"/>
  <c r="X228"/>
  <c r="AB228" s="1"/>
  <c r="X755"/>
  <c r="AB755" s="1"/>
  <c r="X279"/>
  <c r="AB279" s="1"/>
  <c r="X1687"/>
  <c r="AB1687" s="1"/>
  <c r="X1737"/>
  <c r="AB1737" s="1"/>
  <c r="X1380"/>
  <c r="AB1380" s="1"/>
  <c r="X222"/>
  <c r="AB222" s="1"/>
  <c r="X1173"/>
  <c r="AB1173" s="1"/>
  <c r="X754"/>
  <c r="AB754" s="1"/>
  <c r="X79"/>
  <c r="AB79" s="1"/>
  <c r="X1927"/>
  <c r="AB1927" s="1"/>
  <c r="X95"/>
  <c r="AB95" s="1"/>
  <c r="X822"/>
  <c r="AB822" s="1"/>
  <c r="X330"/>
  <c r="AB330" s="1"/>
  <c r="X83"/>
  <c r="AB83" s="1"/>
  <c r="X442"/>
  <c r="AB442" s="1"/>
  <c r="X1084"/>
  <c r="AB1084" s="1"/>
  <c r="X31"/>
  <c r="AB31" s="1"/>
  <c r="X1825"/>
  <c r="AB1825" s="1"/>
  <c r="X999"/>
  <c r="AB999" s="1"/>
  <c r="X526"/>
  <c r="AB526" s="1"/>
  <c r="X499"/>
  <c r="AB499" s="1"/>
  <c r="X1414"/>
  <c r="AB1414" s="1"/>
  <c r="X2111"/>
  <c r="AB2111" s="1"/>
  <c r="X1795"/>
  <c r="AB1795" s="1"/>
  <c r="X36"/>
  <c r="AB36" s="1"/>
  <c r="X1621"/>
  <c r="AB1621" s="1"/>
  <c r="X2010"/>
  <c r="AB2010" s="1"/>
  <c r="X562"/>
  <c r="AB562" s="1"/>
  <c r="X1323"/>
  <c r="AB1323" s="1"/>
  <c r="X1833"/>
  <c r="AB1833" s="1"/>
  <c r="X507"/>
  <c r="AB507" s="1"/>
  <c r="X155"/>
  <c r="AB155" s="1"/>
  <c r="X1566"/>
  <c r="AB1566" s="1"/>
  <c r="X2020"/>
  <c r="AB2020" s="1"/>
  <c r="X114"/>
  <c r="AB114" s="1"/>
  <c r="X1075"/>
  <c r="AB1075" s="1"/>
  <c r="X1866"/>
  <c r="AB1866" s="1"/>
  <c r="X846"/>
  <c r="AB846" s="1"/>
  <c r="X153"/>
  <c r="AB153" s="1"/>
  <c r="X30"/>
  <c r="AB30" s="1"/>
  <c r="X316"/>
  <c r="AB316" s="1"/>
  <c r="X167"/>
  <c r="AB167" s="1"/>
  <c r="X675"/>
  <c r="AB675" s="1"/>
  <c r="X119"/>
  <c r="AB119" s="1"/>
  <c r="X419"/>
  <c r="AB419" s="1"/>
  <c r="X659"/>
  <c r="AB659" s="1"/>
  <c r="X1807"/>
  <c r="AB1807" s="1"/>
  <c r="X178"/>
  <c r="AB178" s="1"/>
  <c r="X894"/>
  <c r="AB894" s="1"/>
  <c r="X413"/>
  <c r="AB413" s="1"/>
  <c r="X942"/>
  <c r="AB942" s="1"/>
  <c r="X1919"/>
  <c r="AB1919" s="1"/>
  <c r="X1684"/>
  <c r="AB1684" s="1"/>
  <c r="X2161"/>
  <c r="AB2161" s="1"/>
  <c r="X2034"/>
  <c r="AB2034" s="1"/>
  <c r="X1978"/>
  <c r="AB1978" s="1"/>
  <c r="X205"/>
  <c r="AB205" s="1"/>
  <c r="X234"/>
  <c r="AB234" s="1"/>
  <c r="X1840"/>
  <c r="AB1840" s="1"/>
  <c r="X283"/>
  <c r="AB283" s="1"/>
  <c r="X1793"/>
  <c r="AB1793" s="1"/>
  <c r="X1738"/>
  <c r="AB1738" s="1"/>
  <c r="X445"/>
  <c r="AB445" s="1"/>
  <c r="X1762"/>
  <c r="AB1762" s="1"/>
  <c r="X1372"/>
  <c r="AB1372" s="1"/>
  <c r="X2148"/>
  <c r="AB2148" s="1"/>
  <c r="X870"/>
  <c r="AB870" s="1"/>
  <c r="X22"/>
  <c r="AB22" s="1"/>
  <c r="X1765"/>
  <c r="AB1765" s="1"/>
  <c r="X810"/>
  <c r="AB810" s="1"/>
  <c r="X1225"/>
  <c r="AB1225" s="1"/>
  <c r="X1882"/>
  <c r="AB1882" s="1"/>
  <c r="X747"/>
  <c r="AB747" s="1"/>
  <c r="X397"/>
  <c r="AB397" s="1"/>
  <c r="X591"/>
  <c r="AB591" s="1"/>
  <c r="X360"/>
  <c r="AB360" s="1"/>
  <c r="X823"/>
  <c r="AB823" s="1"/>
  <c r="X634"/>
  <c r="AB634" s="1"/>
  <c r="X1636"/>
  <c r="AB1636" s="1"/>
  <c r="X1379"/>
  <c r="AB1379" s="1"/>
  <c r="X2116"/>
  <c r="AB2116" s="1"/>
  <c r="X1917"/>
  <c r="AB1917" s="1"/>
  <c r="X1819"/>
  <c r="AB1819" s="1"/>
  <c r="X631"/>
  <c r="AB631" s="1"/>
  <c r="X1972"/>
  <c r="AB1972" s="1"/>
  <c r="X1992"/>
  <c r="AB1992" s="1"/>
  <c r="X1726"/>
  <c r="AB1726" s="1"/>
  <c r="X25"/>
  <c r="AB25" s="1"/>
  <c r="X767"/>
  <c r="AB767" s="1"/>
  <c r="X1038"/>
  <c r="AB1038" s="1"/>
  <c r="X593"/>
  <c r="AB593" s="1"/>
  <c r="X1204"/>
  <c r="AB1204" s="1"/>
  <c r="B10"/>
  <c r="X640"/>
  <c r="AB640" s="1"/>
  <c r="X1995"/>
  <c r="AB1995" s="1"/>
  <c r="X2145"/>
  <c r="AB2145" s="1"/>
  <c r="X1575"/>
  <c r="AB1575" s="1"/>
  <c r="X514"/>
  <c r="AB514" s="1"/>
  <c r="X1743"/>
  <c r="AB1743" s="1"/>
  <c r="X1305"/>
  <c r="AB1305" s="1"/>
  <c r="X941"/>
  <c r="AB941" s="1"/>
  <c r="X1463"/>
  <c r="AB1463" s="1"/>
  <c r="X437"/>
  <c r="AB437" s="1"/>
  <c r="X1397"/>
  <c r="AB1397" s="1"/>
  <c r="X17"/>
  <c r="AB17" s="1"/>
  <c r="X371"/>
  <c r="AB371" s="1"/>
  <c r="X1741"/>
  <c r="AB1741" s="1"/>
  <c r="X115"/>
  <c r="AB115" s="1"/>
  <c r="X1744"/>
  <c r="AB1744" s="1"/>
  <c r="X1351"/>
  <c r="AB1351" s="1"/>
  <c r="X861"/>
  <c r="AB861" s="1"/>
  <c r="X2067"/>
  <c r="AB2067" s="1"/>
  <c r="X1007"/>
  <c r="AB1007" s="1"/>
  <c r="X777"/>
  <c r="AB777" s="1"/>
  <c r="X1044"/>
  <c r="AB1044" s="1"/>
  <c r="X535"/>
  <c r="AB535" s="1"/>
  <c r="X1734"/>
  <c r="AB1734" s="1"/>
  <c r="X1884"/>
  <c r="AB1884" s="1"/>
  <c r="X1120"/>
  <c r="AB1120" s="1"/>
  <c r="X795"/>
  <c r="AB795" s="1"/>
  <c r="X1043"/>
  <c r="AB1043" s="1"/>
  <c r="X1678"/>
  <c r="AB1678" s="1"/>
  <c r="B71" i="1"/>
  <c r="B72" s="1"/>
  <c r="E70"/>
  <c r="E96"/>
  <c r="B97"/>
  <c r="L48" i="8" l="1"/>
  <c r="M48" s="1"/>
  <c r="N48" s="1"/>
  <c r="P48"/>
  <c r="L46"/>
  <c r="M46" s="1"/>
  <c r="N46" s="1"/>
  <c r="P46"/>
  <c r="L49"/>
  <c r="M49" s="1"/>
  <c r="N49" s="1"/>
  <c r="P49"/>
  <c r="L47"/>
  <c r="M47" s="1"/>
  <c r="N47" s="1"/>
  <c r="P47"/>
  <c r="L45"/>
  <c r="M45" s="1"/>
  <c r="N45" s="1"/>
  <c r="L37"/>
  <c r="M37" s="1"/>
  <c r="N37" s="1"/>
  <c r="G27"/>
  <c r="D49"/>
  <c r="F31"/>
  <c r="P31" s="1"/>
  <c r="V37"/>
  <c r="D45"/>
  <c r="V45"/>
  <c r="D47"/>
  <c r="V47"/>
  <c r="V46"/>
  <c r="D46"/>
  <c r="V31"/>
  <c r="E33"/>
  <c r="E29"/>
  <c r="V48"/>
  <c r="E30"/>
  <c r="F30" s="1"/>
  <c r="P30" s="1"/>
  <c r="V29"/>
  <c r="V30"/>
  <c r="E34"/>
  <c r="V34"/>
  <c r="V33"/>
  <c r="E41"/>
  <c r="F41" s="1"/>
  <c r="P41" s="1"/>
  <c r="V41"/>
  <c r="E32"/>
  <c r="V32"/>
  <c r="E42"/>
  <c r="F42" s="1"/>
  <c r="P42" s="1"/>
  <c r="V42"/>
  <c r="E38"/>
  <c r="F38" s="1"/>
  <c r="P38" s="1"/>
  <c r="V38"/>
  <c r="E35"/>
  <c r="F35" s="1"/>
  <c r="P35" s="1"/>
  <c r="V35"/>
  <c r="E52"/>
  <c r="V52"/>
  <c r="E40"/>
  <c r="F40" s="1"/>
  <c r="P40" s="1"/>
  <c r="V40"/>
  <c r="E39"/>
  <c r="F39" s="1"/>
  <c r="P39" s="1"/>
  <c r="V39"/>
  <c r="E50"/>
  <c r="F50" s="1"/>
  <c r="V50"/>
  <c r="E36"/>
  <c r="V36"/>
  <c r="E43"/>
  <c r="F43" s="1"/>
  <c r="P43" s="1"/>
  <c r="V43"/>
  <c r="D50"/>
  <c r="D48"/>
  <c r="D52"/>
  <c r="B107" i="1"/>
  <c r="E107" s="1"/>
  <c r="E71"/>
  <c r="B87"/>
  <c r="E87" s="1"/>
  <c r="E72"/>
  <c r="B104"/>
  <c r="E104" s="1"/>
  <c r="B98"/>
  <c r="E97"/>
  <c r="L50" i="8" l="1"/>
  <c r="M50" s="1"/>
  <c r="N50" s="1"/>
  <c r="P50"/>
  <c r="L43"/>
  <c r="M43" s="1"/>
  <c r="N43" s="1"/>
  <c r="L39"/>
  <c r="M39" s="1"/>
  <c r="N39" s="1"/>
  <c r="L40"/>
  <c r="M40" s="1"/>
  <c r="N40" s="1"/>
  <c r="L35"/>
  <c r="M35" s="1"/>
  <c r="N35" s="1"/>
  <c r="L38"/>
  <c r="M38" s="1"/>
  <c r="N38" s="1"/>
  <c r="L42"/>
  <c r="M42" s="1"/>
  <c r="N42" s="1"/>
  <c r="L41"/>
  <c r="M41" s="1"/>
  <c r="N41" s="1"/>
  <c r="L30"/>
  <c r="M30" s="1"/>
  <c r="N30" s="1"/>
  <c r="L31"/>
  <c r="M31" s="1"/>
  <c r="N31" s="1"/>
  <c r="V27"/>
  <c r="F33"/>
  <c r="P33" s="1"/>
  <c r="E27"/>
  <c r="G32" i="12" s="1"/>
  <c r="G33" s="1"/>
  <c r="F36" i="8"/>
  <c r="P36" s="1"/>
  <c r="T47"/>
  <c r="U47"/>
  <c r="S47"/>
  <c r="T45"/>
  <c r="U45"/>
  <c r="S45"/>
  <c r="U49"/>
  <c r="S49"/>
  <c r="Q49"/>
  <c r="T49"/>
  <c r="R49"/>
  <c r="F52"/>
  <c r="F32"/>
  <c r="P32" s="1"/>
  <c r="F34"/>
  <c r="P34" s="1"/>
  <c r="T31"/>
  <c r="F29"/>
  <c r="Q45"/>
  <c r="R45"/>
  <c r="Q47"/>
  <c r="R47"/>
  <c r="B108" i="1"/>
  <c r="B109" s="1"/>
  <c r="B114"/>
  <c r="E114" s="1"/>
  <c r="B94"/>
  <c r="E94" s="1"/>
  <c r="B88"/>
  <c r="B89" s="1"/>
  <c r="E98"/>
  <c r="B99"/>
  <c r="G26" i="12"/>
  <c r="L52" i="8" l="1"/>
  <c r="M52" s="1"/>
  <c r="N52" s="1"/>
  <c r="P52"/>
  <c r="L34"/>
  <c r="M34" s="1"/>
  <c r="N34" s="1"/>
  <c r="L36"/>
  <c r="M36" s="1"/>
  <c r="N36" s="1"/>
  <c r="L33"/>
  <c r="M33" s="1"/>
  <c r="N33" s="1"/>
  <c r="P29"/>
  <c r="Q29" s="1"/>
  <c r="L29"/>
  <c r="M29" s="1"/>
  <c r="N29" s="1"/>
  <c r="L32"/>
  <c r="M32" s="1"/>
  <c r="N32" s="1"/>
  <c r="U32"/>
  <c r="U33"/>
  <c r="G34" i="12"/>
  <c r="F27" i="8"/>
  <c r="F89"/>
  <c r="P89" s="1"/>
  <c r="U36"/>
  <c r="F88"/>
  <c r="P88" s="1"/>
  <c r="G27" i="12"/>
  <c r="G28" s="1"/>
  <c r="F85" i="8"/>
  <c r="U46"/>
  <c r="S46"/>
  <c r="T46"/>
  <c r="T34"/>
  <c r="Q31"/>
  <c r="U52"/>
  <c r="R31"/>
  <c r="U31"/>
  <c r="S31"/>
  <c r="U37"/>
  <c r="S37"/>
  <c r="Q37"/>
  <c r="T37"/>
  <c r="R37"/>
  <c r="Q46"/>
  <c r="R46"/>
  <c r="T50"/>
  <c r="U50"/>
  <c r="T39"/>
  <c r="U39"/>
  <c r="T48"/>
  <c r="U48"/>
  <c r="R48"/>
  <c r="S48"/>
  <c r="R39"/>
  <c r="S39"/>
  <c r="R50"/>
  <c r="S50"/>
  <c r="Q39"/>
  <c r="Q50"/>
  <c r="Q48"/>
  <c r="E108" i="1"/>
  <c r="E88"/>
  <c r="B110"/>
  <c r="E109"/>
  <c r="E99"/>
  <c r="B100"/>
  <c r="E89"/>
  <c r="B90"/>
  <c r="L89" i="8" l="1"/>
  <c r="U29"/>
  <c r="T33"/>
  <c r="R29"/>
  <c r="S33"/>
  <c r="U27"/>
  <c r="Q33"/>
  <c r="R33"/>
  <c r="P27"/>
  <c r="L27"/>
  <c r="S36"/>
  <c r="T36"/>
  <c r="M88"/>
  <c r="N88" s="1"/>
  <c r="L88"/>
  <c r="Q36"/>
  <c r="M89"/>
  <c r="N89" s="1"/>
  <c r="T32"/>
  <c r="S29"/>
  <c r="T29"/>
  <c r="R36"/>
  <c r="T52"/>
  <c r="R34"/>
  <c r="Q32"/>
  <c r="S32"/>
  <c r="U34"/>
  <c r="S34"/>
  <c r="Q34"/>
  <c r="R32"/>
  <c r="Q52"/>
  <c r="R52"/>
  <c r="S52"/>
  <c r="T43"/>
  <c r="U43"/>
  <c r="T35"/>
  <c r="U35"/>
  <c r="T40"/>
  <c r="U40"/>
  <c r="T42"/>
  <c r="U42"/>
  <c r="T38"/>
  <c r="U38"/>
  <c r="T41"/>
  <c r="U41"/>
  <c r="R38"/>
  <c r="S38"/>
  <c r="R41"/>
  <c r="S41"/>
  <c r="R43"/>
  <c r="S43"/>
  <c r="R35"/>
  <c r="S35"/>
  <c r="R40"/>
  <c r="S40"/>
  <c r="R42"/>
  <c r="S42"/>
  <c r="Q38"/>
  <c r="Q41"/>
  <c r="Q43"/>
  <c r="Q35"/>
  <c r="Q40"/>
  <c r="Q42"/>
  <c r="E90" i="1"/>
  <c r="B91"/>
  <c r="E100"/>
  <c r="B101"/>
  <c r="E110"/>
  <c r="B111"/>
  <c r="R27" i="8" l="1"/>
  <c r="Q27"/>
  <c r="T27"/>
  <c r="S27"/>
  <c r="N27"/>
  <c r="M27"/>
  <c r="E91" i="1"/>
  <c r="B92"/>
  <c r="B112"/>
  <c r="E111"/>
  <c r="B102"/>
  <c r="E101"/>
  <c r="B113" l="1"/>
  <c r="E113" s="1"/>
  <c r="E112"/>
  <c r="B93"/>
  <c r="E93" s="1"/>
  <c r="E92"/>
  <c r="E102"/>
  <c r="B103"/>
  <c r="E103" s="1"/>
  <c r="Q2" i="10" l="1"/>
  <c r="W2" s="1"/>
  <c r="Q12"/>
  <c r="W12" s="1"/>
  <c r="Q6"/>
  <c r="W6" s="1"/>
  <c r="Q7"/>
  <c r="W7" s="1"/>
  <c r="U7" l="1"/>
  <c r="T7" s="1"/>
  <c r="Q8" s="1"/>
  <c r="R8" l="1"/>
  <c r="Y7" s="1"/>
  <c r="W8"/>
  <c r="Y12" l="1"/>
  <c r="Y6"/>
  <c r="K5"/>
  <c r="L10" s="1"/>
  <c r="K7"/>
  <c r="X8"/>
  <c r="Y4" l="1"/>
  <c r="Y5"/>
  <c r="Z7"/>
  <c r="AA7"/>
  <c r="Z12"/>
  <c r="AA12"/>
  <c r="Z6"/>
  <c r="AA6"/>
  <c r="K8"/>
  <c r="Z10" l="1"/>
  <c r="Z303" l="1"/>
  <c r="Z304"/>
  <c r="AA303"/>
  <c r="AA304"/>
  <c r="Z298"/>
  <c r="Z279"/>
  <c r="Z285"/>
  <c r="Z280"/>
  <c r="Z286"/>
  <c r="Z291"/>
  <c r="Z297"/>
  <c r="Z292"/>
  <c r="AA298"/>
  <c r="AA279"/>
  <c r="AA280"/>
  <c r="AA285"/>
  <c r="AA286"/>
  <c r="AA291"/>
  <c r="AA292"/>
  <c r="AA297"/>
  <c r="Z274"/>
  <c r="Z255"/>
  <c r="Z261"/>
  <c r="Z256"/>
  <c r="Z262"/>
  <c r="Z267"/>
  <c r="Z273"/>
  <c r="Z268"/>
  <c r="AA274"/>
  <c r="AA255"/>
  <c r="AA256"/>
  <c r="AA261"/>
  <c r="AA262"/>
  <c r="AA267"/>
  <c r="AA268"/>
  <c r="AA273"/>
  <c r="Z250"/>
  <c r="Z231"/>
  <c r="Z237"/>
  <c r="Z232"/>
  <c r="Z238"/>
  <c r="Z243"/>
  <c r="Z249"/>
  <c r="Z244"/>
  <c r="AA250"/>
  <c r="AA231"/>
  <c r="AA232"/>
  <c r="AA237"/>
  <c r="AA238"/>
  <c r="AA243"/>
  <c r="AA244"/>
  <c r="AA249"/>
  <c r="Z208"/>
  <c r="Z207"/>
  <c r="Z219"/>
  <c r="Z214"/>
  <c r="Z213"/>
  <c r="Z225"/>
  <c r="Z220"/>
  <c r="Z226"/>
  <c r="AA219"/>
  <c r="AA207"/>
  <c r="AA208"/>
  <c r="AA214"/>
  <c r="AA213"/>
  <c r="AA220"/>
  <c r="AA225"/>
  <c r="AA226"/>
  <c r="Z202"/>
  <c r="Z183"/>
  <c r="Z189"/>
  <c r="Z184"/>
  <c r="Z190"/>
  <c r="Z195"/>
  <c r="Z201"/>
  <c r="Z196"/>
  <c r="AA202"/>
  <c r="AA183"/>
  <c r="AA184"/>
  <c r="AA189"/>
  <c r="AA190"/>
  <c r="AA195"/>
  <c r="AA196"/>
  <c r="AA201"/>
  <c r="Z178"/>
  <c r="Z159"/>
  <c r="Z165"/>
  <c r="Z160"/>
  <c r="Z166"/>
  <c r="Z171"/>
  <c r="Z177"/>
  <c r="Z172"/>
  <c r="AA178"/>
  <c r="AA159"/>
  <c r="AA160"/>
  <c r="AA165"/>
  <c r="AA166"/>
  <c r="AA171"/>
  <c r="AA172"/>
  <c r="AA177"/>
  <c r="Z154"/>
  <c r="Z136"/>
  <c r="Z135"/>
  <c r="Z147"/>
  <c r="Z142"/>
  <c r="Z141"/>
  <c r="Z153"/>
  <c r="Z148"/>
  <c r="AA154"/>
  <c r="AA147"/>
  <c r="AA136"/>
  <c r="AA142"/>
  <c r="AA135"/>
  <c r="AA141"/>
  <c r="AA148"/>
  <c r="AA153"/>
  <c r="Z130"/>
  <c r="Z111"/>
  <c r="Z117"/>
  <c r="Z112"/>
  <c r="Z118"/>
  <c r="Z123"/>
  <c r="Z129"/>
  <c r="Z124"/>
  <c r="AA130"/>
  <c r="AA111"/>
  <c r="AA112"/>
  <c r="AA117"/>
  <c r="AA118"/>
  <c r="AA123"/>
  <c r="AA124"/>
  <c r="AA129"/>
  <c r="Z87"/>
  <c r="Z93"/>
  <c r="Z88"/>
  <c r="Z99"/>
  <c r="Z94"/>
  <c r="Z105"/>
  <c r="Z100"/>
  <c r="Z106"/>
  <c r="AA87"/>
  <c r="AA88"/>
  <c r="AA93"/>
  <c r="AA99"/>
  <c r="AA94"/>
  <c r="AA100"/>
  <c r="AA105"/>
  <c r="AA106"/>
  <c r="Z82"/>
  <c r="Z63"/>
  <c r="Z69"/>
  <c r="Z64"/>
  <c r="Z70"/>
  <c r="Z75"/>
  <c r="Z81"/>
  <c r="Z76"/>
  <c r="AA82"/>
  <c r="AA63"/>
  <c r="AA64"/>
  <c r="AA69"/>
  <c r="AA70"/>
  <c r="AA75"/>
  <c r="AA76"/>
  <c r="AA81"/>
  <c r="Z58"/>
  <c r="Z39"/>
  <c r="Z45"/>
  <c r="Z40"/>
  <c r="Z46"/>
  <c r="Z51"/>
  <c r="Z57"/>
  <c r="Z52"/>
  <c r="AA58"/>
  <c r="AA39"/>
  <c r="AA40"/>
  <c r="AA45"/>
  <c r="AA46"/>
  <c r="AA51"/>
  <c r="AA52"/>
  <c r="AA57"/>
  <c r="Z34"/>
  <c r="Z27"/>
  <c r="Z33"/>
  <c r="Z28"/>
  <c r="AA34"/>
  <c r="AA27"/>
  <c r="AA28"/>
  <c r="AA33"/>
  <c r="Z22"/>
  <c r="Z21"/>
  <c r="AA22"/>
  <c r="AA21"/>
  <c r="Z9"/>
  <c r="Z16"/>
  <c r="Z15"/>
  <c r="AA16"/>
  <c r="AA15"/>
  <c r="AA10"/>
  <c r="AA9"/>
  <c r="C47" i="1" l="1"/>
  <c r="C27"/>
  <c r="B47"/>
  <c r="Y1675" i="6"/>
  <c r="AA1675" s="1"/>
  <c r="Y511"/>
  <c r="AA511" s="1"/>
  <c r="Y1231"/>
  <c r="AA1231" s="1"/>
  <c r="Y1981"/>
  <c r="AA1981" s="1"/>
  <c r="Y1621"/>
  <c r="AA1621" s="1"/>
  <c r="Y49"/>
  <c r="AA49" s="1"/>
  <c r="Y2160"/>
  <c r="AA2160" s="1"/>
  <c r="Y1446"/>
  <c r="AA1446" s="1"/>
  <c r="Y1866"/>
  <c r="AA1866" s="1"/>
  <c r="Y2055"/>
  <c r="AA2055" s="1"/>
  <c r="Y1248"/>
  <c r="AA1248" s="1"/>
  <c r="Y1114"/>
  <c r="AA1114" s="1"/>
  <c r="Y1881"/>
  <c r="AA1881" s="1"/>
  <c r="Y2151"/>
  <c r="AA2151" s="1"/>
  <c r="Y251"/>
  <c r="AA251" s="1"/>
  <c r="Y1380"/>
  <c r="AA1380" s="1"/>
  <c r="Y358"/>
  <c r="AA358" s="1"/>
  <c r="Y489"/>
  <c r="AA489" s="1"/>
  <c r="Y1440"/>
  <c r="AA1440" s="1"/>
  <c r="Y593"/>
  <c r="AA593" s="1"/>
  <c r="Y1710"/>
  <c r="AA1710" s="1"/>
  <c r="Y679"/>
  <c r="AA679" s="1"/>
  <c r="Y1451"/>
  <c r="AA1451" s="1"/>
  <c r="Y1588"/>
  <c r="AA1588" s="1"/>
  <c r="Y1973"/>
  <c r="AA1973" s="1"/>
  <c r="Y761"/>
  <c r="AA761" s="1"/>
  <c r="Y1455"/>
  <c r="AA1455" s="1"/>
  <c r="Y125"/>
  <c r="AA125" s="1"/>
  <c r="Y23"/>
  <c r="AA23" s="1"/>
  <c r="Y838"/>
  <c r="AA838" s="1"/>
  <c r="Y1827"/>
  <c r="AA1827" s="1"/>
  <c r="Y1685"/>
  <c r="AA1685" s="1"/>
  <c r="Y963"/>
  <c r="AA963" s="1"/>
  <c r="Y1320"/>
  <c r="AA1320" s="1"/>
  <c r="Y989"/>
  <c r="AA989" s="1"/>
  <c r="Y1349"/>
  <c r="AA1349" s="1"/>
  <c r="Y459"/>
  <c r="AA459" s="1"/>
  <c r="Y613"/>
  <c r="AA613" s="1"/>
  <c r="Y263"/>
  <c r="AA263" s="1"/>
  <c r="Y1223"/>
  <c r="AA1223" s="1"/>
  <c r="Y1948"/>
  <c r="AA1948" s="1"/>
  <c r="Y1867"/>
  <c r="AA1867" s="1"/>
  <c r="Y1051"/>
  <c r="AA1051" s="1"/>
  <c r="Y226"/>
  <c r="AA226" s="1"/>
  <c r="Y1249"/>
  <c r="AA1249" s="1"/>
  <c r="Y876"/>
  <c r="AA876" s="1"/>
  <c r="Y791"/>
  <c r="AA791" s="1"/>
  <c r="Y561"/>
  <c r="AA561" s="1"/>
  <c r="Y957"/>
  <c r="AA957" s="1"/>
  <c r="Y1125"/>
  <c r="AA1125" s="1"/>
  <c r="Y917"/>
  <c r="AA917" s="1"/>
  <c r="Y1804"/>
  <c r="AA1804" s="1"/>
  <c r="Y1761"/>
  <c r="AA1761" s="1"/>
  <c r="Y367"/>
  <c r="AA367" s="1"/>
  <c r="Y605"/>
  <c r="AA605" s="1"/>
  <c r="Y726"/>
  <c r="AA726" s="1"/>
  <c r="Y1782"/>
  <c r="AA1782" s="1"/>
  <c r="Y1721"/>
  <c r="AA1721" s="1"/>
  <c r="Y658"/>
  <c r="AA658" s="1"/>
  <c r="Y1773"/>
  <c r="AA1773" s="1"/>
  <c r="Y531"/>
  <c r="AA531" s="1"/>
  <c r="Y1967"/>
  <c r="AA1967" s="1"/>
  <c r="Y455"/>
  <c r="AA455" s="1"/>
  <c r="Y2057"/>
  <c r="AA2057" s="1"/>
  <c r="Y529"/>
  <c r="AA529" s="1"/>
  <c r="Y2005"/>
  <c r="AA2005" s="1"/>
  <c r="Y1630"/>
  <c r="AA1630" s="1"/>
  <c r="Y435"/>
  <c r="AA435" s="1"/>
  <c r="Y619"/>
  <c r="AA619" s="1"/>
  <c r="Y1905"/>
  <c r="AA1905" s="1"/>
  <c r="Y148"/>
  <c r="AA148" s="1"/>
  <c r="Y1686"/>
  <c r="AA1686" s="1"/>
  <c r="Y431"/>
  <c r="AA431" s="1"/>
  <c r="Y1236"/>
  <c r="AA1236" s="1"/>
  <c r="Y793"/>
  <c r="AA793" s="1"/>
  <c r="Y865"/>
  <c r="AA865" s="1"/>
  <c r="Y1103"/>
  <c r="AA1103" s="1"/>
  <c r="Y355"/>
  <c r="AA355" s="1"/>
  <c r="Y229"/>
  <c r="AA229" s="1"/>
  <c r="Y58"/>
  <c r="AA58" s="1"/>
  <c r="Y964"/>
  <c r="AA964" s="1"/>
  <c r="Y1738"/>
  <c r="AA1738" s="1"/>
  <c r="Y306"/>
  <c r="AA306" s="1"/>
  <c r="Y1697"/>
  <c r="AA1697" s="1"/>
  <c r="Y1259"/>
  <c r="AA1259" s="1"/>
  <c r="Y1087"/>
  <c r="AA1087" s="1"/>
  <c r="Y1962"/>
  <c r="AA1962" s="1"/>
  <c r="Y624"/>
  <c r="AA624" s="1"/>
  <c r="Y339"/>
  <c r="AA339" s="1"/>
  <c r="Y216"/>
  <c r="AA216" s="1"/>
  <c r="Y2139"/>
  <c r="AA2139" s="1"/>
  <c r="Y1558"/>
  <c r="AA1558" s="1"/>
  <c r="Y1491"/>
  <c r="AA1491" s="1"/>
  <c r="Y243"/>
  <c r="AA243" s="1"/>
  <c r="Y1186"/>
  <c r="AA1186" s="1"/>
  <c r="Y550"/>
  <c r="AA550" s="1"/>
  <c r="Y1069"/>
  <c r="AA1069" s="1"/>
  <c r="Y1122"/>
  <c r="AA1122" s="1"/>
  <c r="Y1405"/>
  <c r="AA1405" s="1"/>
  <c r="Y1797"/>
  <c r="AA1797" s="1"/>
  <c r="Y1449"/>
  <c r="AA1449" s="1"/>
  <c r="Y1896"/>
  <c r="AA1896" s="1"/>
  <c r="Y1855"/>
  <c r="AA1855" s="1"/>
  <c r="Y814"/>
  <c r="AA814" s="1"/>
  <c r="Y810"/>
  <c r="AA810" s="1"/>
  <c r="Y1386"/>
  <c r="AA1386" s="1"/>
  <c r="Y399"/>
  <c r="AA399" s="1"/>
  <c r="Y862"/>
  <c r="AA862" s="1"/>
  <c r="Y1975"/>
  <c r="AA1975" s="1"/>
  <c r="Y169"/>
  <c r="AA169" s="1"/>
  <c r="Y2145"/>
  <c r="AA2145" s="1"/>
  <c r="Y2104"/>
  <c r="AA2104" s="1"/>
  <c r="Y1707"/>
  <c r="AA1707" s="1"/>
  <c r="Y473"/>
  <c r="AA473" s="1"/>
  <c r="Y379"/>
  <c r="AA379" s="1"/>
  <c r="Y2065"/>
  <c r="AA2065" s="1"/>
  <c r="Y1458"/>
  <c r="AA1458" s="1"/>
  <c r="Y1163"/>
  <c r="AA1163" s="1"/>
  <c r="Y563"/>
  <c r="AA563" s="1"/>
  <c r="Y1495"/>
  <c r="AA1495" s="1"/>
  <c r="Y804"/>
  <c r="AA804" s="1"/>
  <c r="Y107"/>
  <c r="AA107" s="1"/>
  <c r="Y214"/>
  <c r="AA214" s="1"/>
  <c r="Y919"/>
  <c r="AA919" s="1"/>
  <c r="Y1266"/>
  <c r="AA1266" s="1"/>
  <c r="Y453"/>
  <c r="AA453" s="1"/>
  <c r="Y1361"/>
  <c r="AA1361" s="1"/>
  <c r="Y1407"/>
  <c r="AA1407" s="1"/>
  <c r="Y501"/>
  <c r="AA501" s="1"/>
  <c r="Y28"/>
  <c r="AA28" s="1"/>
  <c r="Y2068"/>
  <c r="AA2068" s="1"/>
  <c r="Y1327"/>
  <c r="AA1327" s="1"/>
  <c r="Y767"/>
  <c r="AA767" s="1"/>
  <c r="Y70"/>
  <c r="AA70" s="1"/>
  <c r="Y1145"/>
  <c r="AA1145" s="1"/>
  <c r="Y441"/>
  <c r="AA441" s="1"/>
  <c r="Y1510"/>
  <c r="AA1510" s="1"/>
  <c r="Y402"/>
  <c r="AA402" s="1"/>
  <c r="Y1931"/>
  <c r="AA1931" s="1"/>
  <c r="Y1559"/>
  <c r="AA1559" s="1"/>
  <c r="Y1968"/>
  <c r="AA1968" s="1"/>
  <c r="Y1567"/>
  <c r="AA1567" s="1"/>
  <c r="Y10"/>
  <c r="AA10" s="1"/>
  <c r="Y702"/>
  <c r="AA702" s="1"/>
  <c r="Y815"/>
  <c r="AA815" s="1"/>
  <c r="Y448"/>
  <c r="AA448" s="1"/>
  <c r="Y1846"/>
  <c r="AA1846" s="1"/>
  <c r="Y760"/>
  <c r="AA760" s="1"/>
  <c r="Y1629"/>
  <c r="AA1629" s="1"/>
  <c r="Y382"/>
  <c r="AA382" s="1"/>
  <c r="Y827"/>
  <c r="AA827" s="1"/>
  <c r="Y1498"/>
  <c r="AA1498" s="1"/>
  <c r="Y1587"/>
  <c r="AA1587" s="1"/>
  <c r="Y745"/>
  <c r="AA745" s="1"/>
  <c r="Y2069"/>
  <c r="AA2069" s="1"/>
  <c r="Y918"/>
  <c r="AA918" s="1"/>
  <c r="Y1770"/>
  <c r="AA1770" s="1"/>
  <c r="Y149"/>
  <c r="AA149" s="1"/>
  <c r="Y811"/>
  <c r="AA811" s="1"/>
  <c r="Y1960"/>
  <c r="AA1960" s="1"/>
  <c r="Y1781"/>
  <c r="AA1781" s="1"/>
  <c r="Y407"/>
  <c r="AA407" s="1"/>
  <c r="Y385"/>
  <c r="AA385" s="1"/>
  <c r="Y925"/>
  <c r="AA925" s="1"/>
  <c r="Y129"/>
  <c r="AA129" s="1"/>
  <c r="Y845"/>
  <c r="AA845" s="1"/>
  <c r="Y2101"/>
  <c r="AA2101" s="1"/>
  <c r="Y990"/>
  <c r="AA990" s="1"/>
  <c r="Y1318"/>
  <c r="AA1318" s="1"/>
  <c r="Y576"/>
  <c r="AA576" s="1"/>
  <c r="Y735"/>
  <c r="AA735" s="1"/>
  <c r="Y850"/>
  <c r="AA850" s="1"/>
  <c r="Y1672"/>
  <c r="AA1672" s="1"/>
  <c r="Y766"/>
  <c r="AA766" s="1"/>
  <c r="Y1938"/>
  <c r="AA1938" s="1"/>
  <c r="Y2003"/>
  <c r="AA2003" s="1"/>
  <c r="Y430"/>
  <c r="AA430" s="1"/>
  <c r="Y654"/>
  <c r="AA654" s="1"/>
  <c r="Y1120"/>
  <c r="AA1120" s="1"/>
  <c r="Y343"/>
  <c r="AA343" s="1"/>
  <c r="Y366"/>
  <c r="AA366" s="1"/>
  <c r="Y1633"/>
  <c r="AA1633" s="1"/>
  <c r="Y127"/>
  <c r="AA127" s="1"/>
  <c r="Y478"/>
  <c r="AA478" s="1"/>
  <c r="Y1444"/>
  <c r="AA1444" s="1"/>
  <c r="Y1583"/>
  <c r="AA1583" s="1"/>
  <c r="Y463"/>
  <c r="AA463" s="1"/>
  <c r="Y1522"/>
  <c r="AA1522" s="1"/>
  <c r="Y2091"/>
  <c r="AA2091" s="1"/>
  <c r="Y1798"/>
  <c r="AA1798" s="1"/>
  <c r="Y29"/>
  <c r="AA29" s="1"/>
  <c r="Y1119"/>
  <c r="AA1119" s="1"/>
  <c r="Y1390"/>
  <c r="AA1390" s="1"/>
  <c r="Y521"/>
  <c r="AA521" s="1"/>
  <c r="Y486"/>
  <c r="AA486" s="1"/>
  <c r="Y1222"/>
  <c r="AA1222" s="1"/>
  <c r="Y233"/>
  <c r="AA233" s="1"/>
  <c r="Y2097"/>
  <c r="AA2097" s="1"/>
  <c r="Y2082"/>
  <c r="AA2082" s="1"/>
  <c r="Y1537"/>
  <c r="AA1537" s="1"/>
  <c r="Y1054"/>
  <c r="AA1054" s="1"/>
  <c r="Y1291"/>
  <c r="AA1291" s="1"/>
  <c r="Y333"/>
  <c r="AA333" s="1"/>
  <c r="Y1469"/>
  <c r="AA1469" s="1"/>
  <c r="Y1751"/>
  <c r="AA1751" s="1"/>
  <c r="Y1422"/>
  <c r="AA1422" s="1"/>
  <c r="Y1488"/>
  <c r="AA1488" s="1"/>
  <c r="Y163"/>
  <c r="AA163" s="1"/>
  <c r="Y15"/>
  <c r="AA15" s="1"/>
  <c r="Y1575"/>
  <c r="AA1575" s="1"/>
  <c r="Y1235"/>
  <c r="AA1235" s="1"/>
  <c r="Y1007"/>
  <c r="AA1007" s="1"/>
  <c r="Y59"/>
  <c r="AA59" s="1"/>
  <c r="Y736"/>
  <c r="AA736" s="1"/>
  <c r="Y142"/>
  <c r="AA142" s="1"/>
  <c r="Y981"/>
  <c r="AA981" s="1"/>
  <c r="Y418"/>
  <c r="AA418" s="1"/>
  <c r="Y685"/>
  <c r="AA685" s="1"/>
  <c r="Y822"/>
  <c r="AA822" s="1"/>
  <c r="Y1096"/>
  <c r="AA1096" s="1"/>
  <c r="Y1475"/>
  <c r="AA1475" s="1"/>
  <c r="Y841"/>
  <c r="AA841" s="1"/>
  <c r="Y1949"/>
  <c r="AA1949" s="1"/>
  <c r="Y1389"/>
  <c r="AA1389" s="1"/>
  <c r="Y2095"/>
  <c r="AA2095" s="1"/>
  <c r="Y769"/>
  <c r="AA769" s="1"/>
  <c r="Y532"/>
  <c r="AA532" s="1"/>
  <c r="Y157"/>
  <c r="AA157" s="1"/>
  <c r="Y1245"/>
  <c r="AA1245" s="1"/>
  <c r="Y1639"/>
  <c r="AA1639" s="1"/>
  <c r="Y1267"/>
  <c r="AA1267" s="1"/>
  <c r="Y1811"/>
  <c r="AA1811" s="1"/>
  <c r="Y559"/>
  <c r="AA559" s="1"/>
  <c r="Y1516"/>
  <c r="AA1516" s="1"/>
  <c r="Y1273"/>
  <c r="AA1273" s="1"/>
  <c r="Y429"/>
  <c r="AA429" s="1"/>
  <c r="Y1288"/>
  <c r="AA1288" s="1"/>
  <c r="Y652"/>
  <c r="AA652" s="1"/>
  <c r="Y71"/>
  <c r="AA71" s="1"/>
  <c r="Y1501"/>
  <c r="AA1501" s="1"/>
  <c r="Y1153"/>
  <c r="AA1153" s="1"/>
  <c r="Y505"/>
  <c r="AA505" s="1"/>
  <c r="Y498"/>
  <c r="AA498" s="1"/>
  <c r="Y1263"/>
  <c r="AA1263" s="1"/>
  <c r="Y556"/>
  <c r="AA556" s="1"/>
  <c r="Y733"/>
  <c r="AA733" s="1"/>
  <c r="Y150"/>
  <c r="AA150" s="1"/>
  <c r="Y1062"/>
  <c r="AA1062" s="1"/>
  <c r="Y2081"/>
  <c r="AA2081" s="1"/>
  <c r="Y135"/>
  <c r="AA135" s="1"/>
  <c r="Y381"/>
  <c r="AA381" s="1"/>
  <c r="Y954"/>
  <c r="AA954" s="1"/>
  <c r="Y1404"/>
  <c r="AA1404" s="1"/>
  <c r="Y575"/>
  <c r="AA575" s="1"/>
  <c r="Y1631"/>
  <c r="AA1631" s="1"/>
  <c r="Y1077"/>
  <c r="AA1077" s="1"/>
  <c r="Y808"/>
  <c r="AA808" s="1"/>
  <c r="Y305"/>
  <c r="AA305" s="1"/>
  <c r="Y1023"/>
  <c r="AA1023" s="1"/>
  <c r="Y1011"/>
  <c r="AA1011" s="1"/>
  <c r="Y789"/>
  <c r="AA789" s="1"/>
  <c r="Y2133"/>
  <c r="AA2133" s="1"/>
  <c r="Y87"/>
  <c r="AA87" s="1"/>
  <c r="Y1228"/>
  <c r="AA1228" s="1"/>
  <c r="Y1799"/>
  <c r="AA1799" s="1"/>
  <c r="Y1935"/>
  <c r="AA1935" s="1"/>
  <c r="Y1824"/>
  <c r="AA1824" s="1"/>
  <c r="Y1332"/>
  <c r="AA1332" s="1"/>
  <c r="Y708"/>
  <c r="AA708" s="1"/>
  <c r="Y108"/>
  <c r="AA108" s="1"/>
  <c r="Y1703"/>
  <c r="AA1703" s="1"/>
  <c r="Y1705"/>
  <c r="AA1705" s="1"/>
  <c r="Y2146"/>
  <c r="AA2146" s="1"/>
  <c r="Y1939"/>
  <c r="AA1939" s="1"/>
  <c r="Y2121"/>
  <c r="AA2121" s="1"/>
  <c r="Y1187"/>
  <c r="AA1187" s="1"/>
  <c r="Y1025"/>
  <c r="AA1025" s="1"/>
  <c r="Y1071"/>
  <c r="AA1071" s="1"/>
  <c r="Y162"/>
  <c r="AA162" s="1"/>
  <c r="Y1551"/>
  <c r="AA1551" s="1"/>
  <c r="Y1835"/>
  <c r="AA1835" s="1"/>
  <c r="Y881"/>
  <c r="AA881" s="1"/>
  <c r="Y1277"/>
  <c r="AA1277" s="1"/>
  <c r="Y1255"/>
  <c r="AA1255" s="1"/>
  <c r="Y1679"/>
  <c r="AA1679" s="1"/>
  <c r="Y2038"/>
  <c r="AA2038" s="1"/>
  <c r="Y2092"/>
  <c r="AA2092" s="1"/>
  <c r="Y1614"/>
  <c r="AA1614" s="1"/>
  <c r="Y1139"/>
  <c r="AA1139" s="1"/>
  <c r="Y631"/>
  <c r="AA631" s="1"/>
  <c r="Y1315"/>
  <c r="AA1315" s="1"/>
  <c r="Y1953"/>
  <c r="AA1953" s="1"/>
  <c r="Y1644"/>
  <c r="AA1644" s="1"/>
  <c r="Y1479"/>
  <c r="AA1479" s="1"/>
  <c r="Y1845"/>
  <c r="AA1845" s="1"/>
  <c r="Y47"/>
  <c r="AA47" s="1"/>
  <c r="Y669"/>
  <c r="AA669" s="1"/>
  <c r="Y922"/>
  <c r="AA922" s="1"/>
  <c r="Y1535"/>
  <c r="AA1535" s="1"/>
  <c r="Y1548"/>
  <c r="AA1548" s="1"/>
  <c r="Y724"/>
  <c r="AA724" s="1"/>
  <c r="Y1411"/>
  <c r="AA1411" s="1"/>
  <c r="Y225"/>
  <c r="AA225" s="1"/>
  <c r="Y601"/>
  <c r="AA601" s="1"/>
  <c r="Y1715"/>
  <c r="AA1715" s="1"/>
  <c r="Y250"/>
  <c r="AA250" s="1"/>
  <c r="Y1933"/>
  <c r="AA1933" s="1"/>
  <c r="Y1031"/>
  <c r="AA1031" s="1"/>
  <c r="Y2017"/>
  <c r="AA2017" s="1"/>
  <c r="Y1225"/>
  <c r="AA1225" s="1"/>
  <c r="Y1841"/>
  <c r="AA1841" s="1"/>
  <c r="Y138"/>
  <c r="AA138" s="1"/>
  <c r="Y874"/>
  <c r="AA874" s="1"/>
  <c r="Y273"/>
  <c r="AA273" s="1"/>
  <c r="Y835"/>
  <c r="AA835" s="1"/>
  <c r="Y1914"/>
  <c r="AA1914" s="1"/>
  <c r="Y929"/>
  <c r="AA929" s="1"/>
  <c r="Y1818"/>
  <c r="AA1818" s="1"/>
  <c r="Y151"/>
  <c r="AA151" s="1"/>
  <c r="Y2103"/>
  <c r="AA2103" s="1"/>
  <c r="Y1219"/>
  <c r="AA1219" s="1"/>
  <c r="Y970"/>
  <c r="AA970" s="1"/>
  <c r="Y805"/>
  <c r="AA805" s="1"/>
  <c r="Y189"/>
  <c r="AA189" s="1"/>
  <c r="Y2119"/>
  <c r="AA2119" s="1"/>
  <c r="Y1702"/>
  <c r="AA1702" s="1"/>
  <c r="Y324"/>
  <c r="AA324" s="1"/>
  <c r="Y2058"/>
  <c r="AA2058" s="1"/>
  <c r="Y1254"/>
  <c r="AA1254" s="1"/>
  <c r="Y61"/>
  <c r="AA61" s="1"/>
  <c r="Y1927"/>
  <c r="AA1927" s="1"/>
  <c r="Y244"/>
  <c r="AA244" s="1"/>
  <c r="Y629"/>
  <c r="AA629" s="1"/>
  <c r="Y1191"/>
  <c r="AA1191" s="1"/>
  <c r="Y1779"/>
  <c r="AA1779" s="1"/>
  <c r="Y1158"/>
  <c r="AA1158" s="1"/>
  <c r="Y294"/>
  <c r="AA294" s="1"/>
  <c r="Y903"/>
  <c r="AA903" s="1"/>
  <c r="Y882"/>
  <c r="AA882" s="1"/>
  <c r="Y466"/>
  <c r="AA466" s="1"/>
  <c r="Y1542"/>
  <c r="AA1542" s="1"/>
  <c r="Y1005"/>
  <c r="AA1005" s="1"/>
  <c r="Y1589"/>
  <c r="AA1589" s="1"/>
  <c r="Y1311"/>
  <c r="AA1311" s="1"/>
  <c r="Y796"/>
  <c r="AA796" s="1"/>
  <c r="Y1182"/>
  <c r="AA1182" s="1"/>
  <c r="Y1691"/>
  <c r="AA1691" s="1"/>
  <c r="Y1557"/>
  <c r="AA1557" s="1"/>
  <c r="Y2013"/>
  <c r="AA2013" s="1"/>
  <c r="Y1656"/>
  <c r="AA1656" s="1"/>
  <c r="Y1391"/>
  <c r="AA1391" s="1"/>
  <c r="Y1919"/>
  <c r="AA1919" s="1"/>
  <c r="Y694"/>
  <c r="AA694" s="1"/>
  <c r="Y334"/>
  <c r="AA334" s="1"/>
  <c r="Y1284"/>
  <c r="AA1284" s="1"/>
  <c r="Y1593"/>
  <c r="AA1593" s="1"/>
  <c r="Y979"/>
  <c r="AA979" s="1"/>
  <c r="Y1902"/>
  <c r="AA1902" s="1"/>
  <c r="Y1944"/>
  <c r="AA1944" s="1"/>
  <c r="Y1309"/>
  <c r="AA1309" s="1"/>
  <c r="Y1547"/>
  <c r="AA1547" s="1"/>
  <c r="Y1582"/>
  <c r="AA1582" s="1"/>
  <c r="Y1651"/>
  <c r="AA1651" s="1"/>
  <c r="Y774"/>
  <c r="AA774" s="1"/>
  <c r="Y2044"/>
  <c r="AA2044" s="1"/>
  <c r="Y1930"/>
  <c r="AA1930" s="1"/>
  <c r="Y2148"/>
  <c r="AA2148" s="1"/>
  <c r="Y948"/>
  <c r="AA948" s="1"/>
  <c r="Y1137"/>
  <c r="AA1137" s="1"/>
  <c r="Y994"/>
  <c r="AA994" s="1"/>
  <c r="Y275"/>
  <c r="AA275" s="1"/>
  <c r="Y1569"/>
  <c r="AA1569" s="1"/>
  <c r="Y1410"/>
  <c r="AA1410" s="1"/>
  <c r="Y2021"/>
  <c r="AA2021" s="1"/>
  <c r="Y779"/>
  <c r="AA779" s="1"/>
  <c r="Y1047"/>
  <c r="AA1047" s="1"/>
  <c r="Y1170"/>
  <c r="AA1170" s="1"/>
  <c r="Y24"/>
  <c r="AA24" s="1"/>
  <c r="Y1972"/>
  <c r="AA1972" s="1"/>
  <c r="Y1626"/>
  <c r="AA1626" s="1"/>
  <c r="Y1512"/>
  <c r="AA1512" s="1"/>
  <c r="Y931"/>
  <c r="AA931" s="1"/>
  <c r="Y949"/>
  <c r="AA949" s="1"/>
  <c r="Y753"/>
  <c r="AA753" s="1"/>
  <c r="Y843"/>
  <c r="AA843" s="1"/>
  <c r="Y939"/>
  <c r="AA939" s="1"/>
  <c r="Y859"/>
  <c r="AA859" s="1"/>
  <c r="Y1210"/>
  <c r="AA1210" s="1"/>
  <c r="Y1331"/>
  <c r="AA1331" s="1"/>
  <c r="Y2046"/>
  <c r="AA2046" s="1"/>
  <c r="Y352"/>
  <c r="AA352" s="1"/>
  <c r="Y1463"/>
  <c r="AA1463" s="1"/>
  <c r="Y479"/>
  <c r="AA479" s="1"/>
  <c r="Y1852"/>
  <c r="AA1852" s="1"/>
  <c r="Y1171"/>
  <c r="AA1171" s="1"/>
  <c r="Y588"/>
  <c r="AA588" s="1"/>
  <c r="Y1929"/>
  <c r="AA1929" s="1"/>
  <c r="Y1009"/>
  <c r="AA1009" s="1"/>
  <c r="Y955"/>
  <c r="AA955" s="1"/>
  <c r="Y336"/>
  <c r="AA336" s="1"/>
  <c r="Y1371"/>
  <c r="AA1371" s="1"/>
  <c r="Y509"/>
  <c r="AA509" s="1"/>
  <c r="Y660"/>
  <c r="AA660" s="1"/>
  <c r="Y768"/>
  <c r="AA768" s="1"/>
  <c r="Y1757"/>
  <c r="AA1757" s="1"/>
  <c r="Y553"/>
  <c r="AA553" s="1"/>
  <c r="Y637"/>
  <c r="AA637" s="1"/>
  <c r="Y141"/>
  <c r="AA141" s="1"/>
  <c r="Y318"/>
  <c r="AA318" s="1"/>
  <c r="Y1357"/>
  <c r="AA1357" s="1"/>
  <c r="Y1414"/>
  <c r="AA1414" s="1"/>
  <c r="Y2037"/>
  <c r="AA2037" s="1"/>
  <c r="Y1001"/>
  <c r="AA1001" s="1"/>
  <c r="Y1066"/>
  <c r="AA1066" s="1"/>
  <c r="Y400"/>
  <c r="AA400" s="1"/>
  <c r="Y1534"/>
  <c r="AA1534" s="1"/>
  <c r="Y1408"/>
  <c r="AA1408" s="1"/>
  <c r="Y1453"/>
  <c r="AA1453" s="1"/>
  <c r="Y155"/>
  <c r="AA155" s="1"/>
  <c r="Y161"/>
  <c r="AA161" s="1"/>
  <c r="Y583"/>
  <c r="AA583" s="1"/>
  <c r="Y1847"/>
  <c r="AA1847" s="1"/>
  <c r="Y678"/>
  <c r="AA678" s="1"/>
  <c r="Y880"/>
  <c r="AA880" s="1"/>
  <c r="Y1684"/>
  <c r="AA1684" s="1"/>
  <c r="Y1246"/>
  <c r="AA1246" s="1"/>
  <c r="Y159"/>
  <c r="AA159" s="1"/>
  <c r="Y223"/>
  <c r="AA223" s="1"/>
  <c r="Y795"/>
  <c r="AA795" s="1"/>
  <c r="Y1063"/>
  <c r="AA1063" s="1"/>
  <c r="Y927"/>
  <c r="AA927" s="1"/>
  <c r="Y1269"/>
  <c r="AA1269" s="1"/>
  <c r="Y975"/>
  <c r="AA975" s="1"/>
  <c r="Y2010"/>
  <c r="AA2010" s="1"/>
  <c r="Y25"/>
  <c r="AA25" s="1"/>
  <c r="Y1823"/>
  <c r="AA1823" s="1"/>
  <c r="Y1515"/>
  <c r="AA1515" s="1"/>
  <c r="Y1384"/>
  <c r="AA1384" s="1"/>
  <c r="Y36"/>
  <c r="AA36" s="1"/>
  <c r="Y1769"/>
  <c r="AA1769" s="1"/>
  <c r="Y1257"/>
  <c r="AA1257" s="1"/>
  <c r="Y1019"/>
  <c r="AA1019" s="1"/>
  <c r="Y287"/>
  <c r="AA287" s="1"/>
  <c r="Y520"/>
  <c r="AA520" s="1"/>
  <c r="Y985"/>
  <c r="AA985" s="1"/>
  <c r="Y684"/>
  <c r="AA684" s="1"/>
  <c r="Y690"/>
  <c r="AA690" s="1"/>
  <c r="Y156"/>
  <c r="AA156" s="1"/>
  <c r="Y1024"/>
  <c r="AA1024" s="1"/>
  <c r="Y1698"/>
  <c r="AA1698" s="1"/>
  <c r="Y300"/>
  <c r="AA300" s="1"/>
  <c r="Y181"/>
  <c r="AA181" s="1"/>
  <c r="Y1932"/>
  <c r="AA1932" s="1"/>
  <c r="Y996"/>
  <c r="AA996" s="1"/>
  <c r="Y33"/>
  <c r="AA33" s="1"/>
  <c r="Y2033"/>
  <c r="AA2033" s="1"/>
  <c r="Y492"/>
  <c r="AA492" s="1"/>
  <c r="Y115"/>
  <c r="AA115" s="1"/>
  <c r="Y1611"/>
  <c r="AA1611" s="1"/>
  <c r="Y603"/>
  <c r="AA603" s="1"/>
  <c r="Y514"/>
  <c r="AA514" s="1"/>
  <c r="Y1753"/>
  <c r="AA1753" s="1"/>
  <c r="Y797"/>
  <c r="AA797" s="1"/>
  <c r="Y1101"/>
  <c r="AA1101" s="1"/>
  <c r="Y772"/>
  <c r="AA772" s="1"/>
  <c r="Y1552"/>
  <c r="AA1552" s="1"/>
  <c r="Y2085"/>
  <c r="AA2085" s="1"/>
  <c r="Y526"/>
  <c r="AA526" s="1"/>
  <c r="Y594"/>
  <c r="AA594" s="1"/>
  <c r="Y245"/>
  <c r="AA245" s="1"/>
  <c r="Y1383"/>
  <c r="AA1383" s="1"/>
  <c r="Y1234"/>
  <c r="AA1234" s="1"/>
  <c r="Y1337"/>
  <c r="AA1337" s="1"/>
  <c r="Y2001"/>
  <c r="AA2001" s="1"/>
  <c r="Y928"/>
  <c r="AA928" s="1"/>
  <c r="Y57"/>
  <c r="AA57" s="1"/>
  <c r="Y1529"/>
  <c r="AA1529" s="1"/>
  <c r="Y757"/>
  <c r="AA757" s="1"/>
  <c r="Y1596"/>
  <c r="AA1596" s="1"/>
  <c r="Y1840"/>
  <c r="AA1840" s="1"/>
  <c r="Y387"/>
  <c r="AA387" s="1"/>
  <c r="Y1815"/>
  <c r="AA1815" s="1"/>
  <c r="Y1161"/>
  <c r="AA1161" s="1"/>
  <c r="Y503"/>
  <c r="AA503" s="1"/>
  <c r="Y618"/>
  <c r="AA618" s="1"/>
  <c r="Y454"/>
  <c r="AA454" s="1"/>
  <c r="Y934"/>
  <c r="AA934" s="1"/>
  <c r="Y946"/>
  <c r="AA946" s="1"/>
  <c r="Y2137"/>
  <c r="AA2137" s="1"/>
  <c r="Y1794"/>
  <c r="AA1794" s="1"/>
  <c r="Y346"/>
  <c r="AA346" s="1"/>
  <c r="Y2004"/>
  <c r="AA2004" s="1"/>
  <c r="Y39"/>
  <c r="AA39" s="1"/>
  <c r="Y2131"/>
  <c r="AA2131" s="1"/>
  <c r="Y1879"/>
  <c r="AA1879" s="1"/>
  <c r="Y437"/>
  <c r="AA437" s="1"/>
  <c r="Y895"/>
  <c r="AA895" s="1"/>
  <c r="Y2063"/>
  <c r="AA2063" s="1"/>
  <c r="Y193"/>
  <c r="AA193" s="1"/>
  <c r="Y369"/>
  <c r="AA369" s="1"/>
  <c r="Y1606"/>
  <c r="AA1606" s="1"/>
  <c r="Y99"/>
  <c r="AA99" s="1"/>
  <c r="Y1033"/>
  <c r="AA1033" s="1"/>
  <c r="Y102"/>
  <c r="AA102" s="1"/>
  <c r="Y1917"/>
  <c r="AA1917" s="1"/>
  <c r="Y210"/>
  <c r="AA210" s="1"/>
  <c r="Y2043"/>
  <c r="AA2043" s="1"/>
  <c r="Y1719"/>
  <c r="AA1719" s="1"/>
  <c r="Y201"/>
  <c r="AA201" s="1"/>
  <c r="Y2079"/>
  <c r="AA2079" s="1"/>
  <c r="Y1089"/>
  <c r="AA1089" s="1"/>
  <c r="Y328"/>
  <c r="AA328" s="1"/>
  <c r="Y1014"/>
  <c r="AA1014" s="1"/>
  <c r="Y1344"/>
  <c r="AA1344" s="1"/>
  <c r="Y461"/>
  <c r="AA461" s="1"/>
  <c r="Y1020"/>
  <c r="AA1020" s="1"/>
  <c r="Y247"/>
  <c r="AA247" s="1"/>
  <c r="Y1385"/>
  <c r="AA1385" s="1"/>
  <c r="Y982"/>
  <c r="AA982" s="1"/>
  <c r="Y1595"/>
  <c r="AA1595" s="1"/>
  <c r="Y1445"/>
  <c r="AA1445" s="1"/>
  <c r="Y1871"/>
  <c r="AA1871" s="1"/>
  <c r="Y137"/>
  <c r="AA137" s="1"/>
  <c r="Y1617"/>
  <c r="AA1617" s="1"/>
  <c r="Y2105"/>
  <c r="AA2105" s="1"/>
  <c r="Y66"/>
  <c r="AA66" s="1"/>
  <c r="Y178"/>
  <c r="AA178" s="1"/>
  <c r="Y1504"/>
  <c r="AA1504" s="1"/>
  <c r="Y1809"/>
  <c r="AA1809" s="1"/>
  <c r="Y1925"/>
  <c r="AA1925" s="1"/>
  <c r="Y293"/>
  <c r="AA293" s="1"/>
  <c r="Y249"/>
  <c r="AA249" s="1"/>
  <c r="Y1420"/>
  <c r="AA1420" s="1"/>
  <c r="Y1116"/>
  <c r="AA1116" s="1"/>
  <c r="Y1709"/>
  <c r="AA1709" s="1"/>
  <c r="Y961"/>
  <c r="AA961" s="1"/>
  <c r="Y1527"/>
  <c r="AA1527" s="1"/>
  <c r="Y1650"/>
  <c r="AA1650" s="1"/>
  <c r="Y1956"/>
  <c r="AA1956" s="1"/>
  <c r="Y451"/>
  <c r="AA451" s="1"/>
  <c r="Y1747"/>
  <c r="AA1747" s="1"/>
  <c r="Y126"/>
  <c r="AA126" s="1"/>
  <c r="Y1233"/>
  <c r="AA1233" s="1"/>
  <c r="Y295"/>
  <c r="AA295" s="1"/>
  <c r="Y53"/>
  <c r="AA53" s="1"/>
  <c r="Y1901"/>
  <c r="AA1901" s="1"/>
  <c r="Y1402"/>
  <c r="AA1402" s="1"/>
  <c r="Y606"/>
  <c r="AA606" s="1"/>
  <c r="Y1564"/>
  <c r="AA1564" s="1"/>
  <c r="Y495"/>
  <c r="AA495" s="1"/>
  <c r="Y1983"/>
  <c r="AA1983" s="1"/>
  <c r="Y649"/>
  <c r="AA649" s="1"/>
  <c r="Y940"/>
  <c r="AA940" s="1"/>
  <c r="Y377"/>
  <c r="AA377" s="1"/>
  <c r="Y1211"/>
  <c r="AA1211" s="1"/>
  <c r="Y527"/>
  <c r="AA527" s="1"/>
  <c r="Y255"/>
  <c r="AA255" s="1"/>
  <c r="Y1762"/>
  <c r="AA1762" s="1"/>
  <c r="Y1429"/>
  <c r="AA1429" s="1"/>
  <c r="Y507"/>
  <c r="AA507" s="1"/>
  <c r="Y2140"/>
  <c r="AA2140" s="1"/>
  <c r="Y22"/>
  <c r="AA22" s="1"/>
  <c r="Y1450"/>
  <c r="AA1450" s="1"/>
  <c r="Y285"/>
  <c r="AA285" s="1"/>
  <c r="Y522"/>
  <c r="AA522" s="1"/>
  <c r="Y262"/>
  <c r="AA262" s="1"/>
  <c r="Y2098"/>
  <c r="AA2098" s="1"/>
  <c r="Y1638"/>
  <c r="AA1638" s="1"/>
  <c r="Y1464"/>
  <c r="AA1464" s="1"/>
  <c r="Y220"/>
  <c r="AA220" s="1"/>
  <c r="Y893"/>
  <c r="AA893" s="1"/>
  <c r="Y117"/>
  <c r="AA117" s="1"/>
  <c r="Y676"/>
  <c r="AA676" s="1"/>
  <c r="Y112"/>
  <c r="AA112" s="1"/>
  <c r="Y1648"/>
  <c r="AA1648" s="1"/>
  <c r="Y1882"/>
  <c r="AA1882" s="1"/>
  <c r="Y714"/>
  <c r="AA714" s="1"/>
  <c r="Y1643"/>
  <c r="AA1643" s="1"/>
  <c r="Y1497"/>
  <c r="AA1497" s="1"/>
  <c r="Y1173"/>
  <c r="AA1173" s="1"/>
  <c r="Y1566"/>
  <c r="AA1566" s="1"/>
  <c r="Y483"/>
  <c r="AA483" s="1"/>
  <c r="Y1635"/>
  <c r="AA1635" s="1"/>
  <c r="Y1306"/>
  <c r="AA1306" s="1"/>
  <c r="Y1375"/>
  <c r="AA1375" s="1"/>
  <c r="Y756"/>
  <c r="AA756" s="1"/>
  <c r="Y709"/>
  <c r="AA709" s="1"/>
  <c r="Y573"/>
  <c r="AA573" s="1"/>
  <c r="Y1072"/>
  <c r="AA1072" s="1"/>
  <c r="Y1117"/>
  <c r="AA1117" s="1"/>
  <c r="Y2087"/>
  <c r="AA2087" s="1"/>
  <c r="Y1950"/>
  <c r="AA1950" s="1"/>
  <c r="Y1323"/>
  <c r="AA1323" s="1"/>
  <c r="Y508"/>
  <c r="AA508" s="1"/>
  <c r="Y45"/>
  <c r="AA45" s="1"/>
  <c r="Y943"/>
  <c r="AA943" s="1"/>
  <c r="Y942"/>
  <c r="AA942" s="1"/>
  <c r="Y118"/>
  <c r="AA118" s="1"/>
  <c r="Y30"/>
  <c r="AA30" s="1"/>
  <c r="Y1439"/>
  <c r="AA1439" s="1"/>
  <c r="Y666"/>
  <c r="AA666" s="1"/>
  <c r="Y837"/>
  <c r="AA837" s="1"/>
  <c r="Y100"/>
  <c r="AA100" s="1"/>
  <c r="Y1991"/>
  <c r="AA1991" s="1"/>
  <c r="Y2159"/>
  <c r="AA2159" s="1"/>
  <c r="Y904"/>
  <c r="AA904" s="1"/>
  <c r="Y310"/>
  <c r="AA310" s="1"/>
  <c r="Y192"/>
  <c r="AA192" s="1"/>
  <c r="Y636"/>
  <c r="AA636" s="1"/>
  <c r="Y1264"/>
  <c r="AA1264" s="1"/>
  <c r="Y544"/>
  <c r="AA544" s="1"/>
  <c r="Y912"/>
  <c r="AA912" s="1"/>
  <c r="Y1594"/>
  <c r="AA1594" s="1"/>
  <c r="Y349"/>
  <c r="AA349" s="1"/>
  <c r="Y256"/>
  <c r="AA256" s="1"/>
  <c r="Y1509"/>
  <c r="AA1509" s="1"/>
  <c r="Y1717"/>
  <c r="AA1717" s="1"/>
  <c r="Y391"/>
  <c r="AA391" s="1"/>
  <c r="Y829"/>
  <c r="AA829" s="1"/>
  <c r="Y412"/>
  <c r="AA412" s="1"/>
  <c r="Y1041"/>
  <c r="AA1041" s="1"/>
  <c r="Y414"/>
  <c r="AA414" s="1"/>
  <c r="Y1954"/>
  <c r="AA1954" s="1"/>
  <c r="Y449"/>
  <c r="AA449" s="1"/>
  <c r="Y809"/>
  <c r="AA809" s="1"/>
  <c r="Y312"/>
  <c r="AA312" s="1"/>
  <c r="Y540"/>
  <c r="AA540" s="1"/>
  <c r="Y173"/>
  <c r="AA173" s="1"/>
  <c r="Y1053"/>
  <c r="AA1053" s="1"/>
  <c r="Y1201"/>
  <c r="AA1201" s="1"/>
  <c r="Y1777"/>
  <c r="AA1777" s="1"/>
  <c r="Y409"/>
  <c r="AA409" s="1"/>
  <c r="Y1091"/>
  <c r="AA1091" s="1"/>
  <c r="Y1695"/>
  <c r="AA1695" s="1"/>
  <c r="Y1221"/>
  <c r="AA1221" s="1"/>
  <c r="Y2027"/>
  <c r="AA2027" s="1"/>
  <c r="Y1678"/>
  <c r="AA1678" s="1"/>
  <c r="Y870"/>
  <c r="AA870" s="1"/>
  <c r="Y1609"/>
  <c r="AA1609" s="1"/>
  <c r="Y119"/>
  <c r="AA119" s="1"/>
  <c r="Y2093"/>
  <c r="AA2093" s="1"/>
  <c r="Y1297"/>
  <c r="AA1297" s="1"/>
  <c r="Y623"/>
  <c r="AA623" s="1"/>
  <c r="Y1175"/>
  <c r="AA1175" s="1"/>
  <c r="Y354"/>
  <c r="AA354" s="1"/>
  <c r="Y222"/>
  <c r="AA222" s="1"/>
  <c r="Y43"/>
  <c r="AA43" s="1"/>
  <c r="Y537"/>
  <c r="AA537" s="1"/>
  <c r="Y365"/>
  <c r="AA365" s="1"/>
  <c r="Y1507"/>
  <c r="AA1507" s="1"/>
  <c r="Y635"/>
  <c r="AA635" s="1"/>
  <c r="Y101"/>
  <c r="AA101" s="1"/>
  <c r="Y1104"/>
  <c r="AA1104" s="1"/>
  <c r="Y2016"/>
  <c r="AA2016" s="1"/>
  <c r="Y1945"/>
  <c r="AA1945" s="1"/>
  <c r="Y93"/>
  <c r="AA93" s="1"/>
  <c r="Y1915"/>
  <c r="AA1915" s="1"/>
  <c r="Y790"/>
  <c r="AA790" s="1"/>
  <c r="Y16"/>
  <c r="AA16" s="1"/>
  <c r="Y1097"/>
  <c r="AA1097" s="1"/>
  <c r="Y1894"/>
  <c r="AA1894" s="1"/>
  <c r="Y622"/>
  <c r="AA622" s="1"/>
  <c r="Y2154"/>
  <c r="AA2154" s="1"/>
  <c r="Y337"/>
  <c r="AA337" s="1"/>
  <c r="Y1895"/>
  <c r="AA1895" s="1"/>
  <c r="Y221"/>
  <c r="AA221" s="1"/>
  <c r="Y729"/>
  <c r="AA729" s="1"/>
  <c r="Y600"/>
  <c r="AA600" s="1"/>
  <c r="Y1755"/>
  <c r="AA1755" s="1"/>
  <c r="Y1127"/>
  <c r="AA1127" s="1"/>
  <c r="Y1242"/>
  <c r="AA1242" s="1"/>
  <c r="Y910"/>
  <c r="AA910" s="1"/>
  <c r="Y891"/>
  <c r="AA891" s="1"/>
  <c r="Y813"/>
  <c r="AA813" s="1"/>
  <c r="Y960"/>
  <c r="AA960" s="1"/>
  <c r="Y2077"/>
  <c r="AA2077" s="1"/>
  <c r="Y1121"/>
  <c r="AA1121" s="1"/>
  <c r="Y1785"/>
  <c r="AA1785" s="1"/>
  <c r="Y727"/>
  <c r="AA727" s="1"/>
  <c r="Y1395"/>
  <c r="AA1395" s="1"/>
  <c r="Y1240"/>
  <c r="AA1240" s="1"/>
  <c r="Y353"/>
  <c r="AA353" s="1"/>
  <c r="Y972"/>
  <c r="AA972" s="1"/>
  <c r="Y329"/>
  <c r="AA329" s="1"/>
  <c r="Y1075"/>
  <c r="AA1075" s="1"/>
  <c r="Y477"/>
  <c r="AA477" s="1"/>
  <c r="Y864"/>
  <c r="AA864" s="1"/>
  <c r="Y1737"/>
  <c r="AA1737" s="1"/>
  <c r="Y607"/>
  <c r="AA607" s="1"/>
  <c r="Y342"/>
  <c r="AA342" s="1"/>
  <c r="Y1525"/>
  <c r="AA1525" s="1"/>
  <c r="Y743"/>
  <c r="AA743" s="1"/>
  <c r="Y1908"/>
  <c r="AA1908" s="1"/>
  <c r="Y1971"/>
  <c r="AA1971" s="1"/>
  <c r="Y642"/>
  <c r="AA642" s="1"/>
  <c r="Y427"/>
  <c r="AA427" s="1"/>
  <c r="Y913"/>
  <c r="AA913" s="1"/>
  <c r="Y1745"/>
  <c r="AA1745" s="1"/>
  <c r="Y1294"/>
  <c r="AA1294" s="1"/>
  <c r="Y1615"/>
  <c r="AA1615" s="1"/>
  <c r="Y1078"/>
  <c r="AA1078" s="1"/>
  <c r="Y1816"/>
  <c r="AA1816" s="1"/>
  <c r="Y999"/>
  <c r="AA999" s="1"/>
  <c r="Y1461"/>
  <c r="AA1461" s="1"/>
  <c r="Y259"/>
  <c r="AA259" s="1"/>
  <c r="Y239"/>
  <c r="AA239" s="1"/>
  <c r="Y480"/>
  <c r="AA480" s="1"/>
  <c r="Y1806"/>
  <c r="AA1806" s="1"/>
  <c r="Y2123"/>
  <c r="AA2123" s="1"/>
  <c r="Y327"/>
  <c r="AA327" s="1"/>
  <c r="Y12"/>
  <c r="AA12" s="1"/>
  <c r="Y1243"/>
  <c r="AA1243" s="1"/>
  <c r="Y1627"/>
  <c r="AA1627" s="1"/>
  <c r="Y1447"/>
  <c r="AA1447" s="1"/>
  <c r="Y177"/>
  <c r="AA177" s="1"/>
  <c r="Y145"/>
  <c r="AA145" s="1"/>
  <c r="Y1637"/>
  <c r="AA1637" s="1"/>
  <c r="Y1283"/>
  <c r="AA1283" s="1"/>
  <c r="Y341"/>
  <c r="AA341" s="1"/>
  <c r="Y1342"/>
  <c r="AA1342" s="1"/>
  <c r="Y60"/>
  <c r="AA60" s="1"/>
  <c r="Y567"/>
  <c r="AA567" s="1"/>
  <c r="Y1693"/>
  <c r="AA1693" s="1"/>
  <c r="Y898"/>
  <c r="AA898" s="1"/>
  <c r="Y167"/>
  <c r="AA167" s="1"/>
  <c r="Y143"/>
  <c r="AA143" s="1"/>
  <c r="Y1636"/>
  <c r="AA1636" s="1"/>
  <c r="Y528"/>
  <c r="AA528" s="1"/>
  <c r="Y1887"/>
  <c r="AA1887" s="1"/>
  <c r="Y65"/>
  <c r="AA65" s="1"/>
  <c r="Y1801"/>
  <c r="AA1801" s="1"/>
  <c r="Y1590"/>
  <c r="AA1590" s="1"/>
  <c r="Y1913"/>
  <c r="AA1913" s="1"/>
  <c r="Y474"/>
  <c r="AA474" s="1"/>
  <c r="Y204"/>
  <c r="AA204" s="1"/>
  <c r="Y1803"/>
  <c r="AA1803" s="1"/>
  <c r="Y634"/>
  <c r="AA634" s="1"/>
  <c r="Y1313"/>
  <c r="AA1313" s="1"/>
  <c r="Y1864"/>
  <c r="AA1864" s="1"/>
  <c r="Y1890"/>
  <c r="AA1890" s="1"/>
  <c r="Y513"/>
  <c r="AA513" s="1"/>
  <c r="Y2089"/>
  <c r="AA2089" s="1"/>
  <c r="Y82"/>
  <c r="AA82" s="1"/>
  <c r="Y765"/>
  <c r="AA765" s="1"/>
  <c r="Y1572"/>
  <c r="AA1572" s="1"/>
  <c r="Y1893"/>
  <c r="AA1893" s="1"/>
  <c r="Y1179"/>
  <c r="AA1179" s="1"/>
  <c r="Y153"/>
  <c r="AA153" s="1"/>
  <c r="Y568"/>
  <c r="AA568" s="1"/>
  <c r="Y991"/>
  <c r="AA991" s="1"/>
  <c r="Y252"/>
  <c r="AA252" s="1"/>
  <c r="Y2025"/>
  <c r="AA2025" s="1"/>
  <c r="Y1167"/>
  <c r="AA1167" s="1"/>
  <c r="Y1459"/>
  <c r="AA1459" s="1"/>
  <c r="Y611"/>
  <c r="AA611" s="1"/>
  <c r="Y388"/>
  <c r="AA388" s="1"/>
  <c r="Y1489"/>
  <c r="AA1489" s="1"/>
  <c r="Y411"/>
  <c r="AA411" s="1"/>
  <c r="Y683"/>
  <c r="AA683" s="1"/>
  <c r="Y1965"/>
  <c r="AA1965" s="1"/>
  <c r="Y1677"/>
  <c r="AA1677" s="1"/>
  <c r="Y124"/>
  <c r="AA124" s="1"/>
  <c r="Y681"/>
  <c r="AA681" s="1"/>
  <c r="Y869"/>
  <c r="AA869" s="1"/>
  <c r="Y2011"/>
  <c r="AA2011" s="1"/>
  <c r="Y185"/>
  <c r="AA185" s="1"/>
  <c r="Y1099"/>
  <c r="AA1099" s="1"/>
  <c r="Y1854"/>
  <c r="AA1854" s="1"/>
  <c r="Y313"/>
  <c r="AA313" s="1"/>
  <c r="Y1393"/>
  <c r="AA1393" s="1"/>
  <c r="Y751"/>
  <c r="AA751" s="1"/>
  <c r="Y647"/>
  <c r="AA647" s="1"/>
  <c r="Y1003"/>
  <c r="AA1003" s="1"/>
  <c r="Y610"/>
  <c r="AA610" s="1"/>
  <c r="Y517"/>
  <c r="AA517" s="1"/>
  <c r="Y1528"/>
  <c r="AA1528" s="1"/>
  <c r="Y76"/>
  <c r="AA76" s="1"/>
  <c r="Y1213"/>
  <c r="AA1213" s="1"/>
  <c r="Y1443"/>
  <c r="AA1443" s="1"/>
  <c r="Y2080"/>
  <c r="AA2080" s="1"/>
  <c r="Y1456"/>
  <c r="AA1456" s="1"/>
  <c r="Y288"/>
  <c r="AA288" s="1"/>
  <c r="Y1660"/>
  <c r="AA1660" s="1"/>
  <c r="Y1714"/>
  <c r="AA1714" s="1"/>
  <c r="Y1597"/>
  <c r="AA1597" s="1"/>
  <c r="Y2015"/>
  <c r="AA2015" s="1"/>
  <c r="Y393"/>
  <c r="AA393" s="1"/>
  <c r="Y75"/>
  <c r="AA75" s="1"/>
  <c r="Y1132"/>
  <c r="AA1132" s="1"/>
  <c r="Y742"/>
  <c r="AA742" s="1"/>
  <c r="Y792"/>
  <c r="AA792" s="1"/>
  <c r="Y420"/>
  <c r="AA420" s="1"/>
  <c r="Y883"/>
  <c r="AA883" s="1"/>
  <c r="Y1188"/>
  <c r="AA1188" s="1"/>
  <c r="Y555"/>
  <c r="AA555" s="1"/>
  <c r="Y1012"/>
  <c r="AA1012" s="1"/>
  <c r="Y484"/>
  <c r="AA484" s="1"/>
  <c r="Y1165"/>
  <c r="AA1165" s="1"/>
  <c r="Y1487"/>
  <c r="AA1487" s="1"/>
  <c r="Y832"/>
  <c r="AA832" s="1"/>
  <c r="Y1585"/>
  <c r="AA1585" s="1"/>
  <c r="Y1536"/>
  <c r="AA1536" s="1"/>
  <c r="Y1325"/>
  <c r="AA1325" s="1"/>
  <c r="Y1399"/>
  <c r="AA1399" s="1"/>
  <c r="Y345"/>
  <c r="AA345" s="1"/>
  <c r="Y1834"/>
  <c r="AA1834" s="1"/>
  <c r="Y1253"/>
  <c r="AA1253" s="1"/>
  <c r="Y1335"/>
  <c r="AA1335" s="1"/>
  <c r="Y577"/>
  <c r="AA577" s="1"/>
  <c r="Y1039"/>
  <c r="AA1039" s="1"/>
  <c r="Y359"/>
  <c r="AA359" s="1"/>
  <c r="Y969"/>
  <c r="AA969" s="1"/>
  <c r="Y1217"/>
  <c r="AA1217" s="1"/>
  <c r="Y19"/>
  <c r="AA19" s="1"/>
  <c r="Y2083"/>
  <c r="AA2083" s="1"/>
  <c r="Y2061"/>
  <c r="AA2061" s="1"/>
  <c r="Y2067"/>
  <c r="AA2067" s="1"/>
  <c r="Y1289"/>
  <c r="AA1289" s="1"/>
  <c r="Y871"/>
  <c r="AA871" s="1"/>
  <c r="Y816"/>
  <c r="AA816" s="1"/>
  <c r="Y551"/>
  <c r="AA551" s="1"/>
  <c r="Y801"/>
  <c r="AA801" s="1"/>
  <c r="Y682"/>
  <c r="AA682" s="1"/>
  <c r="Y1312"/>
  <c r="AA1312" s="1"/>
  <c r="Y144"/>
  <c r="AA144" s="1"/>
  <c r="Y730"/>
  <c r="AA730" s="1"/>
  <c r="Y1813"/>
  <c r="AA1813" s="1"/>
  <c r="Y597"/>
  <c r="AA597" s="1"/>
  <c r="Y598"/>
  <c r="AA598" s="1"/>
  <c r="Y1546"/>
  <c r="AA1546" s="1"/>
  <c r="Y1788"/>
  <c r="AA1788" s="1"/>
  <c r="Y861"/>
  <c r="AA861" s="1"/>
  <c r="Y715"/>
  <c r="AA715" s="1"/>
  <c r="Y1180"/>
  <c r="AA1180" s="1"/>
  <c r="Y2152"/>
  <c r="AA2152" s="1"/>
  <c r="Y659"/>
  <c r="AA659" s="1"/>
  <c r="Y828"/>
  <c r="AA828" s="1"/>
  <c r="Y274"/>
  <c r="AA274" s="1"/>
  <c r="Y395"/>
  <c r="AA395" s="1"/>
  <c r="Y1354"/>
  <c r="AA1354" s="1"/>
  <c r="Y67"/>
  <c r="AA67" s="1"/>
  <c r="Y390"/>
  <c r="AA390" s="1"/>
  <c r="Y651"/>
  <c r="AA651" s="1"/>
  <c r="Y2112"/>
  <c r="AA2112" s="1"/>
  <c r="Y421"/>
  <c r="AA421" s="1"/>
  <c r="Y1293"/>
  <c r="AA1293" s="1"/>
  <c r="Y168"/>
  <c r="AA168" s="1"/>
  <c r="Y1470"/>
  <c r="AA1470" s="1"/>
  <c r="Y1654"/>
  <c r="AA1654" s="1"/>
  <c r="Y677"/>
  <c r="AA677" s="1"/>
  <c r="Y190"/>
  <c r="AA190" s="1"/>
  <c r="Y504"/>
  <c r="AA504" s="1"/>
  <c r="Y787"/>
  <c r="AA787" s="1"/>
  <c r="Y1026"/>
  <c r="AA1026" s="1"/>
  <c r="Y633"/>
  <c r="AA633" s="1"/>
  <c r="Y627"/>
  <c r="AA627" s="1"/>
  <c r="Y691"/>
  <c r="AA691" s="1"/>
  <c r="Y54"/>
  <c r="AA54" s="1"/>
  <c r="Y1848"/>
  <c r="AA1848" s="1"/>
  <c r="Y1555"/>
  <c r="AA1555" s="1"/>
  <c r="Y1720"/>
  <c r="AA1720" s="1"/>
  <c r="Y202"/>
  <c r="AA202" s="1"/>
  <c r="Y953"/>
  <c r="AA953" s="1"/>
  <c r="Y571"/>
  <c r="AA571" s="1"/>
  <c r="Y1999"/>
  <c r="AA1999" s="1"/>
  <c r="Y933"/>
  <c r="AA933" s="1"/>
  <c r="Y232"/>
  <c r="AA232" s="1"/>
  <c r="Y2047"/>
  <c r="AA2047" s="1"/>
  <c r="Y280"/>
  <c r="AA280" s="1"/>
  <c r="Y1872"/>
  <c r="AA1872" s="1"/>
  <c r="Y1092"/>
  <c r="AA1092" s="1"/>
  <c r="Y1353"/>
  <c r="AA1353" s="1"/>
  <c r="Y763"/>
  <c r="AA763" s="1"/>
  <c r="Y34"/>
  <c r="AA34" s="1"/>
  <c r="Y179"/>
  <c r="AA179" s="1"/>
  <c r="Y1775"/>
  <c r="AA1775" s="1"/>
  <c r="Y213"/>
  <c r="AA213" s="1"/>
  <c r="Y347"/>
  <c r="AA347" s="1"/>
  <c r="Y1129"/>
  <c r="AA1129" s="1"/>
  <c r="Y993"/>
  <c r="AA993" s="1"/>
  <c r="Y1271"/>
  <c r="AA1271" s="1"/>
  <c r="Y840"/>
  <c r="AA840" s="1"/>
  <c r="Y1680"/>
  <c r="AA1680" s="1"/>
  <c r="Y604"/>
  <c r="AA604" s="1"/>
  <c r="Y721"/>
  <c r="AA721" s="1"/>
  <c r="Y1083"/>
  <c r="AA1083" s="1"/>
  <c r="Y703"/>
  <c r="AA703" s="1"/>
  <c r="Y419"/>
  <c r="AA419" s="1"/>
  <c r="Y131"/>
  <c r="AA131" s="1"/>
  <c r="Y1457"/>
  <c r="AA1457" s="1"/>
  <c r="Y1209"/>
  <c r="AA1209" s="1"/>
  <c r="Y408"/>
  <c r="AA408" s="1"/>
  <c r="Y1767"/>
  <c r="AA1767" s="1"/>
  <c r="Y2142"/>
  <c r="AA2142" s="1"/>
  <c r="Y868"/>
  <c r="AA868" s="1"/>
  <c r="Y1743"/>
  <c r="AA1743" s="1"/>
  <c r="Y1102"/>
  <c r="AA1102" s="1"/>
  <c r="Y1518"/>
  <c r="AA1518" s="1"/>
  <c r="Y1612"/>
  <c r="AA1612" s="1"/>
  <c r="Y1986"/>
  <c r="AA1986" s="1"/>
  <c r="Y1907"/>
  <c r="AA1907" s="1"/>
  <c r="Y1128"/>
  <c r="AA1128" s="1"/>
  <c r="Y27"/>
  <c r="AA27" s="1"/>
  <c r="Y1155"/>
  <c r="AA1155" s="1"/>
  <c r="Y1403"/>
  <c r="AA1403" s="1"/>
  <c r="Y370"/>
  <c r="AA370" s="1"/>
  <c r="Y1027"/>
  <c r="AA1027" s="1"/>
  <c r="Y739"/>
  <c r="AA739" s="1"/>
  <c r="Y1493"/>
  <c r="AA1493" s="1"/>
  <c r="Y84"/>
  <c r="AA84" s="1"/>
  <c r="Y1603"/>
  <c r="AA1603" s="1"/>
  <c r="Y1899"/>
  <c r="AA1899" s="1"/>
  <c r="Y1605"/>
  <c r="AA1605" s="1"/>
  <c r="Y1367"/>
  <c r="AA1367" s="1"/>
  <c r="Y281"/>
  <c r="AA281" s="1"/>
  <c r="Y1661"/>
  <c r="AA1661" s="1"/>
  <c r="Y1978"/>
  <c r="AA1978" s="1"/>
  <c r="Y825"/>
  <c r="AA825" s="1"/>
  <c r="Y105"/>
  <c r="AA105" s="1"/>
  <c r="Y1553"/>
  <c r="AA1553" s="1"/>
  <c r="Y546"/>
  <c r="AA546" s="1"/>
  <c r="Y844"/>
  <c r="AA844" s="1"/>
  <c r="Y174"/>
  <c r="AA174" s="1"/>
  <c r="Y863"/>
  <c r="AA863" s="1"/>
  <c r="Y1984"/>
  <c r="AA1984" s="1"/>
  <c r="Y1662"/>
  <c r="AA1662" s="1"/>
  <c r="Y741"/>
  <c r="AA741" s="1"/>
  <c r="Y1825"/>
  <c r="AA1825" s="1"/>
  <c r="Y856"/>
  <c r="AA856" s="1"/>
  <c r="Y1151"/>
  <c r="AA1151" s="1"/>
  <c r="Y1432"/>
  <c r="AA1432" s="1"/>
  <c r="Y1307"/>
  <c r="AA1307" s="1"/>
  <c r="Y2129"/>
  <c r="AA2129" s="1"/>
  <c r="Y857"/>
  <c r="AA857" s="1"/>
  <c r="Y81"/>
  <c r="AA81" s="1"/>
  <c r="Y1065"/>
  <c r="AA1065" s="1"/>
  <c r="Y875"/>
  <c r="AA875" s="1"/>
  <c r="Y462"/>
  <c r="AA462" s="1"/>
  <c r="Y718"/>
  <c r="AA718" s="1"/>
  <c r="Y693"/>
  <c r="AA693" s="1"/>
  <c r="Y1549"/>
  <c r="AA1549" s="1"/>
  <c r="Y1584"/>
  <c r="AA1584" s="1"/>
  <c r="Y1776"/>
  <c r="AA1776" s="1"/>
  <c r="Y965"/>
  <c r="AA965" s="1"/>
  <c r="Y1839"/>
  <c r="AA1839" s="1"/>
  <c r="Y1433"/>
  <c r="AA1433" s="1"/>
  <c r="Y723"/>
  <c r="AA723" s="1"/>
  <c r="Y1577"/>
  <c r="AA1577" s="1"/>
  <c r="Y1817"/>
  <c r="AA1817" s="1"/>
  <c r="Y2125"/>
  <c r="AA2125" s="1"/>
  <c r="Y1763"/>
  <c r="AA1763" s="1"/>
  <c r="Y2149"/>
  <c r="AA2149" s="1"/>
  <c r="Y1095"/>
  <c r="AA1095" s="1"/>
  <c r="Y695"/>
  <c r="AA695" s="1"/>
  <c r="Y1030"/>
  <c r="AA1030" s="1"/>
  <c r="Y1038"/>
  <c r="AA1038" s="1"/>
  <c r="Y2070"/>
  <c r="AA2070" s="1"/>
  <c r="Y2008"/>
  <c r="AA2008" s="1"/>
  <c r="Y798"/>
  <c r="AA798" s="1"/>
  <c r="Y1115"/>
  <c r="AA1115" s="1"/>
  <c r="Y976"/>
  <c r="AA976" s="1"/>
  <c r="Y1417"/>
  <c r="AA1417" s="1"/>
  <c r="Y1239"/>
  <c r="AA1239" s="1"/>
  <c r="Y1570"/>
  <c r="AA1570" s="1"/>
  <c r="Y363"/>
  <c r="AA363" s="1"/>
  <c r="Y1195"/>
  <c r="AA1195" s="1"/>
  <c r="Y516"/>
  <c r="AA516" s="1"/>
  <c r="Y2143"/>
  <c r="AA2143" s="1"/>
  <c r="Y775"/>
  <c r="AA775" s="1"/>
  <c r="Y1723"/>
  <c r="AA1723" s="1"/>
  <c r="Y1533"/>
  <c r="AA1533" s="1"/>
  <c r="Y2118"/>
  <c r="AA2118" s="1"/>
  <c r="Y839"/>
  <c r="AA839" s="1"/>
  <c r="Y1086"/>
  <c r="AA1086" s="1"/>
  <c r="Y1543"/>
  <c r="AA1543" s="1"/>
  <c r="Y1396"/>
  <c r="AA1396" s="1"/>
  <c r="Y2135"/>
  <c r="AA2135" s="1"/>
  <c r="Y286"/>
  <c r="AA286" s="1"/>
  <c r="Y673"/>
  <c r="AA673" s="1"/>
  <c r="Y1869"/>
  <c r="AA1869" s="1"/>
  <c r="Y1741"/>
  <c r="AA1741" s="1"/>
  <c r="Y21"/>
  <c r="AA21" s="1"/>
  <c r="Y2124"/>
  <c r="AA2124" s="1"/>
  <c r="Y1990"/>
  <c r="AA1990" s="1"/>
  <c r="Y1786"/>
  <c r="AA1786" s="1"/>
  <c r="Y541"/>
  <c r="AA541" s="1"/>
  <c r="Y2128"/>
  <c r="AA2128" s="1"/>
  <c r="Y1889"/>
  <c r="AA1889" s="1"/>
  <c r="Y1576"/>
  <c r="AA1576" s="1"/>
  <c r="Y292"/>
  <c r="AA292" s="1"/>
  <c r="Y653"/>
  <c r="AA653" s="1"/>
  <c r="Y13"/>
  <c r="AA13" s="1"/>
  <c r="Y95"/>
  <c r="AA95" s="1"/>
  <c r="Y1795"/>
  <c r="AA1795" s="1"/>
  <c r="Y1619"/>
  <c r="AA1619" s="1"/>
  <c r="Y2019"/>
  <c r="AA2019" s="1"/>
  <c r="Y1138"/>
  <c r="AA1138" s="1"/>
  <c r="Y1977"/>
  <c r="AA1977" s="1"/>
  <c r="Y1711"/>
  <c r="AA1711" s="1"/>
  <c r="Y271"/>
  <c r="AA271" s="1"/>
  <c r="Y1326"/>
  <c r="AA1326" s="1"/>
  <c r="Y1519"/>
  <c r="AA1519" s="1"/>
  <c r="Y873"/>
  <c r="AA873" s="1"/>
  <c r="Y1731"/>
  <c r="AA1731" s="1"/>
  <c r="Y1683"/>
  <c r="AA1683" s="1"/>
  <c r="Y533"/>
  <c r="AA533" s="1"/>
  <c r="Y468"/>
  <c r="AA468" s="1"/>
  <c r="Y1473"/>
  <c r="AA1473" s="1"/>
  <c r="Y1045"/>
  <c r="AA1045" s="1"/>
  <c r="Y219"/>
  <c r="AA219" s="1"/>
  <c r="Y456"/>
  <c r="AA456" s="1"/>
  <c r="Y63"/>
  <c r="AA63" s="1"/>
  <c r="Y1425"/>
  <c r="AA1425" s="1"/>
  <c r="Y1049"/>
  <c r="AA1049" s="1"/>
  <c r="Y696"/>
  <c r="AA696" s="1"/>
  <c r="Y348"/>
  <c r="AA348" s="1"/>
  <c r="Y773"/>
  <c r="AA773" s="1"/>
  <c r="Y1212"/>
  <c r="AA1212" s="1"/>
  <c r="Y1830"/>
  <c r="AA1830" s="1"/>
  <c r="Y457"/>
  <c r="AA457" s="1"/>
  <c r="Y1689"/>
  <c r="AA1689" s="1"/>
  <c r="Y207"/>
  <c r="AA207" s="1"/>
  <c r="Y376"/>
  <c r="AA376" s="1"/>
  <c r="Y592"/>
  <c r="AA592" s="1"/>
  <c r="Y937"/>
  <c r="AA937" s="1"/>
  <c r="Y930"/>
  <c r="AA930" s="1"/>
  <c r="Y307"/>
  <c r="AA307" s="1"/>
  <c r="Y111"/>
  <c r="AA111" s="1"/>
  <c r="Y88"/>
  <c r="AA88" s="1"/>
  <c r="Y1199"/>
  <c r="AA1199" s="1"/>
  <c r="Y1505"/>
  <c r="AA1505" s="1"/>
  <c r="Y706"/>
  <c r="AA706" s="1"/>
  <c r="Y1197"/>
  <c r="AA1197" s="1"/>
  <c r="Y209"/>
  <c r="AA209" s="1"/>
  <c r="Y983"/>
  <c r="AA983" s="1"/>
  <c r="Y1665"/>
  <c r="AA1665" s="1"/>
  <c r="Y2147"/>
  <c r="AA2147" s="1"/>
  <c r="Y1877"/>
  <c r="AA1877" s="1"/>
  <c r="Y1924"/>
  <c r="AA1924" s="1"/>
  <c r="Y303"/>
  <c r="AA303" s="1"/>
  <c r="Y360"/>
  <c r="AA360" s="1"/>
  <c r="Y91"/>
  <c r="AA91" s="1"/>
  <c r="Y52"/>
  <c r="AA52" s="1"/>
  <c r="Y958"/>
  <c r="AA958" s="1"/>
  <c r="Y1241"/>
  <c r="AA1241" s="1"/>
  <c r="Y1734"/>
  <c r="AA1734" s="1"/>
  <c r="Y535"/>
  <c r="AA535" s="1"/>
  <c r="Y1759"/>
  <c r="AA1759" s="1"/>
  <c r="Y183"/>
  <c r="AA183" s="1"/>
  <c r="Y1081"/>
  <c r="AA1081" s="1"/>
  <c r="Y947"/>
  <c r="AA947" s="1"/>
  <c r="Y1471"/>
  <c r="AA1471" s="1"/>
  <c r="Y1437"/>
  <c r="AA1437" s="1"/>
  <c r="Y2056"/>
  <c r="AA2056" s="1"/>
  <c r="Y1107"/>
  <c r="AA1107" s="1"/>
  <c r="Y705"/>
  <c r="AA705" s="1"/>
  <c r="Y1348"/>
  <c r="AA1348" s="1"/>
  <c r="Y1992"/>
  <c r="AA1992" s="1"/>
  <c r="Y1029"/>
  <c r="AA1029" s="1"/>
  <c r="Y1251"/>
  <c r="AA1251" s="1"/>
  <c r="Y1740"/>
  <c r="AA1740" s="1"/>
  <c r="Y246"/>
  <c r="AA246" s="1"/>
  <c r="Y1002"/>
  <c r="AA1002" s="1"/>
  <c r="Y1865"/>
  <c r="AA1865" s="1"/>
  <c r="Y1341"/>
  <c r="AA1341" s="1"/>
  <c r="Y1074"/>
  <c r="AA1074" s="1"/>
  <c r="Y240"/>
  <c r="AA240" s="1"/>
  <c r="Y755"/>
  <c r="AA755" s="1"/>
  <c r="Y160"/>
  <c r="AA160" s="1"/>
  <c r="Y330"/>
  <c r="AA330" s="1"/>
  <c r="Y1885"/>
  <c r="AA1885" s="1"/>
  <c r="Y2076"/>
  <c r="AA2076" s="1"/>
  <c r="Y1600"/>
  <c r="AA1600" s="1"/>
  <c r="Y1752"/>
  <c r="AA1752" s="1"/>
  <c r="Y136"/>
  <c r="AA136" s="1"/>
  <c r="Y1360"/>
  <c r="AA1360" s="1"/>
  <c r="Y2153"/>
  <c r="AA2153" s="1"/>
  <c r="Y442"/>
  <c r="AA442" s="1"/>
  <c r="Y397"/>
  <c r="AA397" s="1"/>
  <c r="Y1936"/>
  <c r="AA1936" s="1"/>
  <c r="Y1980"/>
  <c r="AA1980" s="1"/>
  <c r="Y1653"/>
  <c r="AA1653" s="1"/>
  <c r="Y436"/>
  <c r="AA436" s="1"/>
  <c r="Y2002"/>
  <c r="AA2002" s="1"/>
  <c r="Y1681"/>
  <c r="AA1681" s="1"/>
  <c r="Y211"/>
  <c r="AA211" s="1"/>
  <c r="Y612"/>
  <c r="AA612" s="1"/>
  <c r="Y364"/>
  <c r="AA364" s="1"/>
  <c r="Y1807"/>
  <c r="AA1807" s="1"/>
  <c r="Y89"/>
  <c r="AA89" s="1"/>
  <c r="Y1963"/>
  <c r="AA1963" s="1"/>
  <c r="Y1943"/>
  <c r="AA1943" s="1"/>
  <c r="Y415"/>
  <c r="AA415" s="1"/>
  <c r="Y1205"/>
  <c r="AA1205" s="1"/>
  <c r="Y1000"/>
  <c r="AA1000" s="1"/>
  <c r="Y945"/>
  <c r="AA945" s="1"/>
  <c r="Y1008"/>
  <c r="AA1008" s="1"/>
  <c r="Y139"/>
  <c r="AA139" s="1"/>
  <c r="Y1729"/>
  <c r="AA1729" s="1"/>
  <c r="Y1060"/>
  <c r="AA1060" s="1"/>
  <c r="Y2071"/>
  <c r="AA2071" s="1"/>
  <c r="Y258"/>
  <c r="AA258" s="1"/>
  <c r="Y1347"/>
  <c r="AA1347" s="1"/>
  <c r="Y1366"/>
  <c r="AA1366" s="1"/>
  <c r="Y1951"/>
  <c r="AA1951" s="1"/>
  <c r="Y1275"/>
  <c r="AA1275" s="1"/>
  <c r="Y2023"/>
  <c r="AA2023" s="1"/>
  <c r="Y1055"/>
  <c r="AA1055" s="1"/>
  <c r="Y11"/>
  <c r="AA11" s="1"/>
  <c r="Y268"/>
  <c r="AA268" s="1"/>
  <c r="Y2032"/>
  <c r="AA2032" s="1"/>
  <c r="Y616"/>
  <c r="AA616" s="1"/>
  <c r="Y2052"/>
  <c r="AA2052" s="1"/>
  <c r="Y490"/>
  <c r="AA490" s="1"/>
  <c r="Y2111"/>
  <c r="AA2111" s="1"/>
  <c r="Y1416"/>
  <c r="AA1416" s="1"/>
  <c r="Y257"/>
  <c r="AA257" s="1"/>
  <c r="Y1793"/>
  <c r="AA1793" s="1"/>
  <c r="Y316"/>
  <c r="AA316" s="1"/>
  <c r="Y1805"/>
  <c r="AA1805" s="1"/>
  <c r="Y1900"/>
  <c r="AA1900" s="1"/>
  <c r="Y1301"/>
  <c r="AA1301" s="1"/>
  <c r="Y1192"/>
  <c r="AA1192" s="1"/>
  <c r="Y1415"/>
  <c r="AA1415" s="1"/>
  <c r="Y967"/>
  <c r="AA967" s="1"/>
  <c r="Y235"/>
  <c r="AA235" s="1"/>
  <c r="Y1176"/>
  <c r="AA1176" s="1"/>
  <c r="Y2064"/>
  <c r="AA2064" s="1"/>
  <c r="Y1876"/>
  <c r="AA1876" s="1"/>
  <c r="Y97"/>
  <c r="AA97" s="1"/>
  <c r="Y1147"/>
  <c r="AA1147" s="1"/>
  <c r="Y1143"/>
  <c r="AA1143" s="1"/>
  <c r="Y184"/>
  <c r="AA184" s="1"/>
  <c r="Y1037"/>
  <c r="AA1037" s="1"/>
  <c r="Y1969"/>
  <c r="AA1969" s="1"/>
  <c r="Y171"/>
  <c r="AA171" s="1"/>
  <c r="Y1959"/>
  <c r="AA1959" s="1"/>
  <c r="Y510"/>
  <c r="AA510" s="1"/>
  <c r="Y175"/>
  <c r="AA175" s="1"/>
  <c r="Y394"/>
  <c r="AA394" s="1"/>
  <c r="Y819"/>
  <c r="AA819" s="1"/>
  <c r="Y1423"/>
  <c r="AA1423" s="1"/>
  <c r="Y1923"/>
  <c r="AA1923" s="1"/>
  <c r="Y786"/>
  <c r="AA786" s="1"/>
  <c r="Y1812"/>
  <c r="AA1812" s="1"/>
  <c r="Y731"/>
  <c r="AA731" s="1"/>
  <c r="Y886"/>
  <c r="AA886" s="1"/>
  <c r="Y1733"/>
  <c r="AA1733" s="1"/>
  <c r="Y737"/>
  <c r="AA737" s="1"/>
  <c r="Y569"/>
  <c r="AA569" s="1"/>
  <c r="Y1373"/>
  <c r="AA1373" s="1"/>
  <c r="Y1560"/>
  <c r="AA1560" s="1"/>
  <c r="Y361"/>
  <c r="AA361" s="1"/>
  <c r="Y525"/>
  <c r="AA525" s="1"/>
  <c r="Y130"/>
  <c r="AA130" s="1"/>
  <c r="Y1725"/>
  <c r="AA1725" s="1"/>
  <c r="Y877"/>
  <c r="AA877" s="1"/>
  <c r="Y357"/>
  <c r="AA357" s="1"/>
  <c r="Y701"/>
  <c r="AA701" s="1"/>
  <c r="Y1878"/>
  <c r="AA1878" s="1"/>
  <c r="Y747"/>
  <c r="AA747" s="1"/>
  <c r="Y2155"/>
  <c r="AA2155" s="1"/>
  <c r="Y1110"/>
  <c r="AA1110" s="1"/>
  <c r="Y564"/>
  <c r="AA564" s="1"/>
  <c r="Y570"/>
  <c r="AA570" s="1"/>
  <c r="Y1177"/>
  <c r="AA1177" s="1"/>
  <c r="Y2059"/>
  <c r="AA2059" s="1"/>
  <c r="Y2039"/>
  <c r="AA2039" s="1"/>
  <c r="Y1849"/>
  <c r="AA1849" s="1"/>
  <c r="Y289"/>
  <c r="AA289" s="1"/>
  <c r="Y1974"/>
  <c r="AA1974" s="1"/>
  <c r="Y851"/>
  <c r="AA851" s="1"/>
  <c r="Y1080"/>
  <c r="AA1080" s="1"/>
  <c r="Y72"/>
  <c r="AA72" s="1"/>
  <c r="Y1726"/>
  <c r="AA1726" s="1"/>
  <c r="Y1133"/>
  <c r="AA1133" s="1"/>
  <c r="Y1499"/>
  <c r="AA1499" s="1"/>
  <c r="Y1126"/>
  <c r="AA1126" s="1"/>
  <c r="Y1810"/>
  <c r="AA1810" s="1"/>
  <c r="Y1355"/>
  <c r="AA1355" s="1"/>
  <c r="Y1168"/>
  <c r="AA1168" s="1"/>
  <c r="Y905"/>
  <c r="AA905" s="1"/>
  <c r="Y643"/>
  <c r="AA643" s="1"/>
  <c r="Y1295"/>
  <c r="AA1295" s="1"/>
  <c r="Y783"/>
  <c r="AA783" s="1"/>
  <c r="Y582"/>
  <c r="AA582" s="1"/>
  <c r="Y923"/>
  <c r="AA923" s="1"/>
  <c r="Y1601"/>
  <c r="AA1601" s="1"/>
  <c r="Y1655"/>
  <c r="AA1655" s="1"/>
  <c r="Y1317"/>
  <c r="AA1317" s="1"/>
  <c r="Y834"/>
  <c r="AA834" s="1"/>
  <c r="Y447"/>
  <c r="AA447" s="1"/>
  <c r="Y438"/>
  <c r="AA438" s="1"/>
  <c r="Y1123"/>
  <c r="AA1123" s="1"/>
  <c r="Y849"/>
  <c r="AA849" s="1"/>
  <c r="Y1540"/>
  <c r="AA1540" s="1"/>
  <c r="Y1050"/>
  <c r="AA1050" s="1"/>
  <c r="Y1888"/>
  <c r="AA1888" s="1"/>
  <c r="Y1985"/>
  <c r="AA1985" s="1"/>
  <c r="Y1822"/>
  <c r="AA1822" s="1"/>
  <c r="Y1032"/>
  <c r="AA1032" s="1"/>
  <c r="Y1494"/>
  <c r="AA1494" s="1"/>
  <c r="Y1174"/>
  <c r="AA1174" s="1"/>
  <c r="Y1230"/>
  <c r="AA1230" s="1"/>
  <c r="Y1042"/>
  <c r="AA1042" s="1"/>
  <c r="Y1554"/>
  <c r="AA1554" s="1"/>
  <c r="Y1441"/>
  <c r="AA1441" s="1"/>
  <c r="Y1090"/>
  <c r="AA1090" s="1"/>
  <c r="Y335"/>
  <c r="AA335" s="1"/>
  <c r="Y1018"/>
  <c r="AA1018" s="1"/>
  <c r="Y497"/>
  <c r="AA497" s="1"/>
  <c r="Y1995"/>
  <c r="AA1995" s="1"/>
  <c r="Y403"/>
  <c r="AA403" s="1"/>
  <c r="Y443"/>
  <c r="AA443" s="1"/>
  <c r="Y1336"/>
  <c r="AA1336" s="1"/>
  <c r="Y371"/>
  <c r="AA371" s="1"/>
  <c r="Y304"/>
  <c r="AA304" s="1"/>
  <c r="Y46"/>
  <c r="AA46" s="1"/>
  <c r="Y1321"/>
  <c r="AA1321" s="1"/>
  <c r="Y78"/>
  <c r="AA78" s="1"/>
  <c r="Y401"/>
  <c r="AA401" s="1"/>
  <c r="Y2022"/>
  <c r="AA2022" s="1"/>
  <c r="Y1164"/>
  <c r="AA1164" s="1"/>
  <c r="Y997"/>
  <c r="AA997" s="1"/>
  <c r="Y1098"/>
  <c r="AA1098" s="1"/>
  <c r="Y1477"/>
  <c r="AA1477" s="1"/>
  <c r="Y935"/>
  <c r="AA935" s="1"/>
  <c r="Y1048"/>
  <c r="AA1048" s="1"/>
  <c r="Y732"/>
  <c r="AA732" s="1"/>
  <c r="Y1434"/>
  <c r="AA1434" s="1"/>
  <c r="Y1362"/>
  <c r="AA1362" s="1"/>
  <c r="Y1079"/>
  <c r="AA1079" s="1"/>
  <c r="Y1162"/>
  <c r="AA1162" s="1"/>
  <c r="Y1692"/>
  <c r="AA1692" s="1"/>
  <c r="Y1632"/>
  <c r="AA1632" s="1"/>
  <c r="Y1485"/>
  <c r="AA1485" s="1"/>
  <c r="Y383"/>
  <c r="AA383" s="1"/>
  <c r="Y77"/>
  <c r="AA77" s="1"/>
  <c r="Y85"/>
  <c r="AA85" s="1"/>
  <c r="Y617"/>
  <c r="AA617" s="1"/>
  <c r="Y831"/>
  <c r="AA831" s="1"/>
  <c r="Y2014"/>
  <c r="AA2014" s="1"/>
  <c r="Y311"/>
  <c r="AA311" s="1"/>
  <c r="Y663"/>
  <c r="AA663" s="1"/>
  <c r="Y1647"/>
  <c r="AA1647" s="1"/>
  <c r="Y1285"/>
  <c r="AA1285" s="1"/>
  <c r="Y1843"/>
  <c r="AA1843" s="1"/>
  <c r="Y186"/>
  <c r="AA186" s="1"/>
  <c r="Y867"/>
  <c r="AA867" s="1"/>
  <c r="Y1465"/>
  <c r="AA1465" s="1"/>
  <c r="Y1189"/>
  <c r="AA1189" s="1"/>
  <c r="Y196"/>
  <c r="AA196" s="1"/>
  <c r="Y205"/>
  <c r="AA205" s="1"/>
  <c r="Y2034"/>
  <c r="AA2034" s="1"/>
  <c r="Y2094"/>
  <c r="AA2094" s="1"/>
  <c r="Y1997"/>
  <c r="AA1997" s="1"/>
  <c r="Y699"/>
  <c r="AA699" s="1"/>
  <c r="Y1699"/>
  <c r="AA1699" s="1"/>
  <c r="Y1955"/>
  <c r="AA1955" s="1"/>
  <c r="Y1368"/>
  <c r="AA1368" s="1"/>
  <c r="Y1343"/>
  <c r="AA1343" s="1"/>
  <c r="Y585"/>
  <c r="AA585" s="1"/>
  <c r="Y1565"/>
  <c r="AA1565" s="1"/>
  <c r="Y720"/>
  <c r="AA720" s="1"/>
  <c r="Y321"/>
  <c r="AA321" s="1"/>
  <c r="Y1668"/>
  <c r="AA1668" s="1"/>
  <c r="Y413"/>
  <c r="AA413" s="1"/>
  <c r="Y785"/>
  <c r="AA785" s="1"/>
  <c r="Y888"/>
  <c r="AA888" s="1"/>
  <c r="Y759"/>
  <c r="AA759" s="1"/>
  <c r="Y749"/>
  <c r="AA749" s="1"/>
  <c r="Y1704"/>
  <c r="AA1704" s="1"/>
  <c r="Y502"/>
  <c r="AA502" s="1"/>
  <c r="Y2116"/>
  <c r="AA2116" s="1"/>
  <c r="Y1746"/>
  <c r="AA1746" s="1"/>
  <c r="Y625"/>
  <c r="AA625" s="1"/>
  <c r="Y1701"/>
  <c r="AA1701" s="1"/>
  <c r="Y1314"/>
  <c r="AA1314" s="1"/>
  <c r="Y1789"/>
  <c r="AA1789" s="1"/>
  <c r="Y1947"/>
  <c r="AA1947" s="1"/>
  <c r="Y1113"/>
  <c r="AA1113" s="1"/>
  <c r="Y405"/>
  <c r="AA405" s="1"/>
  <c r="Y1261"/>
  <c r="AA1261" s="1"/>
  <c r="Y198"/>
  <c r="AA198" s="1"/>
  <c r="Y1780"/>
  <c r="AA1780" s="1"/>
  <c r="Y1146"/>
  <c r="AA1146" s="1"/>
  <c r="Y2100"/>
  <c r="AA2100" s="1"/>
  <c r="Y1397"/>
  <c r="AA1397" s="1"/>
  <c r="Y299"/>
  <c r="AA299" s="1"/>
  <c r="Y1302"/>
  <c r="AA1302" s="1"/>
  <c r="Y580"/>
  <c r="AA580" s="1"/>
  <c r="Y1783"/>
  <c r="AA1783" s="1"/>
  <c r="Y2073"/>
  <c r="AA2073" s="1"/>
  <c r="Y166"/>
  <c r="AA166" s="1"/>
  <c r="Y2134"/>
  <c r="AA2134" s="1"/>
  <c r="Y1296"/>
  <c r="AA1296" s="1"/>
  <c r="Y18"/>
  <c r="AA18" s="1"/>
  <c r="Y31"/>
  <c r="AA31" s="1"/>
  <c r="Y1260"/>
  <c r="AA1260" s="1"/>
  <c r="Y978"/>
  <c r="AA978" s="1"/>
  <c r="Y1435"/>
  <c r="AA1435" s="1"/>
  <c r="Y916"/>
  <c r="AA916" s="1"/>
  <c r="Y238"/>
  <c r="AA238" s="1"/>
  <c r="Y40"/>
  <c r="AA40" s="1"/>
  <c r="Y1800"/>
  <c r="AA1800" s="1"/>
  <c r="Y700"/>
  <c r="AA700" s="1"/>
  <c r="Y1303"/>
  <c r="AA1303" s="1"/>
  <c r="Y670"/>
  <c r="AA670" s="1"/>
  <c r="Y1134"/>
  <c r="AA1134" s="1"/>
  <c r="Y261"/>
  <c r="AA261" s="1"/>
  <c r="Y519"/>
  <c r="AA519" s="1"/>
  <c r="Y231"/>
  <c r="AA231" s="1"/>
  <c r="Y885"/>
  <c r="AA885" s="1"/>
  <c r="Y424"/>
  <c r="AA424" s="1"/>
  <c r="Y1545"/>
  <c r="AA1545" s="1"/>
  <c r="Y1696"/>
  <c r="AA1696" s="1"/>
  <c r="Y1356"/>
  <c r="AA1356" s="1"/>
  <c r="Y277"/>
  <c r="AA277" s="1"/>
  <c r="Y1398"/>
  <c r="AA1398" s="1"/>
  <c r="Y595"/>
  <c r="AA595" s="1"/>
  <c r="Y924"/>
  <c r="AA924" s="1"/>
  <c r="Y1057"/>
  <c r="AA1057" s="1"/>
  <c r="Y628"/>
  <c r="AA628" s="1"/>
  <c r="Y1851"/>
  <c r="AA1851" s="1"/>
  <c r="Y641"/>
  <c r="AA641" s="1"/>
  <c r="Y887"/>
  <c r="AA887" s="1"/>
  <c r="Y1690"/>
  <c r="AA1690" s="1"/>
  <c r="Y1324"/>
  <c r="AA1324" s="1"/>
  <c r="Y1350"/>
  <c r="AA1350" s="1"/>
  <c r="Y1774"/>
  <c r="AA1774" s="1"/>
  <c r="Y1941"/>
  <c r="AA1941" s="1"/>
  <c r="Y1056"/>
  <c r="AA1056" s="1"/>
  <c r="Y581"/>
  <c r="AA581" s="1"/>
  <c r="Y778"/>
  <c r="AA778" s="1"/>
  <c r="Y340"/>
  <c r="AA340" s="1"/>
  <c r="Y1792"/>
  <c r="AA1792" s="1"/>
  <c r="Y1426"/>
  <c r="AA1426" s="1"/>
  <c r="Y725"/>
  <c r="AA725" s="1"/>
  <c r="Y657"/>
  <c r="AA657" s="1"/>
  <c r="Y331"/>
  <c r="AA331" s="1"/>
  <c r="Y154"/>
  <c r="AA154" s="1"/>
  <c r="Y667"/>
  <c r="AA667" s="1"/>
  <c r="Y717"/>
  <c r="AA717" s="1"/>
  <c r="Y1523"/>
  <c r="AA1523" s="1"/>
  <c r="Y1467"/>
  <c r="AA1467" s="1"/>
  <c r="Y1674"/>
  <c r="AA1674" s="1"/>
  <c r="Y977"/>
  <c r="AA977" s="1"/>
  <c r="Y1998"/>
  <c r="AA1998" s="1"/>
  <c r="Y1270"/>
  <c r="AA1270" s="1"/>
  <c r="Y120"/>
  <c r="AA120" s="1"/>
  <c r="Y671"/>
  <c r="AA671" s="1"/>
  <c r="Y1330"/>
  <c r="AA1330" s="1"/>
  <c r="Y599"/>
  <c r="AA599" s="1"/>
  <c r="Y208"/>
  <c r="AA208" s="1"/>
  <c r="Y1159"/>
  <c r="AA1159" s="1"/>
  <c r="Y301"/>
  <c r="AA301" s="1"/>
  <c r="Y1909"/>
  <c r="AA1909" s="1"/>
  <c r="Y1863"/>
  <c r="AA1863" s="1"/>
  <c r="Y1645"/>
  <c r="AA1645" s="1"/>
  <c r="Y351"/>
  <c r="AA351" s="1"/>
  <c r="Y1573"/>
  <c r="AA1573" s="1"/>
  <c r="Y1906"/>
  <c r="AA1906" s="1"/>
  <c r="Y2157"/>
  <c r="AA2157" s="1"/>
  <c r="Y1744"/>
  <c r="AA1744" s="1"/>
  <c r="Y1431"/>
  <c r="AA1431" s="1"/>
  <c r="Y1921"/>
  <c r="AA1921" s="1"/>
  <c r="Y1829"/>
  <c r="AA1829" s="1"/>
  <c r="Y565"/>
  <c r="AA565" s="1"/>
  <c r="Y1427"/>
  <c r="AA1427" s="1"/>
  <c r="Y425"/>
  <c r="AA425" s="1"/>
  <c r="Y1109"/>
  <c r="AA1109" s="1"/>
  <c r="Y2007"/>
  <c r="AA2007" s="1"/>
  <c r="Y1140"/>
  <c r="AA1140" s="1"/>
  <c r="Y2130"/>
  <c r="AA2130" s="1"/>
  <c r="Y777"/>
  <c r="AA777" s="1"/>
  <c r="Y396"/>
  <c r="AA396" s="1"/>
  <c r="Y406"/>
  <c r="AA406" s="1"/>
  <c r="Y426"/>
  <c r="AA426" s="1"/>
  <c r="Y69"/>
  <c r="AA69" s="1"/>
  <c r="Y1486"/>
  <c r="AA1486" s="1"/>
  <c r="Y1206"/>
  <c r="AA1206" s="1"/>
  <c r="Y90"/>
  <c r="AA90" s="1"/>
  <c r="Y373"/>
  <c r="AA373" s="1"/>
  <c r="Y1480"/>
  <c r="AA1480" s="1"/>
  <c r="Y445"/>
  <c r="AA445" s="1"/>
  <c r="Y1194"/>
  <c r="AA1194" s="1"/>
  <c r="Y1207"/>
  <c r="AA1207" s="1"/>
  <c r="Y771"/>
  <c r="AA771" s="1"/>
  <c r="Y1093"/>
  <c r="AA1093" s="1"/>
  <c r="Y1105"/>
  <c r="AA1105" s="1"/>
  <c r="Y1732"/>
  <c r="AA1732" s="1"/>
  <c r="Y1618"/>
  <c r="AA1618" s="1"/>
  <c r="Y1227"/>
  <c r="AA1227" s="1"/>
  <c r="Y707"/>
  <c r="AA707" s="1"/>
  <c r="Y1758"/>
  <c r="AA1758" s="1"/>
  <c r="Y1875"/>
  <c r="AA1875" s="1"/>
  <c r="Y1861"/>
  <c r="AA1861" s="1"/>
  <c r="Y802"/>
  <c r="AA802" s="1"/>
  <c r="Y165"/>
  <c r="AA165" s="1"/>
  <c r="Y1673"/>
  <c r="AA1673" s="1"/>
  <c r="Y762"/>
  <c r="AA762" s="1"/>
  <c r="Y433"/>
  <c r="AA433" s="1"/>
  <c r="Y1247"/>
  <c r="AA1247" s="1"/>
  <c r="Y35"/>
  <c r="AA35" s="1"/>
  <c r="Y748"/>
  <c r="AA748" s="1"/>
  <c r="Y1468"/>
  <c r="AA1468" s="1"/>
  <c r="Y539"/>
  <c r="AA539" s="1"/>
  <c r="Y971"/>
  <c r="AA971" s="1"/>
  <c r="Y2029"/>
  <c r="AA2029" s="1"/>
  <c r="Y672"/>
  <c r="AA672" s="1"/>
  <c r="Y1204"/>
  <c r="AA1204" s="1"/>
  <c r="Y915"/>
  <c r="AA915" s="1"/>
  <c r="Y987"/>
  <c r="AA987" s="1"/>
  <c r="Y1521"/>
  <c r="AA1521" s="1"/>
  <c r="Y906"/>
  <c r="AA906" s="1"/>
  <c r="Y2053"/>
  <c r="AA2053" s="1"/>
  <c r="Y2020"/>
  <c r="AA2020" s="1"/>
  <c r="Y2062"/>
  <c r="AA2062" s="1"/>
  <c r="Y1563"/>
  <c r="AA1563" s="1"/>
  <c r="Y2040"/>
  <c r="AA2040" s="1"/>
  <c r="Y1067"/>
  <c r="AA1067" s="1"/>
  <c r="Y114"/>
  <c r="AA114" s="1"/>
  <c r="Y823"/>
  <c r="AA823" s="1"/>
  <c r="Y894"/>
  <c r="AA894" s="1"/>
  <c r="Y276"/>
  <c r="AA276" s="1"/>
  <c r="Y579"/>
  <c r="AA579" s="1"/>
  <c r="Y2115"/>
  <c r="AA2115" s="1"/>
  <c r="Y1378"/>
  <c r="AA1378" s="1"/>
  <c r="Y1351"/>
  <c r="AA1351" s="1"/>
  <c r="Y807"/>
  <c r="AA807" s="1"/>
  <c r="Y744"/>
  <c r="AA744" s="1"/>
  <c r="Y2075"/>
  <c r="AA2075" s="1"/>
  <c r="Y471"/>
  <c r="AA471" s="1"/>
  <c r="Y523"/>
  <c r="AA523" s="1"/>
  <c r="Y199"/>
  <c r="AA199" s="1"/>
  <c r="Y1059"/>
  <c r="AA1059" s="1"/>
  <c r="Y2127"/>
  <c r="AA2127" s="1"/>
  <c r="Y1224"/>
  <c r="AA1224" s="1"/>
  <c r="Y417"/>
  <c r="AA417" s="1"/>
  <c r="Y1870"/>
  <c r="AA1870" s="1"/>
  <c r="Y1831"/>
  <c r="AA1831" s="1"/>
  <c r="Y966"/>
  <c r="AA966" s="1"/>
  <c r="Y817"/>
  <c r="AA817" s="1"/>
  <c r="Y1641"/>
  <c r="AA1641" s="1"/>
  <c r="Y1305"/>
  <c r="AA1305" s="1"/>
  <c r="Y460"/>
  <c r="AA460" s="1"/>
  <c r="Y750"/>
  <c r="AA750" s="1"/>
  <c r="Y227"/>
  <c r="AA227" s="1"/>
  <c r="Y1663"/>
  <c r="AA1663" s="1"/>
  <c r="Y1884"/>
  <c r="AA1884" s="1"/>
  <c r="Y439"/>
  <c r="AA439" s="1"/>
  <c r="Y552"/>
  <c r="AA552" s="1"/>
  <c r="Y309"/>
  <c r="AA309" s="1"/>
  <c r="Y187"/>
  <c r="AA187" s="1"/>
  <c r="Y1144"/>
  <c r="AA1144" s="1"/>
  <c r="Y1300"/>
  <c r="AA1300" s="1"/>
  <c r="Y1169"/>
  <c r="AA1169" s="1"/>
  <c r="Y1620"/>
  <c r="AA1620" s="1"/>
  <c r="Y630"/>
  <c r="AA630" s="1"/>
  <c r="Y589"/>
  <c r="AA589" s="1"/>
  <c r="Y1897"/>
  <c r="AA1897" s="1"/>
  <c r="Y549"/>
  <c r="AA549" s="1"/>
  <c r="Y1966"/>
  <c r="AA1966" s="1"/>
  <c r="Y253"/>
  <c r="AA253" s="1"/>
  <c r="Y1150"/>
  <c r="AA1150" s="1"/>
  <c r="Y323"/>
  <c r="AA323" s="1"/>
  <c r="Y315"/>
  <c r="AA315" s="1"/>
  <c r="Y103"/>
  <c r="AA103" s="1"/>
  <c r="Y73"/>
  <c r="AA73" s="1"/>
  <c r="Y1513"/>
  <c r="AA1513" s="1"/>
  <c r="Y1787"/>
  <c r="AA1787" s="1"/>
  <c r="Y147"/>
  <c r="AA147" s="1"/>
  <c r="Y1290"/>
  <c r="AA1290" s="1"/>
  <c r="Y372"/>
  <c r="AA372" s="1"/>
  <c r="Y1476"/>
  <c r="AA1476" s="1"/>
  <c r="Y2099"/>
  <c r="AA2099" s="1"/>
  <c r="Y821"/>
  <c r="AA821" s="1"/>
  <c r="Y1666"/>
  <c r="AA1666" s="1"/>
  <c r="Y1381"/>
  <c r="AA1381" s="1"/>
  <c r="Y665"/>
  <c r="AA665" s="1"/>
  <c r="Y79"/>
  <c r="AA79" s="1"/>
  <c r="Y491"/>
  <c r="AA491" s="1"/>
  <c r="Y921"/>
  <c r="AA921" s="1"/>
  <c r="Y37"/>
  <c r="AA37" s="1"/>
  <c r="Y1474"/>
  <c r="AA1474" s="1"/>
  <c r="Y1667"/>
  <c r="AA1667" s="1"/>
  <c r="Y1942"/>
  <c r="AA1942" s="1"/>
  <c r="Y1708"/>
  <c r="AA1708" s="1"/>
  <c r="Y1608"/>
  <c r="AA1608" s="1"/>
  <c r="Y803"/>
  <c r="AA803" s="1"/>
  <c r="Y1282"/>
  <c r="AA1282" s="1"/>
  <c r="Y1750"/>
  <c r="AA1750" s="1"/>
  <c r="Y94"/>
  <c r="AA94" s="1"/>
  <c r="Y2051"/>
  <c r="AA2051" s="1"/>
  <c r="Y1625"/>
  <c r="AA1625" s="1"/>
  <c r="Y1149"/>
  <c r="AA1149" s="1"/>
  <c r="Y1883"/>
  <c r="AA1883" s="1"/>
  <c r="Y1623"/>
  <c r="AA1623" s="1"/>
  <c r="Y826"/>
  <c r="AA826" s="1"/>
  <c r="Y1365"/>
  <c r="AA1365" s="1"/>
  <c r="Y1413"/>
  <c r="AA1413" s="1"/>
  <c r="Y267"/>
  <c r="AA267" s="1"/>
  <c r="Y538"/>
  <c r="AA538" s="1"/>
  <c r="Y1276"/>
  <c r="AA1276" s="1"/>
  <c r="Y562"/>
  <c r="AA562" s="1"/>
  <c r="Y645"/>
  <c r="AA645" s="1"/>
  <c r="Y1392"/>
  <c r="AA1392" s="1"/>
  <c r="Y1687"/>
  <c r="AA1687" s="1"/>
  <c r="Y1765"/>
  <c r="AA1765" s="1"/>
  <c r="Y719"/>
  <c r="AA719" s="1"/>
  <c r="Y1727"/>
  <c r="AA1727" s="1"/>
  <c r="Y2122"/>
  <c r="AA2122" s="1"/>
  <c r="Y1768"/>
  <c r="AA1768" s="1"/>
  <c r="Y1237"/>
  <c r="AA1237" s="1"/>
  <c r="Y444"/>
  <c r="AA444" s="1"/>
  <c r="Y2161"/>
  <c r="AA2161" s="1"/>
  <c r="Y901"/>
  <c r="AA901" s="1"/>
  <c r="Y900"/>
  <c r="AA900" s="1"/>
  <c r="Y1659"/>
  <c r="AA1659" s="1"/>
  <c r="Y1912"/>
  <c r="AA1912" s="1"/>
  <c r="Y1926"/>
  <c r="AA1926" s="1"/>
  <c r="Y1591"/>
  <c r="AA1591" s="1"/>
  <c r="Y1185"/>
  <c r="AA1185" s="1"/>
  <c r="Y55"/>
  <c r="AA55" s="1"/>
  <c r="Y712"/>
  <c r="AA712" s="1"/>
  <c r="Y586"/>
  <c r="AA586" s="1"/>
  <c r="Y1017"/>
  <c r="AA1017" s="1"/>
  <c r="Y1021"/>
  <c r="AA1021" s="1"/>
  <c r="Y1918"/>
  <c r="AA1918" s="1"/>
  <c r="Y1961"/>
  <c r="AA1961" s="1"/>
  <c r="Y1649"/>
  <c r="AA1649" s="1"/>
  <c r="Y1842"/>
  <c r="AA1842" s="1"/>
  <c r="G69" i="8"/>
  <c r="E69" s="1"/>
  <c r="G71"/>
  <c r="Y4" i="6"/>
  <c r="AA4" s="1"/>
  <c r="G78" i="8"/>
  <c r="E78" s="1"/>
  <c r="Y6" i="6"/>
  <c r="AD6" s="1"/>
  <c r="G79" i="8"/>
  <c r="D79" s="1"/>
  <c r="C84" i="1"/>
  <c r="C83" s="1"/>
  <c r="F83" s="1"/>
  <c r="Y1858" i="6"/>
  <c r="AA1858" s="1"/>
  <c r="Y493"/>
  <c r="AA493" s="1"/>
  <c r="Y282"/>
  <c r="AA282" s="1"/>
  <c r="Y1937"/>
  <c r="AA1937" s="1"/>
  <c r="Y375"/>
  <c r="AA375" s="1"/>
  <c r="Y1911"/>
  <c r="AA1911" s="1"/>
  <c r="Y781"/>
  <c r="AA781" s="1"/>
  <c r="Y1541"/>
  <c r="AA1541" s="1"/>
  <c r="Y591"/>
  <c r="AA591" s="1"/>
  <c r="Y1756"/>
  <c r="AA1756" s="1"/>
  <c r="Y2106"/>
  <c r="AA2106" s="1"/>
  <c r="Y17"/>
  <c r="AA17" s="1"/>
  <c r="Y1764"/>
  <c r="AA1764" s="1"/>
  <c r="Y1873"/>
  <c r="AA1873" s="1"/>
  <c r="Y1452"/>
  <c r="AA1452" s="1"/>
  <c r="Y228"/>
  <c r="AA228" s="1"/>
  <c r="Y215"/>
  <c r="AA215" s="1"/>
  <c r="Y1716"/>
  <c r="AA1716" s="1"/>
  <c r="Y1044"/>
  <c r="AA1044" s="1"/>
  <c r="Y1203"/>
  <c r="AA1203" s="1"/>
  <c r="Y2109"/>
  <c r="AA2109" s="1"/>
  <c r="Y889"/>
  <c r="AA889" s="1"/>
  <c r="Y172"/>
  <c r="AA172" s="1"/>
  <c r="Y1036"/>
  <c r="AA1036" s="1"/>
  <c r="Y952"/>
  <c r="AA952" s="1"/>
  <c r="Y697"/>
  <c r="AA697" s="1"/>
  <c r="Y1517"/>
  <c r="AA1517" s="1"/>
  <c r="Y1791"/>
  <c r="AA1791" s="1"/>
  <c r="Y1903"/>
  <c r="AA1903" s="1"/>
  <c r="Y234"/>
  <c r="AA234" s="1"/>
  <c r="Y2110"/>
  <c r="AA2110" s="1"/>
  <c r="Y64"/>
  <c r="AA64" s="1"/>
  <c r="Y1624"/>
  <c r="AA1624" s="1"/>
  <c r="Y1152"/>
  <c r="AA1152" s="1"/>
  <c r="Y1511"/>
  <c r="AA1511" s="1"/>
  <c r="Y936"/>
  <c r="AA936" s="1"/>
  <c r="Y1084"/>
  <c r="AA1084" s="1"/>
  <c r="Y1252"/>
  <c r="AA1252" s="1"/>
  <c r="Y1181"/>
  <c r="AA1181" s="1"/>
  <c r="Y1421"/>
  <c r="AA1421" s="1"/>
  <c r="Y1749"/>
  <c r="AA1749" s="1"/>
  <c r="Y543"/>
  <c r="AA543" s="1"/>
  <c r="Y1156"/>
  <c r="AA1156" s="1"/>
  <c r="Y1438"/>
  <c r="AA1438" s="1"/>
  <c r="Y1428"/>
  <c r="AA1428" s="1"/>
  <c r="Y1993"/>
  <c r="AA1993" s="1"/>
  <c r="Y1979"/>
  <c r="AA1979" s="1"/>
  <c r="Y1308"/>
  <c r="AA1308" s="1"/>
  <c r="Y237"/>
  <c r="AA237" s="1"/>
  <c r="Y217"/>
  <c r="AA217" s="1"/>
  <c r="Y283"/>
  <c r="AA283" s="1"/>
  <c r="Y1218"/>
  <c r="AA1218" s="1"/>
  <c r="Y475"/>
  <c r="AA475" s="1"/>
  <c r="Y1281"/>
  <c r="AA1281" s="1"/>
  <c r="Y1482"/>
  <c r="AA1482" s="1"/>
  <c r="Y1345"/>
  <c r="AA1345" s="1"/>
  <c r="Y1319"/>
  <c r="AA1319" s="1"/>
  <c r="Y833"/>
  <c r="AA833" s="1"/>
  <c r="Y42"/>
  <c r="AA42" s="1"/>
  <c r="Y557"/>
  <c r="AA557" s="1"/>
  <c r="Y909"/>
  <c r="AA909" s="1"/>
  <c r="Y1111"/>
  <c r="AA1111" s="1"/>
  <c r="Y485"/>
  <c r="AA485" s="1"/>
  <c r="Y496"/>
  <c r="AA496" s="1"/>
  <c r="Y9"/>
  <c r="AA9" s="1"/>
  <c r="Y847"/>
  <c r="AA847" s="1"/>
  <c r="Y1561"/>
  <c r="AA1561" s="1"/>
  <c r="Y1492"/>
  <c r="AA1492" s="1"/>
  <c r="Y1853"/>
  <c r="AA1853" s="1"/>
  <c r="Y1379"/>
  <c r="AA1379" s="1"/>
  <c r="Y1539"/>
  <c r="AA1539" s="1"/>
  <c r="Y1216"/>
  <c r="AA1216" s="1"/>
  <c r="Y2088"/>
  <c r="AA2088" s="1"/>
  <c r="Y1359"/>
  <c r="AA1359" s="1"/>
  <c r="Y1215"/>
  <c r="AA1215" s="1"/>
  <c r="Y121"/>
  <c r="AA121" s="1"/>
  <c r="Y1108"/>
  <c r="AA1108" s="1"/>
  <c r="Y197"/>
  <c r="AA197" s="1"/>
  <c r="Y545"/>
  <c r="AA545" s="1"/>
  <c r="Y1506"/>
  <c r="AA1506" s="1"/>
  <c r="Y1272"/>
  <c r="AA1272" s="1"/>
  <c r="Y1061"/>
  <c r="AA1061" s="1"/>
  <c r="Y297"/>
  <c r="AA297" s="1"/>
  <c r="Y515"/>
  <c r="AA515" s="1"/>
  <c r="Y1837"/>
  <c r="AA1837" s="1"/>
  <c r="Y2050"/>
  <c r="AA2050" s="1"/>
  <c r="Y820"/>
  <c r="AA820" s="1"/>
  <c r="Y1857"/>
  <c r="AA1857" s="1"/>
  <c r="Y2136"/>
  <c r="AA2136" s="1"/>
  <c r="Y1073"/>
  <c r="AA1073" s="1"/>
  <c r="Y384"/>
  <c r="AA384" s="1"/>
  <c r="Y648"/>
  <c r="AA648" s="1"/>
  <c r="Y1891"/>
  <c r="AA1891" s="1"/>
  <c r="Y1333"/>
  <c r="AA1333" s="1"/>
  <c r="Y1833"/>
  <c r="AA1833" s="1"/>
  <c r="Y1258"/>
  <c r="AA1258" s="1"/>
  <c r="Y574"/>
  <c r="AA574" s="1"/>
  <c r="Y951"/>
  <c r="AA951" s="1"/>
  <c r="Y298"/>
  <c r="AA298" s="1"/>
  <c r="Y959"/>
  <c r="AA959" s="1"/>
  <c r="Y291"/>
  <c r="AA291" s="1"/>
  <c r="Y1141"/>
  <c r="AA1141" s="1"/>
  <c r="Y270"/>
  <c r="AA270" s="1"/>
  <c r="Y973"/>
  <c r="AA973" s="1"/>
  <c r="Y1859"/>
  <c r="AA1859" s="1"/>
  <c r="Y1085"/>
  <c r="AA1085" s="1"/>
  <c r="Y646"/>
  <c r="AA646" s="1"/>
  <c r="Y1299"/>
  <c r="AA1299" s="1"/>
  <c r="Y487"/>
  <c r="AA487" s="1"/>
  <c r="Y2041"/>
  <c r="AA2041" s="1"/>
  <c r="Y113"/>
  <c r="AA113" s="1"/>
  <c r="Y1920"/>
  <c r="AA1920" s="1"/>
  <c r="Y907"/>
  <c r="AA907" s="1"/>
  <c r="Y1387"/>
  <c r="AA1387" s="1"/>
  <c r="Y1531"/>
  <c r="AA1531" s="1"/>
  <c r="Y317"/>
  <c r="AA317" s="1"/>
  <c r="Y269"/>
  <c r="AA269" s="1"/>
  <c r="Y784"/>
  <c r="AA784" s="1"/>
  <c r="Y1581"/>
  <c r="AA1581" s="1"/>
  <c r="Y1229"/>
  <c r="AA1229" s="1"/>
  <c r="Y675"/>
  <c r="AA675" s="1"/>
  <c r="Y852"/>
  <c r="AA852" s="1"/>
  <c r="Y2049"/>
  <c r="AA2049" s="1"/>
  <c r="Y1713"/>
  <c r="AA1713" s="1"/>
  <c r="Y96"/>
  <c r="AA96" s="1"/>
  <c r="Y534"/>
  <c r="AA534" s="1"/>
  <c r="Y1278"/>
  <c r="AA1278" s="1"/>
  <c r="Y2028"/>
  <c r="AA2028" s="1"/>
  <c r="Y689"/>
  <c r="AA689" s="1"/>
  <c r="Y1500"/>
  <c r="AA1500" s="1"/>
  <c r="Y1338"/>
  <c r="AA1338" s="1"/>
  <c r="Y1657"/>
  <c r="AA1657" s="1"/>
  <c r="Y1135"/>
  <c r="AA1135" s="1"/>
  <c r="Y1607"/>
  <c r="AA1607" s="1"/>
  <c r="Y191"/>
  <c r="AA191" s="1"/>
  <c r="Y711"/>
  <c r="AA711" s="1"/>
  <c r="Y655"/>
  <c r="AA655" s="1"/>
  <c r="Y897"/>
  <c r="AA897" s="1"/>
  <c r="Y1013"/>
  <c r="AA1013" s="1"/>
  <c r="Y83"/>
  <c r="AA83" s="1"/>
  <c r="Y109"/>
  <c r="AA109" s="1"/>
  <c r="Y2086"/>
  <c r="AA2086" s="1"/>
  <c r="Y432"/>
  <c r="AA432" s="1"/>
  <c r="Y322"/>
  <c r="AA322" s="1"/>
  <c r="Y1836"/>
  <c r="AA1836" s="1"/>
  <c r="Y265"/>
  <c r="AA265" s="1"/>
  <c r="Y1503"/>
  <c r="AA1503" s="1"/>
  <c r="Y1369"/>
  <c r="AA1369" s="1"/>
  <c r="Y325"/>
  <c r="AA325" s="1"/>
  <c r="Y469"/>
  <c r="AA469" s="1"/>
  <c r="Y615"/>
  <c r="AA615" s="1"/>
  <c r="Y2074"/>
  <c r="AA2074" s="1"/>
  <c r="Y1578"/>
  <c r="AA1578" s="1"/>
  <c r="Y855"/>
  <c r="AA855" s="1"/>
  <c r="Y1613"/>
  <c r="AA1613" s="1"/>
  <c r="Y1669"/>
  <c r="AA1669" s="1"/>
  <c r="Y639"/>
  <c r="AA639" s="1"/>
  <c r="Y879"/>
  <c r="AA879" s="1"/>
  <c r="Y1819"/>
  <c r="AA1819" s="1"/>
  <c r="Y51"/>
  <c r="AA51" s="1"/>
  <c r="Y587"/>
  <c r="AA587" s="1"/>
  <c r="Y2141"/>
  <c r="AA2141" s="1"/>
  <c r="Y713"/>
  <c r="AA713" s="1"/>
  <c r="Y640"/>
  <c r="AA640" s="1"/>
  <c r="Y423"/>
  <c r="AA423" s="1"/>
  <c r="Y1363"/>
  <c r="AA1363" s="1"/>
  <c r="Y319"/>
  <c r="AA319" s="1"/>
  <c r="Y133"/>
  <c r="AA133" s="1"/>
  <c r="Y481"/>
  <c r="AA481" s="1"/>
  <c r="Y738"/>
  <c r="AA738" s="1"/>
  <c r="Y1377"/>
  <c r="AA1377" s="1"/>
  <c r="Y1828"/>
  <c r="AA1828" s="1"/>
  <c r="Y547"/>
  <c r="AA547" s="1"/>
  <c r="Y1989"/>
  <c r="AA1989" s="1"/>
  <c r="Y264"/>
  <c r="AA264" s="1"/>
  <c r="Y780"/>
  <c r="AA780" s="1"/>
  <c r="Y799"/>
  <c r="AA799" s="1"/>
  <c r="Y1409"/>
  <c r="AA1409" s="1"/>
  <c r="Y1015"/>
  <c r="AA1015" s="1"/>
  <c r="Y241"/>
  <c r="AA241" s="1"/>
  <c r="Y1530"/>
  <c r="AA1530" s="1"/>
  <c r="Y48"/>
  <c r="AA48" s="1"/>
  <c r="Y1957"/>
  <c r="AA1957" s="1"/>
  <c r="Y911"/>
  <c r="AA911" s="1"/>
  <c r="Y1996"/>
  <c r="AA1996" s="1"/>
  <c r="Y1481"/>
  <c r="AA1481" s="1"/>
  <c r="Y279"/>
  <c r="AA279" s="1"/>
  <c r="Y1200"/>
  <c r="AA1200" s="1"/>
  <c r="Y378"/>
  <c r="AA378" s="1"/>
  <c r="Y389"/>
  <c r="AA389" s="1"/>
  <c r="Y1035"/>
  <c r="AA1035" s="1"/>
  <c r="Y1771"/>
  <c r="AA1771" s="1"/>
  <c r="Y2026"/>
  <c r="AA2026" s="1"/>
  <c r="Y2113"/>
  <c r="AA2113" s="1"/>
  <c r="Y1483"/>
  <c r="AA1483" s="1"/>
  <c r="Y450"/>
  <c r="AA450" s="1"/>
  <c r="Y2035"/>
  <c r="AA2035" s="1"/>
  <c r="Y1131"/>
  <c r="AA1131" s="1"/>
  <c r="Y1339"/>
  <c r="AA1339" s="1"/>
  <c r="Y465"/>
  <c r="AA465" s="1"/>
  <c r="Y1571"/>
  <c r="AA1571" s="1"/>
  <c r="Y1642"/>
  <c r="AA1642" s="1"/>
  <c r="Y1279"/>
  <c r="AA1279" s="1"/>
  <c r="Y1068"/>
  <c r="AA1068" s="1"/>
  <c r="Y853"/>
  <c r="AA853" s="1"/>
  <c r="Y846"/>
  <c r="AA846" s="1"/>
  <c r="Y1987"/>
  <c r="AA1987" s="1"/>
  <c r="Y2045"/>
  <c r="AA2045" s="1"/>
  <c r="Y1419"/>
  <c r="AA1419" s="1"/>
  <c r="Y664"/>
  <c r="AA664" s="1"/>
  <c r="Y1006"/>
  <c r="AA1006" s="1"/>
  <c r="Y941"/>
  <c r="AA941" s="1"/>
  <c r="Y1287"/>
  <c r="AA1287" s="1"/>
  <c r="Y1401"/>
  <c r="AA1401" s="1"/>
  <c r="Y2031"/>
  <c r="AA2031" s="1"/>
  <c r="Y499"/>
  <c r="AA499" s="1"/>
  <c r="Y1599"/>
  <c r="AA1599" s="1"/>
  <c r="Y1329"/>
  <c r="AA1329" s="1"/>
  <c r="Y2009"/>
  <c r="AA2009" s="1"/>
  <c r="Y754"/>
  <c r="AA754" s="1"/>
  <c r="Y1821"/>
  <c r="AA1821" s="1"/>
  <c r="Y661"/>
  <c r="AA661" s="1"/>
  <c r="Y1265"/>
  <c r="AA1265" s="1"/>
  <c r="Y203"/>
  <c r="AA203" s="1"/>
  <c r="Y1183"/>
  <c r="AA1183" s="1"/>
  <c r="Y1374"/>
  <c r="AA1374" s="1"/>
  <c r="Y1043"/>
  <c r="AA1043" s="1"/>
  <c r="Y41"/>
  <c r="AA41" s="1"/>
  <c r="Y106"/>
  <c r="AA106" s="1"/>
  <c r="Y1860"/>
  <c r="AA1860" s="1"/>
  <c r="Y467"/>
  <c r="AA467" s="1"/>
  <c r="Y1671"/>
  <c r="AA1671" s="1"/>
  <c r="Y2158"/>
  <c r="AA2158" s="1"/>
  <c r="Y899"/>
  <c r="AA899" s="1"/>
  <c r="Y984"/>
  <c r="AA984" s="1"/>
  <c r="Y1739"/>
  <c r="AA1739" s="1"/>
  <c r="Y688"/>
  <c r="AA688" s="1"/>
  <c r="Y609"/>
  <c r="AA609" s="1"/>
  <c r="Y2117"/>
  <c r="AA2117" s="1"/>
  <c r="Y858"/>
  <c r="AA858" s="1"/>
  <c r="Y180"/>
  <c r="AA180" s="1"/>
  <c r="Y1524"/>
  <c r="AA1524" s="1"/>
  <c r="Y1462"/>
  <c r="AA1462" s="1"/>
  <c r="Y1579"/>
  <c r="AA1579" s="1"/>
  <c r="Y1198"/>
  <c r="AA1198" s="1"/>
  <c r="Y1735"/>
  <c r="AA1735" s="1"/>
  <c r="Y2107"/>
  <c r="AA2107" s="1"/>
  <c r="Y1157"/>
  <c r="AA1157" s="1"/>
  <c r="Y472"/>
  <c r="AA472" s="1"/>
  <c r="Y988"/>
  <c r="AA988" s="1"/>
  <c r="Y995"/>
  <c r="AA995" s="1"/>
  <c r="Y621"/>
  <c r="AA621" s="1"/>
  <c r="Y132"/>
  <c r="AA132" s="1"/>
  <c r="Y1602"/>
  <c r="AA1602" s="1"/>
  <c r="Y558"/>
  <c r="AA558" s="1"/>
  <c r="Y1193"/>
  <c r="AA1193" s="1"/>
  <c r="Y1372"/>
  <c r="AA1372" s="1"/>
  <c r="Y195"/>
  <c r="AA195" s="1"/>
  <c r="Y1722"/>
  <c r="AA1722" s="1"/>
  <c r="Y892"/>
  <c r="AA892" s="1"/>
  <c r="Y123"/>
  <c r="AA123" s="1"/>
  <c r="Y1728"/>
  <c r="AA1728" s="1"/>
  <c r="Y687"/>
  <c r="AA687" s="1"/>
  <c r="G75" i="8"/>
  <c r="Y3" i="6"/>
  <c r="AA3" s="1"/>
  <c r="Y5"/>
  <c r="AD5" s="1"/>
  <c r="C79" i="1"/>
  <c r="F79" s="1"/>
  <c r="Y7" i="6"/>
  <c r="AA7" s="1"/>
  <c r="G70" i="8"/>
  <c r="D70" s="1"/>
  <c r="G67"/>
  <c r="G68"/>
  <c r="C68" i="1"/>
  <c r="C73" s="1"/>
  <c r="F73" s="1"/>
  <c r="E67" i="8" l="1"/>
  <c r="E59" s="1"/>
  <c r="G59"/>
  <c r="E104" s="1"/>
  <c r="D67"/>
  <c r="D59" s="1"/>
  <c r="F101" s="1"/>
  <c r="D75"/>
  <c r="E70"/>
  <c r="F84" i="1"/>
  <c r="AD4" i="6"/>
  <c r="AD3"/>
  <c r="C69" i="1"/>
  <c r="E68" i="8"/>
  <c r="L59"/>
  <c r="AD7" i="6"/>
  <c r="C78" i="1"/>
  <c r="F78" s="1"/>
  <c r="AA5" i="6"/>
  <c r="E75" i="8"/>
  <c r="D78"/>
  <c r="E71"/>
  <c r="D68"/>
  <c r="D69"/>
  <c r="F68" i="1"/>
  <c r="AA6" i="6"/>
  <c r="D71" i="8"/>
  <c r="F104" l="1"/>
  <c r="F69" i="1"/>
  <c r="C76"/>
  <c r="C81"/>
  <c r="C70"/>
  <c r="M59" i="8" l="1"/>
  <c r="F81" i="1"/>
  <c r="C82"/>
  <c r="F82" s="1"/>
  <c r="F70"/>
  <c r="C96"/>
  <c r="C86"/>
  <c r="C71"/>
  <c r="C106"/>
  <c r="C77"/>
  <c r="F77" s="1"/>
  <c r="F76"/>
  <c r="N59" i="8" l="1"/>
  <c r="F106" i="1"/>
  <c r="C97"/>
  <c r="C107"/>
  <c r="F86"/>
  <c r="C87"/>
  <c r="F71"/>
  <c r="C72"/>
  <c r="F96"/>
  <c r="F72" l="1"/>
  <c r="B73"/>
  <c r="F97"/>
  <c r="C98"/>
  <c r="C104"/>
  <c r="F104" s="1"/>
  <c r="F87"/>
  <c r="C94"/>
  <c r="F94" s="1"/>
  <c r="C88"/>
  <c r="F107"/>
  <c r="C108"/>
  <c r="C114"/>
  <c r="F114" s="1"/>
  <c r="E73" l="1"/>
  <c r="B74"/>
  <c r="E74" s="1"/>
  <c r="C24"/>
  <c r="C26"/>
  <c r="D102" i="8" s="1"/>
  <c r="F102" s="1"/>
  <c r="C109" i="1"/>
  <c r="F108"/>
  <c r="F88"/>
  <c r="C89"/>
  <c r="F98"/>
  <c r="C99"/>
  <c r="C25" l="1"/>
  <c r="D103" i="8" s="1"/>
  <c r="F103" s="1"/>
  <c r="F136" s="1"/>
  <c r="F89" i="1"/>
  <c r="C90"/>
  <c r="F99"/>
  <c r="C100"/>
  <c r="F109"/>
  <c r="C110"/>
  <c r="F23" l="1"/>
  <c r="H136" i="8"/>
  <c r="F110" i="1"/>
  <c r="C111"/>
  <c r="F100"/>
  <c r="C101"/>
  <c r="C91"/>
  <c r="F90"/>
  <c r="I23" l="1"/>
  <c r="E26" s="1"/>
  <c r="I24"/>
  <c r="H26"/>
  <c r="F91"/>
  <c r="C92"/>
  <c r="B33"/>
  <c r="C112"/>
  <c r="F111"/>
  <c r="B35"/>
  <c r="C102"/>
  <c r="F101"/>
  <c r="B34"/>
  <c r="J23" l="1"/>
  <c r="H23" s="1"/>
  <c r="F26"/>
  <c r="G26"/>
  <c r="F112"/>
  <c r="C113"/>
  <c r="C33"/>
  <c r="B36"/>
  <c r="C35"/>
  <c r="C103"/>
  <c r="F102"/>
  <c r="F92"/>
  <c r="C93"/>
  <c r="C34"/>
  <c r="J22" l="1"/>
  <c r="J24"/>
  <c r="E3" i="6" s="1"/>
  <c r="F103" i="1"/>
  <c r="C45"/>
  <c r="F93"/>
  <c r="C44"/>
  <c r="B29"/>
  <c r="F113"/>
  <c r="C46"/>
  <c r="D27" i="11"/>
  <c r="C44" i="2" l="1"/>
  <c r="U6"/>
  <c r="Y6" s="1"/>
  <c r="O23" i="11"/>
  <c r="Q23" s="1"/>
  <c r="O27"/>
  <c r="Q27" s="1"/>
  <c r="O31"/>
  <c r="Q31" s="1"/>
  <c r="O35"/>
  <c r="Q35" s="1"/>
  <c r="O39"/>
  <c r="Q39" s="1"/>
  <c r="O43"/>
  <c r="Q43" s="1"/>
  <c r="O47"/>
  <c r="Q47" s="1"/>
  <c r="O51"/>
  <c r="Q51" s="1"/>
  <c r="O55"/>
  <c r="Q55" s="1"/>
  <c r="O59"/>
  <c r="Q59" s="1"/>
  <c r="O63"/>
  <c r="Q63" s="1"/>
  <c r="O67"/>
  <c r="Q67" s="1"/>
  <c r="O71"/>
  <c r="Q71" s="1"/>
  <c r="O75"/>
  <c r="Q75" s="1"/>
  <c r="O79"/>
  <c r="Q79" s="1"/>
  <c r="O83"/>
  <c r="Q83" s="1"/>
  <c r="O87"/>
  <c r="Q87" s="1"/>
  <c r="O91"/>
  <c r="Q91" s="1"/>
  <c r="O95"/>
  <c r="Q95" s="1"/>
  <c r="O99"/>
  <c r="Q99" s="1"/>
  <c r="O103"/>
  <c r="Q103" s="1"/>
  <c r="O107"/>
  <c r="Q107" s="1"/>
  <c r="O111"/>
  <c r="Q111" s="1"/>
  <c r="B112"/>
  <c r="O115"/>
  <c r="Q115" s="1"/>
  <c r="O119"/>
  <c r="Q119" s="1"/>
  <c r="O123"/>
  <c r="Q123" s="1"/>
  <c r="O127"/>
  <c r="Q127" s="1"/>
  <c r="O131"/>
  <c r="Q131" s="1"/>
  <c r="O135"/>
  <c r="Q135" s="1"/>
  <c r="O139"/>
  <c r="Q139" s="1"/>
  <c r="O143"/>
  <c r="Q143" s="1"/>
  <c r="O147"/>
  <c r="Q147" s="1"/>
  <c r="O151"/>
  <c r="Q151" s="1"/>
  <c r="O155"/>
  <c r="Q155" s="1"/>
  <c r="O159"/>
  <c r="Q159" s="1"/>
  <c r="O163"/>
  <c r="Q163" s="1"/>
  <c r="O167"/>
  <c r="Q167" s="1"/>
  <c r="O171"/>
  <c r="Q171" s="1"/>
  <c r="O175"/>
  <c r="Q175" s="1"/>
  <c r="O179"/>
  <c r="Q179" s="1"/>
  <c r="O183"/>
  <c r="Q183" s="1"/>
  <c r="O187"/>
  <c r="Q187" s="1"/>
  <c r="O191"/>
  <c r="Q191" s="1"/>
  <c r="O195"/>
  <c r="Q195" s="1"/>
  <c r="O199"/>
  <c r="Q199" s="1"/>
  <c r="O203"/>
  <c r="Q203" s="1"/>
  <c r="O207"/>
  <c r="Q207" s="1"/>
  <c r="D30" l="1"/>
  <c r="S207"/>
  <c r="S204" s="1"/>
  <c r="R207"/>
  <c r="R204" s="1"/>
  <c r="R203"/>
  <c r="R200" s="1"/>
  <c r="S203"/>
  <c r="S200" s="1"/>
  <c r="S191"/>
  <c r="S188" s="1"/>
  <c r="R191"/>
  <c r="R188" s="1"/>
  <c r="R187"/>
  <c r="R184" s="1"/>
  <c r="S187"/>
  <c r="S184" s="1"/>
  <c r="S175"/>
  <c r="S172" s="1"/>
  <c r="R175"/>
  <c r="R172" s="1"/>
  <c r="R171"/>
  <c r="R168" s="1"/>
  <c r="S171"/>
  <c r="S168" s="1"/>
  <c r="S159"/>
  <c r="S156" s="1"/>
  <c r="R159"/>
  <c r="R156" s="1"/>
  <c r="R155"/>
  <c r="R152" s="1"/>
  <c r="S155"/>
  <c r="S152" s="1"/>
  <c r="S143"/>
  <c r="S140" s="1"/>
  <c r="R143"/>
  <c r="R140" s="1"/>
  <c r="R139"/>
  <c r="R136" s="1"/>
  <c r="S139"/>
  <c r="S136" s="1"/>
  <c r="S127"/>
  <c r="S124" s="1"/>
  <c r="R127"/>
  <c r="R124" s="1"/>
  <c r="R123"/>
  <c r="R120" s="1"/>
  <c r="S123"/>
  <c r="S120" s="1"/>
  <c r="S107"/>
  <c r="S104" s="1"/>
  <c r="R107"/>
  <c r="R104" s="1"/>
  <c r="R103"/>
  <c r="R100" s="1"/>
  <c r="S103"/>
  <c r="S100" s="1"/>
  <c r="S91"/>
  <c r="S88" s="1"/>
  <c r="R91"/>
  <c r="R88" s="1"/>
  <c r="R87"/>
  <c r="R84" s="1"/>
  <c r="S87"/>
  <c r="S84" s="1"/>
  <c r="S75"/>
  <c r="S72" s="1"/>
  <c r="R75"/>
  <c r="R72" s="1"/>
  <c r="R71"/>
  <c r="R68" s="1"/>
  <c r="S71"/>
  <c r="S68" s="1"/>
  <c r="S59"/>
  <c r="S56" s="1"/>
  <c r="R59"/>
  <c r="R56" s="1"/>
  <c r="R55"/>
  <c r="R52" s="1"/>
  <c r="S55"/>
  <c r="S52" s="1"/>
  <c r="S43"/>
  <c r="S40" s="1"/>
  <c r="R43"/>
  <c r="R40" s="1"/>
  <c r="R39"/>
  <c r="R36" s="1"/>
  <c r="S39"/>
  <c r="S36" s="1"/>
  <c r="S27"/>
  <c r="S24" s="1"/>
  <c r="R27"/>
  <c r="R24" s="1"/>
  <c r="S199"/>
  <c r="S196" s="1"/>
  <c r="R199"/>
  <c r="R196" s="1"/>
  <c r="R195"/>
  <c r="R192" s="1"/>
  <c r="S195"/>
  <c r="S192" s="1"/>
  <c r="S183"/>
  <c r="S180" s="1"/>
  <c r="R183"/>
  <c r="R180" s="1"/>
  <c r="R179"/>
  <c r="R176" s="1"/>
  <c r="S179"/>
  <c r="S176" s="1"/>
  <c r="S167"/>
  <c r="S164" s="1"/>
  <c r="R167"/>
  <c r="R164" s="1"/>
  <c r="R163"/>
  <c r="R160" s="1"/>
  <c r="S163"/>
  <c r="S160" s="1"/>
  <c r="S151"/>
  <c r="S148" s="1"/>
  <c r="R151"/>
  <c r="R148" s="1"/>
  <c r="R147"/>
  <c r="R144" s="1"/>
  <c r="S147"/>
  <c r="S144" s="1"/>
  <c r="S135"/>
  <c r="S132" s="1"/>
  <c r="R135"/>
  <c r="R132" s="1"/>
  <c r="R131"/>
  <c r="R128" s="1"/>
  <c r="S131"/>
  <c r="S128" s="1"/>
  <c r="S119"/>
  <c r="S116" s="1"/>
  <c r="R119"/>
  <c r="R116" s="1"/>
  <c r="R115"/>
  <c r="R112" s="1"/>
  <c r="S115"/>
  <c r="S112" s="1"/>
  <c r="R111"/>
  <c r="R108" s="1"/>
  <c r="S111"/>
  <c r="S108" s="1"/>
  <c r="S99"/>
  <c r="S96" s="1"/>
  <c r="R99"/>
  <c r="R96" s="1"/>
  <c r="R95"/>
  <c r="R92" s="1"/>
  <c r="S95"/>
  <c r="S92" s="1"/>
  <c r="S83"/>
  <c r="S80" s="1"/>
  <c r="R83"/>
  <c r="R80" s="1"/>
  <c r="R79"/>
  <c r="R76" s="1"/>
  <c r="S79"/>
  <c r="S76" s="1"/>
  <c r="S67"/>
  <c r="S64" s="1"/>
  <c r="R67"/>
  <c r="R64" s="1"/>
  <c r="R63"/>
  <c r="R60" s="1"/>
  <c r="S63"/>
  <c r="S60" s="1"/>
  <c r="S51"/>
  <c r="S48" s="1"/>
  <c r="R51"/>
  <c r="R48" s="1"/>
  <c r="R47"/>
  <c r="R44" s="1"/>
  <c r="S47"/>
  <c r="S44" s="1"/>
  <c r="S35"/>
  <c r="S32" s="1"/>
  <c r="R35"/>
  <c r="R32" s="1"/>
  <c r="R31"/>
  <c r="R28" s="1"/>
  <c r="S31"/>
  <c r="S28" s="1"/>
  <c r="S23"/>
  <c r="S20" s="1"/>
  <c r="R23"/>
  <c r="R20" s="1"/>
  <c r="O11"/>
  <c r="Q11" l="1"/>
  <c r="R11" l="1"/>
  <c r="R8" s="1"/>
  <c r="S11"/>
  <c r="S8" s="1"/>
  <c r="O15"/>
  <c r="O19"/>
  <c r="Q19" s="1"/>
  <c r="O5" l="1"/>
  <c r="S19"/>
  <c r="S16" s="1"/>
  <c r="R19"/>
  <c r="R16" s="1"/>
  <c r="Q15"/>
  <c r="O6"/>
  <c r="Q5" l="1"/>
  <c r="Q6"/>
  <c r="R15"/>
  <c r="R12" s="1"/>
  <c r="S15"/>
  <c r="S12" s="1"/>
  <c r="D28" l="1"/>
  <c r="D29" s="1"/>
  <c r="P7" i="12"/>
  <c r="Q7"/>
  <c r="P67"/>
  <c r="Q67"/>
  <c r="N7"/>
  <c r="O7"/>
  <c r="N13"/>
  <c r="O13"/>
  <c r="K5"/>
  <c r="K6"/>
  <c r="K7"/>
  <c r="K8"/>
  <c r="K9"/>
  <c r="K11"/>
  <c r="N67"/>
  <c r="O67"/>
  <c r="N73"/>
  <c r="O73"/>
  <c r="O2" l="1"/>
  <c r="G21" s="1"/>
  <c r="I5" s="1"/>
  <c r="N2"/>
  <c r="AD3" s="1"/>
  <c r="L4" l="1"/>
  <c r="H3"/>
  <c r="H10" s="1"/>
  <c r="AE54"/>
  <c r="AD74"/>
  <c r="AD22"/>
  <c r="AD42"/>
  <c r="AE70"/>
  <c r="AE38"/>
  <c r="AD11"/>
  <c r="AD58"/>
  <c r="AD26"/>
  <c r="AE62"/>
  <c r="AE46"/>
  <c r="AE30"/>
  <c r="H16"/>
  <c r="AD6"/>
  <c r="AD66"/>
  <c r="AD50"/>
  <c r="AD34"/>
  <c r="H13"/>
  <c r="AD18"/>
  <c r="AE7"/>
  <c r="AE74"/>
  <c r="AE66"/>
  <c r="AE58"/>
  <c r="AE50"/>
  <c r="AE42"/>
  <c r="AE34"/>
  <c r="AE26"/>
  <c r="AD19"/>
  <c r="AD13"/>
  <c r="AD8"/>
  <c r="AD4"/>
  <c r="AD70"/>
  <c r="AD62"/>
  <c r="AD54"/>
  <c r="AD46"/>
  <c r="AD38"/>
  <c r="AD30"/>
  <c r="AE22"/>
  <c r="I16"/>
  <c r="AE9"/>
  <c r="AE5"/>
  <c r="AE72"/>
  <c r="AE68"/>
  <c r="AE64"/>
  <c r="AE60"/>
  <c r="AE56"/>
  <c r="AE52"/>
  <c r="AE48"/>
  <c r="AE44"/>
  <c r="AE40"/>
  <c r="AE36"/>
  <c r="AE32"/>
  <c r="AD28"/>
  <c r="AE24"/>
  <c r="AD20"/>
  <c r="AE17"/>
  <c r="H15"/>
  <c r="AE12"/>
  <c r="AD9"/>
  <c r="AD7"/>
  <c r="AD5"/>
  <c r="I3"/>
  <c r="I10" s="1"/>
  <c r="AD72"/>
  <c r="AD68"/>
  <c r="AD64"/>
  <c r="AD60"/>
  <c r="AD56"/>
  <c r="AD52"/>
  <c r="AD48"/>
  <c r="AD44"/>
  <c r="AD40"/>
  <c r="AD36"/>
  <c r="AD32"/>
  <c r="AE28"/>
  <c r="AD24"/>
  <c r="AE20"/>
  <c r="G17"/>
  <c r="AE14"/>
  <c r="AE11"/>
  <c r="AE8"/>
  <c r="AE6"/>
  <c r="H4"/>
  <c r="AE75"/>
  <c r="AE73"/>
  <c r="AE71"/>
  <c r="AE69"/>
  <c r="AE67"/>
  <c r="AE65"/>
  <c r="AE63"/>
  <c r="AE61"/>
  <c r="AE59"/>
  <c r="AE57"/>
  <c r="AE55"/>
  <c r="AE53"/>
  <c r="AE51"/>
  <c r="AE49"/>
  <c r="AE47"/>
  <c r="AE45"/>
  <c r="AE43"/>
  <c r="AE41"/>
  <c r="AE39"/>
  <c r="AE37"/>
  <c r="AE35"/>
  <c r="AE33"/>
  <c r="AE31"/>
  <c r="AE29"/>
  <c r="AE27"/>
  <c r="AD25"/>
  <c r="AE23"/>
  <c r="AE21"/>
  <c r="G20"/>
  <c r="G85" i="8" s="1"/>
  <c r="P85" s="1"/>
  <c r="AE18" i="12"/>
  <c r="AE16"/>
  <c r="AD15"/>
  <c r="AD14"/>
  <c r="I13"/>
  <c r="H12"/>
  <c r="AD10"/>
  <c r="H9"/>
  <c r="H8"/>
  <c r="H7"/>
  <c r="H6"/>
  <c r="H5"/>
  <c r="AE3"/>
  <c r="AD75"/>
  <c r="AD73"/>
  <c r="AD71"/>
  <c r="AD69"/>
  <c r="AD67"/>
  <c r="AD65"/>
  <c r="AD63"/>
  <c r="AD61"/>
  <c r="AD59"/>
  <c r="AD57"/>
  <c r="AD55"/>
  <c r="AD53"/>
  <c r="AD51"/>
  <c r="AD49"/>
  <c r="AD47"/>
  <c r="AD45"/>
  <c r="AD43"/>
  <c r="AD41"/>
  <c r="AD39"/>
  <c r="AD37"/>
  <c r="AD35"/>
  <c r="AD33"/>
  <c r="AD31"/>
  <c r="AD29"/>
  <c r="AD27"/>
  <c r="AE25"/>
  <c r="AD23"/>
  <c r="AD21"/>
  <c r="AE19"/>
  <c r="AD17"/>
  <c r="AD16"/>
  <c r="AE15"/>
  <c r="AE13"/>
  <c r="AD12"/>
  <c r="AE10"/>
  <c r="I9"/>
  <c r="I8"/>
  <c r="I7"/>
  <c r="I6"/>
  <c r="AE4"/>
  <c r="L29"/>
  <c r="L16"/>
  <c r="L25"/>
  <c r="L23"/>
  <c r="I4"/>
  <c r="L20"/>
  <c r="I15"/>
  <c r="I12"/>
  <c r="L9"/>
  <c r="L7"/>
  <c r="L26"/>
  <c r="L17"/>
  <c r="L12"/>
  <c r="L28"/>
  <c r="L22"/>
  <c r="L19"/>
  <c r="L13"/>
  <c r="L11"/>
  <c r="L8"/>
  <c r="L5"/>
  <c r="L6"/>
  <c r="M85" i="8" l="1"/>
  <c r="N85" s="1"/>
  <c r="L85"/>
  <c r="Q85"/>
  <c r="E37" i="2"/>
  <c r="F37"/>
  <c r="G37"/>
  <c r="X37" s="1"/>
  <c r="Y37" s="1"/>
  <c r="H37"/>
  <c r="L37"/>
  <c r="E52"/>
  <c r="D52" s="1"/>
  <c r="E57" l="1"/>
  <c r="G57" s="1"/>
  <c r="D53"/>
  <c r="E56"/>
  <c r="E54"/>
  <c r="G54" s="1"/>
  <c r="E53"/>
  <c r="G52"/>
  <c r="F52"/>
  <c r="D55"/>
  <c r="F55" s="1"/>
  <c r="D57"/>
  <c r="F57" s="1"/>
  <c r="D59"/>
  <c r="F59" s="1"/>
  <c r="E58" l="1"/>
  <c r="G58" s="1"/>
  <c r="D54"/>
  <c r="F54" s="1"/>
  <c r="D56"/>
  <c r="F56" s="1"/>
  <c r="F53"/>
  <c r="D58"/>
  <c r="F58" s="1"/>
  <c r="G53"/>
  <c r="E55"/>
  <c r="G55" s="1"/>
  <c r="G56"/>
  <c r="E59"/>
  <c r="G59" s="1"/>
  <c r="Q30" i="8"/>
  <c r="T30" l="1"/>
  <c r="U30"/>
  <c r="R30"/>
  <c r="S30"/>
</calcChain>
</file>

<file path=xl/comments1.xml><?xml version="1.0" encoding="utf-8"?>
<comments xmlns="http://schemas.openxmlformats.org/spreadsheetml/2006/main">
  <authors>
    <author>Red Rock Energy</author>
    <author>Shirley</author>
  </authors>
  <commentList>
    <comment ref="C17" authorId="0">
      <text>
        <r>
          <rPr>
            <b/>
            <sz val="9"/>
            <color indexed="81"/>
            <rFont val="Tahoma"/>
            <family val="2"/>
          </rPr>
          <t>Use One of These Catagories on the Data Sheet:
T0xHorizontal
T0xLatMinus15
T0xLat
T0xLatPlus15
T0xVertical
T1xHorizontal
T1xLatMinus15
T1xLat
T1xLatPlus15
T2xTwoPerYear
T2xFourPerYear
T2x
DEClinationError</t>
        </r>
      </text>
    </comment>
    <comment ref="E17" authorId="0">
      <text>
        <r>
          <rPr>
            <b/>
            <sz val="9"/>
            <color indexed="81"/>
            <rFont val="Tahoma"/>
            <family val="2"/>
          </rPr>
          <t>PV Panel Mount Arrangement.
Search on the "PV" page for the desired pattern and copy its name here.</t>
        </r>
      </text>
    </comment>
    <comment ref="F17" authorId="0">
      <text>
        <r>
          <rPr>
            <b/>
            <sz val="9"/>
            <color indexed="81"/>
            <rFont val="Tahoma"/>
            <family val="2"/>
          </rPr>
          <t>Panel Model.</t>
        </r>
      </text>
    </comment>
    <comment ref="G17" authorId="0">
      <text>
        <r>
          <rPr>
            <b/>
            <sz val="9"/>
            <color indexed="81"/>
            <rFont val="Tahoma"/>
            <family val="2"/>
          </rPr>
          <t>Maximum Mount Power based on MaxPowerPoint Voltage and MaxPowerPoint Current.</t>
        </r>
      </text>
    </comment>
    <comment ref="H17" authorId="0">
      <text>
        <r>
          <rPr>
            <b/>
            <sz val="9"/>
            <color indexed="81"/>
            <rFont val="Tahoma"/>
            <family val="2"/>
          </rPr>
          <t>Max Power Point Voltage per Mount.</t>
        </r>
      </text>
    </comment>
    <comment ref="I17" authorId="0">
      <text>
        <r>
          <rPr>
            <b/>
            <sz val="9"/>
            <color indexed="81"/>
            <rFont val="Tahoma"/>
            <family val="2"/>
          </rPr>
          <t>Max Power Point Current per Mount.</t>
        </r>
      </text>
    </comment>
    <comment ref="J17" authorId="0">
      <text>
        <r>
          <rPr>
            <b/>
            <sz val="9"/>
            <color indexed="81"/>
            <rFont val="Tahoma"/>
            <family val="2"/>
          </rPr>
          <t>Name Plate rating of each panel.</t>
        </r>
      </text>
    </comment>
    <comment ref="A18" authorId="1">
      <text>
        <r>
          <rPr>
            <b/>
            <sz val="9"/>
            <color indexed="81"/>
            <rFont val="Tahoma"/>
            <family val="2"/>
          </rPr>
          <t>Basic angle of the main axis. This rotates following the daily motion of the sun.</t>
        </r>
      </text>
    </comment>
    <comment ref="E18" authorId="0">
      <text>
        <r>
          <rPr>
            <b/>
            <sz val="9"/>
            <color indexed="81"/>
            <rFont val="Tahoma"/>
            <family val="2"/>
          </rPr>
          <t>PV Panel Manufacturer.</t>
        </r>
      </text>
    </comment>
    <comment ref="F18" authorId="0">
      <text>
        <r>
          <rPr>
            <b/>
            <sz val="9"/>
            <color indexed="81"/>
            <rFont val="Tahoma"/>
            <family val="2"/>
          </rPr>
          <t>Cells per Panel.</t>
        </r>
      </text>
    </comment>
    <comment ref="G18" authorId="0">
      <text>
        <r>
          <rPr>
            <b/>
            <sz val="9"/>
            <color indexed="81"/>
            <rFont val="Tahoma"/>
            <family val="2"/>
          </rPr>
          <t>Maximum Mount Power based on Open Circuit Voltage and Short Circuit Current.</t>
        </r>
      </text>
    </comment>
    <comment ref="H18" authorId="0">
      <text>
        <r>
          <rPr>
            <b/>
            <sz val="9"/>
            <color indexed="81"/>
            <rFont val="Tahoma"/>
            <family val="2"/>
          </rPr>
          <t>Mount Open Circuit Voltage.</t>
        </r>
      </text>
    </comment>
    <comment ref="I18" authorId="0">
      <text>
        <r>
          <rPr>
            <b/>
            <sz val="9"/>
            <color indexed="81"/>
            <rFont val="Tahoma"/>
            <family val="2"/>
          </rPr>
          <t>Mount Short Circuit Current.</t>
        </r>
        <r>
          <rPr>
            <sz val="9"/>
            <color indexed="81"/>
            <rFont val="Tahoma"/>
            <family val="2"/>
          </rPr>
          <t xml:space="preserve">
</t>
        </r>
      </text>
    </comment>
    <comment ref="J18" authorId="0">
      <text>
        <r>
          <rPr>
            <b/>
            <sz val="9"/>
            <color indexed="81"/>
            <rFont val="Tahoma"/>
            <family val="2"/>
          </rPr>
          <t>Panel cost per Mount.</t>
        </r>
      </text>
    </comment>
    <comment ref="A19" authorId="1">
      <text>
        <r>
          <rPr>
            <b/>
            <sz val="9"/>
            <color indexed="81"/>
            <rFont val="Tahoma"/>
            <family val="2"/>
          </rPr>
          <t>Essentially the limits of the Seasonal DEClination motion of the sun.
23.439° for active dual axis tripod mounts.
12° for manual adjustment 4 times per year at the equinoxes +- 1 month.
0° for simple single axis tripod mounts.
And of course, +15° 0° -15° for non tracked mounts.</t>
        </r>
      </text>
    </comment>
    <comment ref="C19" authorId="1">
      <text>
        <r>
          <rPr>
            <b/>
            <sz val="9"/>
            <color indexed="81"/>
            <rFont val="Tahoma"/>
            <family val="2"/>
          </rPr>
          <t>Essentially the limits of the Seasonal DEClination motion of the sun.
23.439° for active dual axis tripod mounts.
12° for manual adjustment 4 times per year at the equinoxes +- 1 month.
0° for simple single axis tripod mounts.
And of course, +15° 0° -15° for non tracked mounts.</t>
        </r>
      </text>
    </comment>
    <comment ref="E19" authorId="0">
      <text>
        <r>
          <rPr>
            <b/>
            <sz val="9"/>
            <color indexed="81"/>
            <rFont val="Tahoma"/>
            <family val="2"/>
          </rPr>
          <t>My rough average KWhr/M electric usage.</t>
        </r>
      </text>
    </comment>
    <comment ref="F19" authorId="0">
      <text>
        <r>
          <rPr>
            <b/>
            <sz val="9"/>
            <color indexed="81"/>
            <rFont val="Tahoma"/>
            <family val="2"/>
          </rPr>
          <t>Basic cost of electricity in my area.</t>
        </r>
      </text>
    </comment>
    <comment ref="G19" authorId="0">
      <text>
        <r>
          <rPr>
            <b/>
            <sz val="9"/>
            <color indexed="81"/>
            <rFont val="Tahoma"/>
            <family val="2"/>
          </rPr>
          <t xml:space="preserve">Xcel Energy Premium for selling electricity for 10 years.
Note! The system must be less than 20kW in size.
</t>
        </r>
      </text>
    </comment>
    <comment ref="H19" authorId="0">
      <text>
        <r>
          <rPr>
            <b/>
            <sz val="9"/>
            <color indexed="81"/>
            <rFont val="Tahoma"/>
            <family val="2"/>
          </rPr>
          <t>Wild guess for the Avoided Cost Rate for system power levels greater than 40kW.</t>
        </r>
      </text>
    </comment>
    <comment ref="I19" authorId="0">
      <text>
        <r>
          <rPr>
            <b/>
            <sz val="9"/>
            <color indexed="81"/>
            <rFont val="Tahoma"/>
            <family val="2"/>
          </rPr>
          <t>Total Name Plate rating of generating system.</t>
        </r>
      </text>
    </comment>
    <comment ref="J19" authorId="0">
      <text>
        <r>
          <rPr>
            <b/>
            <sz val="9"/>
            <color indexed="81"/>
            <rFont val="Tahoma"/>
            <family val="2"/>
          </rPr>
          <t>Total Panel Cost Including the Spares.</t>
        </r>
      </text>
    </comment>
    <comment ref="I20" authorId="0">
      <text>
        <r>
          <rPr>
            <b/>
            <sz val="9"/>
            <color indexed="81"/>
            <rFont val="Tahoma"/>
            <family val="2"/>
          </rPr>
          <t>Equivelant Horcepower</t>
        </r>
      </text>
    </comment>
    <comment ref="J20" authorId="0">
      <text>
        <r>
          <rPr>
            <b/>
            <sz val="9"/>
            <color indexed="81"/>
            <rFont val="Tahoma"/>
            <family val="2"/>
          </rPr>
          <t>Amp rating at 240VAC.</t>
        </r>
      </text>
    </comment>
    <comment ref="A21" authorId="1">
      <text>
        <r>
          <rPr>
            <b/>
            <sz val="9"/>
            <color indexed="81"/>
            <rFont val="Tahoma"/>
            <family val="2"/>
          </rPr>
          <t>Total main axis length including Declinator, Offsets, and Ends.
Needed for mechanical bending stress calculations.</t>
        </r>
      </text>
    </comment>
    <comment ref="C21" authorId="1">
      <text>
        <r>
          <rPr>
            <b/>
            <sz val="9"/>
            <color indexed="81"/>
            <rFont val="Tahoma"/>
            <family val="2"/>
          </rPr>
          <t>Total main axis length including Declinator, Offsets, and Ends.
Needed for mechanical bending stress calculations.</t>
        </r>
      </text>
    </comment>
    <comment ref="E21" authorId="0">
      <text>
        <r>
          <rPr>
            <b/>
            <sz val="9"/>
            <color indexed="81"/>
            <rFont val="Tahoma"/>
            <family val="2"/>
          </rPr>
          <t>Total # of panels in the system.</t>
        </r>
      </text>
    </comment>
    <comment ref="F21" authorId="0">
      <text>
        <r>
          <rPr>
            <b/>
            <sz val="9"/>
            <color indexed="81"/>
            <rFont val="Tahoma"/>
            <family val="2"/>
          </rPr>
          <t>Number of Mounts in the System.</t>
        </r>
      </text>
    </comment>
    <comment ref="G21" authorId="0">
      <text>
        <r>
          <rPr>
            <b/>
            <sz val="9"/>
            <color indexed="81"/>
            <rFont val="Tahoma"/>
            <family val="2"/>
          </rPr>
          <t>Sun Hours per Day. This is the same as kWhr/m²D from the NREL data. I used the St. Cloud data for Dual Axis Tracking.
This is 6.15 kWhr/m²D.</t>
        </r>
      </text>
    </comment>
    <comment ref="H21" authorId="0">
      <text>
        <r>
          <rPr>
            <b/>
            <sz val="9"/>
            <color indexed="81"/>
            <rFont val="Tahoma"/>
            <family val="2"/>
          </rPr>
          <t>Net Energy Production per Month. 
- = Blue Production
+ = Red Consumption</t>
        </r>
      </text>
    </comment>
    <comment ref="I21" authorId="0">
      <text>
        <r>
          <rPr>
            <b/>
            <sz val="9"/>
            <color indexed="81"/>
            <rFont val="Tahoma"/>
            <family val="2"/>
          </rPr>
          <t>Monthly Payment from XCEL.</t>
        </r>
      </text>
    </comment>
    <comment ref="J21" authorId="0">
      <text>
        <r>
          <rPr>
            <b/>
            <sz val="9"/>
            <color indexed="81"/>
            <rFont val="Tahoma"/>
            <family val="2"/>
          </rPr>
          <t>Yearly Payment from XCEL.
- or blue means they pay me.</t>
        </r>
      </text>
    </comment>
    <comment ref="E22" authorId="0">
      <text>
        <r>
          <rPr>
            <b/>
            <sz val="9"/>
            <color indexed="81"/>
            <rFont val="Tahoma"/>
            <family val="2"/>
          </rPr>
          <t>Number of Panels including spares.</t>
        </r>
      </text>
    </comment>
    <comment ref="F22" authorId="0">
      <text>
        <r>
          <rPr>
            <b/>
            <sz val="9"/>
            <color indexed="81"/>
            <rFont val="Tahoma"/>
            <family val="2"/>
          </rPr>
          <t>Tree and Stump Removal.</t>
        </r>
      </text>
    </comment>
    <comment ref="I22" authorId="0">
      <text>
        <r>
          <rPr>
            <b/>
            <sz val="9"/>
            <color indexed="81"/>
            <rFont val="Tahoma"/>
            <family val="2"/>
          </rPr>
          <t>PV Panel Spares Factor.</t>
        </r>
      </text>
    </comment>
    <comment ref="A23" authorId="1">
      <text>
        <r>
          <rPr>
            <b/>
            <sz val="9"/>
            <color indexed="81"/>
            <rFont val="Tahoma"/>
            <family val="2"/>
          </rPr>
          <t xml:space="preserve">Distance between the Pedestals on the high end.
This influences the length of the High End Support Leg Length and Distance to the Low End Pedestal.
</t>
        </r>
      </text>
    </comment>
    <comment ref="C23" authorId="1">
      <text>
        <r>
          <rPr>
            <b/>
            <sz val="9"/>
            <color indexed="81"/>
            <rFont val="Tahoma"/>
            <family val="2"/>
          </rPr>
          <t xml:space="preserve">Distance between the Pedestals on the high end.
This influences the length of the High End Support Leg Length and Distance to the Low End Pedestal.
</t>
        </r>
      </text>
    </comment>
    <comment ref="E23" authorId="0">
      <text>
        <r>
          <rPr>
            <b/>
            <sz val="9"/>
            <color indexed="81"/>
            <rFont val="Tahoma"/>
            <family val="2"/>
          </rPr>
          <t>Utility Connection Cost, paper work, etc.
I'm guessing 10% of kW rating.</t>
        </r>
      </text>
    </comment>
    <comment ref="F23" authorId="0">
      <text>
        <r>
          <rPr>
            <b/>
            <sz val="9"/>
            <color indexed="81"/>
            <rFont val="Tahoma"/>
            <family val="2"/>
          </rPr>
          <t>Total Mount Cost.</t>
        </r>
      </text>
    </comment>
    <comment ref="G23" authorId="0">
      <text>
        <r>
          <rPr>
            <b/>
            <sz val="9"/>
            <color indexed="81"/>
            <rFont val="Tahoma"/>
            <family val="2"/>
          </rPr>
          <t>Electrical Cost including Inverters, cabling, and Power Panels.</t>
        </r>
      </text>
    </comment>
    <comment ref="H23" authorId="0">
      <text>
        <r>
          <rPr>
            <b/>
            <sz val="9"/>
            <color indexed="81"/>
            <rFont val="Tahoma"/>
            <family val="2"/>
          </rPr>
          <t>System Installation Cost in Cents/W</t>
        </r>
      </text>
    </comment>
    <comment ref="I23" authorId="0">
      <text>
        <r>
          <rPr>
            <b/>
            <sz val="9"/>
            <color indexed="81"/>
            <rFont val="Tahoma"/>
            <family val="2"/>
          </rPr>
          <t>Total System Cost.</t>
        </r>
      </text>
    </comment>
    <comment ref="J23" authorId="0">
      <text>
        <r>
          <rPr>
            <b/>
            <sz val="9"/>
            <color indexed="81"/>
            <rFont val="Tahoma"/>
            <family val="2"/>
          </rPr>
          <t>Total Cost Minus Rebates and depreciation.</t>
        </r>
      </text>
    </comment>
    <comment ref="A24" authorId="1">
      <text>
        <r>
          <rPr>
            <b/>
            <sz val="9"/>
            <color indexed="81"/>
            <rFont val="Tahoma"/>
            <family val="2"/>
          </rPr>
          <t>Actual Plan Distance between the low end Pedestal to either one of the high end ones. Influenced by distance between the High End Pedestals.</t>
        </r>
      </text>
    </comment>
    <comment ref="E24" authorId="0">
      <text>
        <r>
          <rPr>
            <b/>
            <sz val="9"/>
            <color indexed="81"/>
            <rFont val="Tahoma"/>
            <family val="2"/>
          </rPr>
          <t>Strait line depreciation.
20 year = 5%
5 year = 20%</t>
        </r>
      </text>
    </comment>
    <comment ref="F24" authorId="0">
      <text>
        <r>
          <rPr>
            <b/>
            <sz val="9"/>
            <color indexed="81"/>
            <rFont val="Tahoma"/>
            <family val="2"/>
          </rPr>
          <t>Personal Income Tax rate and other taxes.
There may be no Income taxes, I don't know yet.</t>
        </r>
      </text>
    </comment>
    <comment ref="G24" authorId="0">
      <text>
        <r>
          <rPr>
            <b/>
            <sz val="9"/>
            <color indexed="81"/>
            <rFont val="Tahoma"/>
            <family val="2"/>
          </rPr>
          <t>Interest.
Basically, the time valure of money.</t>
        </r>
      </text>
    </comment>
    <comment ref="H24" authorId="0">
      <text>
        <r>
          <rPr>
            <b/>
            <sz val="9"/>
            <color indexed="81"/>
            <rFont val="Tahoma"/>
            <family val="2"/>
          </rPr>
          <t>Rebates:
Federal 30%
Xcel 25%</t>
        </r>
      </text>
    </comment>
    <comment ref="I24" authorId="0">
      <text>
        <r>
          <rPr>
            <b/>
            <sz val="9"/>
            <color indexed="81"/>
            <rFont val="Tahoma"/>
            <family val="2"/>
          </rPr>
          <t>Total system cost less the Rebates.</t>
        </r>
      </text>
    </comment>
    <comment ref="J24" authorId="0">
      <text>
        <r>
          <rPr>
            <b/>
            <sz val="9"/>
            <color indexed="81"/>
            <rFont val="Tahoma"/>
            <family val="2"/>
          </rPr>
          <t>Payback Time 
Including Income Tax
and Interest.</t>
        </r>
      </text>
    </comment>
    <comment ref="A26" authorId="1">
      <text>
        <r>
          <rPr>
            <b/>
            <sz val="9"/>
            <color indexed="81"/>
            <rFont val="Tahoma"/>
            <family val="2"/>
          </rPr>
          <t>Length of the High End Supports.
Influenced by distance between the High End Pedestals.</t>
        </r>
      </text>
    </comment>
    <comment ref="E26" authorId="0">
      <text>
        <r>
          <rPr>
            <b/>
            <sz val="9"/>
            <color indexed="81"/>
            <rFont val="Tahoma"/>
            <family val="2"/>
          </rPr>
          <t>Utility Connection Cost, paper work, etc.</t>
        </r>
      </text>
    </comment>
    <comment ref="F26" authorId="0">
      <text>
        <r>
          <rPr>
            <b/>
            <sz val="9"/>
            <color indexed="81"/>
            <rFont val="Tahoma"/>
            <family val="2"/>
          </rPr>
          <t>Total Mount Cost.</t>
        </r>
        <r>
          <rPr>
            <sz val="9"/>
            <color indexed="81"/>
            <rFont val="Tahoma"/>
            <family val="2"/>
          </rPr>
          <t xml:space="preserve">
</t>
        </r>
      </text>
    </comment>
    <comment ref="G26" authorId="0">
      <text>
        <r>
          <rPr>
            <b/>
            <sz val="9"/>
            <color indexed="81"/>
            <rFont val="Tahoma"/>
            <family val="2"/>
          </rPr>
          <t>Electrical Cost including Inverters, cabling, and Power Panels.</t>
        </r>
      </text>
    </comment>
    <comment ref="H26" authorId="0">
      <text>
        <r>
          <rPr>
            <b/>
            <sz val="9"/>
            <color indexed="81"/>
            <rFont val="Tahoma"/>
            <family val="2"/>
          </rPr>
          <t>Total Panel Cost.</t>
        </r>
      </text>
    </comment>
    <comment ref="A28" authorId="1">
      <text>
        <r>
          <rPr>
            <b/>
            <sz val="9"/>
            <color indexed="81"/>
            <rFont val="Tahoma"/>
            <family val="2"/>
          </rPr>
          <t xml:space="preserve">To prevent hitting the Ground ,or Snow, Clearance is needed at the lowest corner of the panel array. </t>
        </r>
      </text>
    </comment>
    <comment ref="B29" authorId="1">
      <text>
        <r>
          <rPr>
            <b/>
            <sz val="9"/>
            <color indexed="81"/>
            <rFont val="Tahoma"/>
            <family val="2"/>
          </rPr>
          <t>Suggested added support height to obtain the minimum ground clearance.</t>
        </r>
      </text>
    </comment>
    <comment ref="C29" authorId="1">
      <text>
        <r>
          <rPr>
            <b/>
            <sz val="9"/>
            <color indexed="81"/>
            <rFont val="Tahoma"/>
            <family val="2"/>
          </rPr>
          <t>Pedistal Height.
Use suggested added support height to obtain the minimum ground clearance.</t>
        </r>
      </text>
    </comment>
    <comment ref="A30" authorId="1">
      <text>
        <r>
          <rPr>
            <b/>
            <sz val="9"/>
            <color indexed="81"/>
            <rFont val="Tahoma"/>
            <family val="2"/>
          </rPr>
          <t>The Length of the Hypotenuse of the triangles of the Declinator. I.e. the full length.</t>
        </r>
      </text>
    </comment>
    <comment ref="A31" authorId="1">
      <text>
        <r>
          <rPr>
            <b/>
            <sz val="9"/>
            <color indexed="81"/>
            <rFont val="Tahoma"/>
            <family val="2"/>
          </rPr>
          <t>Short leg of the Declinator triangle.</t>
        </r>
      </text>
    </comment>
    <comment ref="A32" authorId="0">
      <text>
        <r>
          <rPr>
            <b/>
            <sz val="9"/>
            <color indexed="81"/>
            <rFont val="Tahoma"/>
            <family val="2"/>
          </rPr>
          <t>The strait (Purple) lengths extending from the "Z" Declinator portion of the Panel Mounts.</t>
        </r>
      </text>
    </comment>
    <comment ref="B32" authorId="0">
      <text>
        <r>
          <rPr>
            <b/>
            <sz val="9"/>
            <color indexed="81"/>
            <rFont val="Tahoma"/>
            <family val="2"/>
          </rPr>
          <t>Adjust this length so the high end support misses the points of the panels.</t>
        </r>
      </text>
    </comment>
    <comment ref="C32" authorId="0">
      <text>
        <r>
          <rPr>
            <b/>
            <sz val="9"/>
            <color indexed="81"/>
            <rFont val="Tahoma"/>
            <family val="2"/>
          </rPr>
          <t>Adjust this length so the high end support misses the points of the panels.</t>
        </r>
      </text>
    </comment>
    <comment ref="A36" authorId="1">
      <text>
        <r>
          <rPr>
            <b/>
            <sz val="9"/>
            <color indexed="81"/>
            <rFont val="Tahoma"/>
            <family val="2"/>
          </rPr>
          <t>Angle is set through calculation. Then adjust "High End Extension Length" to minimize interference.</t>
        </r>
      </text>
    </comment>
    <comment ref="B36" authorId="0">
      <text>
        <r>
          <rPr>
            <b/>
            <sz val="9"/>
            <color indexed="81"/>
            <rFont val="Tahoma"/>
            <family val="2"/>
          </rPr>
          <t>Suggested support angle to prevent interference with the PV Panel Array based on the "High End Extension Length".</t>
        </r>
      </text>
    </comment>
    <comment ref="C36" authorId="0">
      <text>
        <r>
          <rPr>
            <b/>
            <sz val="9"/>
            <color indexed="81"/>
            <rFont val="Tahoma"/>
            <family val="2"/>
          </rPr>
          <t>Suggested support angle to prevent interference with the PV Panel Array based on the "High End Extension Length".</t>
        </r>
      </text>
    </comment>
    <comment ref="A37" authorId="1">
      <text>
        <r>
          <rPr>
            <b/>
            <sz val="9"/>
            <color indexed="81"/>
            <rFont val="Tahoma"/>
            <family val="2"/>
          </rPr>
          <t>The long leg of the Declinator Z shape about which the panels seasonally rotate.</t>
        </r>
      </text>
    </comment>
    <comment ref="A38" authorId="0">
      <text>
        <r>
          <rPr>
            <b/>
            <sz val="9"/>
            <color indexed="81"/>
            <rFont val="Tahoma"/>
            <family val="2"/>
          </rPr>
          <t>Panel array low end width.</t>
        </r>
      </text>
    </comment>
    <comment ref="A39" authorId="0">
      <text>
        <r>
          <rPr>
            <b/>
            <sz val="9"/>
            <color indexed="81"/>
            <rFont val="Tahoma"/>
            <family val="2"/>
          </rPr>
          <t>Panel array high end width.</t>
        </r>
      </text>
    </comment>
    <comment ref="A40" authorId="0">
      <text>
        <r>
          <rPr>
            <b/>
            <sz val="9"/>
            <color indexed="81"/>
            <rFont val="Tahoma"/>
            <family val="2"/>
          </rPr>
          <t>Note! Triangle Length and Angle Must be well coordinated with Panel High and Low Widths!</t>
        </r>
      </text>
    </comment>
    <comment ref="A41" authorId="0">
      <text>
        <r>
          <rPr>
            <b/>
            <sz val="9"/>
            <color indexed="81"/>
            <rFont val="Tahoma"/>
            <family val="2"/>
          </rPr>
          <t>Note! Triangle Length and Angle Must be well coordinated with Panel High and Low Widths!</t>
        </r>
      </text>
    </comment>
    <comment ref="A42" authorId="0">
      <text>
        <r>
          <rPr>
            <b/>
            <sz val="9"/>
            <color indexed="81"/>
            <rFont val="Tahoma"/>
            <family val="2"/>
          </rPr>
          <t>Number of Panels in a Series String.</t>
        </r>
      </text>
    </comment>
    <comment ref="A43" authorId="0">
      <text>
        <r>
          <rPr>
            <b/>
            <sz val="9"/>
            <color indexed="81"/>
            <rFont val="Tahoma"/>
            <family val="2"/>
          </rPr>
          <t>Number of Series Panel Strings in Parallel.</t>
        </r>
      </text>
    </comment>
    <comment ref="B47" authorId="0">
      <text>
        <r>
          <rPr>
            <b/>
            <sz val="9"/>
            <color indexed="81"/>
            <rFont val="Tahoma"/>
            <family val="2"/>
          </rPr>
          <t>Node A is where the Declinator meats the Main Axis near the Low End.</t>
        </r>
      </text>
    </comment>
    <comment ref="C47" authorId="0">
      <text>
        <r>
          <rPr>
            <b/>
            <sz val="9"/>
            <color indexed="81"/>
            <rFont val="Tahoma"/>
            <family val="2"/>
          </rPr>
          <t>Node B is where the Declinator meats the Main Axis near the High End.</t>
        </r>
      </text>
    </comment>
    <comment ref="A48" authorId="0">
      <text>
        <r>
          <rPr>
            <b/>
            <sz val="9"/>
            <color indexed="81"/>
            <rFont val="Tahoma"/>
            <family val="2"/>
          </rPr>
          <t>10 #/ft^2 = 90 MPH
15 #/ft^2 = 115 MPH</t>
        </r>
      </text>
    </comment>
    <comment ref="A50" authorId="0">
      <text>
        <r>
          <rPr>
            <b/>
            <sz val="9"/>
            <color indexed="81"/>
            <rFont val="Tahoma"/>
            <family val="2"/>
          </rPr>
          <t>Total strait line wind force plus weight of PV Panels.</t>
        </r>
      </text>
    </comment>
  </commentList>
</comments>
</file>

<file path=xl/comments2.xml><?xml version="1.0" encoding="utf-8"?>
<comments xmlns="http://schemas.openxmlformats.org/spreadsheetml/2006/main">
  <authors>
    <author>Red Rock Energy</author>
    <author>Shirley</author>
  </authors>
  <commentList>
    <comment ref="A1" authorId="0">
      <text>
        <r>
          <rPr>
            <b/>
            <sz val="9"/>
            <color indexed="81"/>
            <rFont val="Tahoma"/>
            <family val="2"/>
          </rPr>
          <t>This calculates and compares arrays of Tripod Tracking Mounts generally in the form of a Grid shown in the figure.
There are two basic worst case times of the year for shadowing:
1. At the Spring and Fall Equinoxes near Sunrise and Sunset the shadows are oriented East To West.
2. At Winter Solstice at Solar Noon shadowing is oriented South to North.
The main axis Rotation is usually Polar and rotates in Right ASCension.
The secondary axis is in DEClination.
Done with True DEClination using the Z-Bar mechanism or other mechanism.
Or with Pseudo DEClination by changing the main axis tilt.
Either way the calculation for shadowing is the same.
While I have strived to make the calculations accurate I'm not sure they are completely rigorous. If you find errors please email me suggestions to improve things. redrok@redrok.com
I apologize for those in the Southern hemisphere. Make believe you are in the north and the values will make more sense.</t>
        </r>
      </text>
    </comment>
    <comment ref="C3" authorId="0">
      <text>
        <r>
          <rPr>
            <b/>
            <sz val="9"/>
            <color indexed="81"/>
            <rFont val="Tahoma"/>
            <family val="2"/>
          </rPr>
          <t>Total Name Plate rating of generating system.</t>
        </r>
      </text>
    </comment>
    <comment ref="G3" authorId="0">
      <text>
        <r>
          <rPr>
            <b/>
            <sz val="9"/>
            <color indexed="81"/>
            <rFont val="Tahoma"/>
            <family val="2"/>
          </rPr>
          <t>Active Length of a Linear Actuator.</t>
        </r>
      </text>
    </comment>
    <comment ref="C4" authorId="1">
      <text>
        <r>
          <rPr>
            <b/>
            <sz val="9"/>
            <color indexed="81"/>
            <rFont val="Tahoma"/>
            <family val="2"/>
          </rPr>
          <t>Local Latitude where the tracking array is located.</t>
        </r>
      </text>
    </comment>
    <comment ref="B5" authorId="1">
      <text>
        <r>
          <rPr>
            <b/>
            <sz val="9"/>
            <color indexed="81"/>
            <rFont val="Tahoma"/>
            <family val="2"/>
          </rPr>
          <t>The angle the North Mount is tilted up from horizontal.</t>
        </r>
      </text>
    </comment>
    <comment ref="C5" authorId="0">
      <text>
        <r>
          <rPr>
            <b/>
            <sz val="9"/>
            <color indexed="81"/>
            <rFont val="Tahoma"/>
            <family val="2"/>
          </rPr>
          <t>Operating DEClination of the tracking array.</t>
        </r>
      </text>
    </comment>
    <comment ref="D5" authorId="1">
      <text>
        <r>
          <rPr>
            <b/>
            <sz val="9"/>
            <color indexed="81"/>
            <rFont val="Tahoma"/>
            <family val="2"/>
          </rPr>
          <t>Always 0 degrees for East/West oriented applications.
Yes, if the eastern end near sunrise is higher there will be losses due to shadow effects, however, near sunset there will be gains similar to the eastern losses.
The net gains and losses are canceled.
OK, if there are daily fog or cloud effects that are different then East/West grads may be useful, however this is outside the scope of these calculations.</t>
        </r>
      </text>
    </comment>
    <comment ref="G5" authorId="0">
      <text>
        <r>
          <rPr>
            <b/>
            <sz val="9"/>
            <color indexed="81"/>
            <rFont val="Tahoma"/>
            <family val="2"/>
          </rPr>
          <t>Distance from the Main Axis where the Linear Actuator is attached to cause it to rotate.
Make sure this is not longer than 1/2 the PanArrayWidthIn.</t>
        </r>
      </text>
    </comment>
    <comment ref="B6" authorId="0">
      <text>
        <r>
          <rPr>
            <b/>
            <sz val="9"/>
            <color indexed="81"/>
            <rFont val="Tahoma"/>
            <family val="2"/>
          </rPr>
          <t>Useful for Different Pier Heights.</t>
        </r>
      </text>
    </comment>
    <comment ref="C6" authorId="1">
      <text>
        <r>
          <rPr>
            <b/>
            <sz val="9"/>
            <color indexed="81"/>
            <rFont val="Tahoma"/>
            <family val="2"/>
          </rPr>
          <t>Useful for Different Pier Heights.</t>
        </r>
      </text>
    </comment>
    <comment ref="D6" authorId="0">
      <text>
        <r>
          <rPr>
            <b/>
            <sz val="9"/>
            <color indexed="81"/>
            <rFont val="Tahoma"/>
            <family val="2"/>
          </rPr>
          <t>Always 0 degrees for an East/West types.</t>
        </r>
      </text>
    </comment>
    <comment ref="B7" authorId="1">
      <text>
        <r>
          <rPr>
            <b/>
            <sz val="9"/>
            <color indexed="81"/>
            <rFont val="Tahoma"/>
            <family val="2"/>
          </rPr>
          <t>Solar ALTitude, where significant solar power is obtained, or a compromise to limit row spacing, is used to calculate row spacing at winter solstice.
A row spacing compromise may be done to allow more mounts and net greater total energy from other times of the year.  It may be advantageous in a large array to discount the low ALTitude power near the winter solstice.</t>
        </r>
      </text>
    </comment>
    <comment ref="D7" authorId="1">
      <text>
        <r>
          <rPr>
            <b/>
            <sz val="9"/>
            <color indexed="81"/>
            <rFont val="Tahoma"/>
            <family val="2"/>
          </rPr>
          <t>Solar ALTitude where significant power is obtained from the sun above the horizon in the East/West direction.</t>
        </r>
      </text>
    </comment>
    <comment ref="E7" authorId="0">
      <text>
        <r>
          <rPr>
            <b/>
            <sz val="9"/>
            <color indexed="81"/>
            <rFont val="Tahoma"/>
            <family val="2"/>
          </rPr>
          <t>Total rotation of the Main Axis.</t>
        </r>
      </text>
    </comment>
    <comment ref="G7" authorId="0">
      <text>
        <r>
          <rPr>
            <b/>
            <sz val="9"/>
            <color indexed="81"/>
            <rFont val="Tahoma"/>
            <family val="2"/>
          </rPr>
          <t>Rated Dead Load in Pounds of Force for a Linear Actuator to resist wind torque.
Note! Dead load ratings are so things don't break. It doesn't mean it can cause movement. Movement will start when the high wind loads go away.</t>
        </r>
      </text>
    </comment>
    <comment ref="H7" authorId="0">
      <text>
        <r>
          <rPr>
            <b/>
            <sz val="9"/>
            <color indexed="81"/>
            <rFont val="Tahoma"/>
            <family val="2"/>
          </rPr>
          <t>Rated Dead Load force in Newtons for a Linear Actuator to resist wind torque.
Note! Dead load ratings are so things don't break. It doesn't mean it can cause movement. Movement will start when the high wind loads go away.</t>
        </r>
      </text>
    </comment>
    <comment ref="B8" authorId="0">
      <text>
        <r>
          <rPr>
            <b/>
            <sz val="9"/>
            <color indexed="81"/>
            <rFont val="Tahoma"/>
            <family val="2"/>
          </rPr>
          <t>Total Width in the East/West Dimension of the High End of an array of panels on one mount at the top end In Feet.</t>
        </r>
      </text>
    </comment>
    <comment ref="C8" authorId="0">
      <text>
        <r>
          <rPr>
            <b/>
            <sz val="9"/>
            <color indexed="81"/>
            <rFont val="Tahoma"/>
            <family val="2"/>
          </rPr>
          <t>Total Width in the East/West Dimension of the Low End of an array of panels on one mount at the bottom end In Feet.</t>
        </r>
      </text>
    </comment>
    <comment ref="D8" authorId="1">
      <text>
        <r>
          <rPr>
            <b/>
            <sz val="9"/>
            <color indexed="81"/>
            <rFont val="Tahoma"/>
            <family val="2"/>
          </rPr>
          <t>Total Width in the East/West Dimension of an array of panels on one mount near the top end In Inches.</t>
        </r>
      </text>
    </comment>
    <comment ref="B9" authorId="1">
      <text>
        <r>
          <rPr>
            <b/>
            <sz val="9"/>
            <color indexed="81"/>
            <rFont val="Tahoma"/>
            <family val="2"/>
          </rPr>
          <t>Total Length in the North/South Dimension of an array of panels on one mount In Inches.</t>
        </r>
      </text>
    </comment>
    <comment ref="C9" authorId="0">
      <text>
        <r>
          <rPr>
            <b/>
            <sz val="9"/>
            <color indexed="81"/>
            <rFont val="Tahoma"/>
            <family val="2"/>
          </rPr>
          <t>Total Length in the North/South Dimension of an array of panels on one mount In Feet.</t>
        </r>
      </text>
    </comment>
    <comment ref="H9" authorId="0">
      <text>
        <r>
          <rPr>
            <b/>
            <sz val="9"/>
            <color indexed="81"/>
            <rFont val="Tahoma"/>
            <family val="2"/>
          </rPr>
          <t>Extra Motor Speed to catch up to the Sun.
Yes, you need to have the ability to move faster than the sun otherwise you will always playing catchup and never actually catch the sun.</t>
        </r>
      </text>
    </comment>
    <comment ref="B10" authorId="0">
      <text>
        <r>
          <rPr>
            <b/>
            <sz val="9"/>
            <color indexed="81"/>
            <rFont val="Tahoma"/>
            <family val="2"/>
          </rPr>
          <t>Field Dimension in the North/South dimension in Feet.
Note! This is the dimension of the panels. The mount may extend a bit further.</t>
        </r>
      </text>
    </comment>
    <comment ref="C10" authorId="0">
      <text>
        <r>
          <rPr>
            <b/>
            <sz val="9"/>
            <color indexed="81"/>
            <rFont val="Tahoma"/>
            <family val="2"/>
          </rPr>
          <t>Number of Mounts in the North/South Direction.</t>
        </r>
      </text>
    </comment>
    <comment ref="D10" authorId="0">
      <text>
        <r>
          <rPr>
            <b/>
            <sz val="9"/>
            <color indexed="81"/>
            <rFont val="Tahoma"/>
            <family val="2"/>
          </rPr>
          <t>Field Dimention in the East/West dimension in Feet.</t>
        </r>
      </text>
    </comment>
    <comment ref="E10" authorId="0">
      <text>
        <r>
          <rPr>
            <b/>
            <sz val="9"/>
            <color indexed="81"/>
            <rFont val="Tahoma"/>
            <family val="2"/>
          </rPr>
          <t>Number of Mounts in the East/West Direction.</t>
        </r>
      </text>
    </comment>
    <comment ref="B11" authorId="0">
      <text>
        <r>
          <rPr>
            <b/>
            <sz val="9"/>
            <color indexed="81"/>
            <rFont val="Tahoma"/>
            <family val="2"/>
          </rPr>
          <t>Maximum Tilt angle at Winter Solstice to obtaine full power near Solar Noon.</t>
        </r>
      </text>
    </comment>
    <comment ref="G11" authorId="0">
      <text>
        <r>
          <rPr>
            <b/>
            <sz val="9"/>
            <color indexed="81"/>
            <rFont val="Tahoma"/>
            <family val="2"/>
          </rPr>
          <t>Motor Speed.</t>
        </r>
      </text>
    </comment>
    <comment ref="H11" authorId="0">
      <text>
        <r>
          <rPr>
            <b/>
            <sz val="9"/>
            <color indexed="81"/>
            <rFont val="Tahoma"/>
            <family val="2"/>
          </rPr>
          <t>Extra Torque to overcome  Friction.</t>
        </r>
      </text>
    </comment>
    <comment ref="D12" authorId="0">
      <text>
        <r>
          <rPr>
            <b/>
            <sz val="9"/>
            <color indexed="81"/>
            <rFont val="Tahoma"/>
            <family val="2"/>
          </rPr>
          <t>Maximum Rotate angle at the Solstices to obtaine full power near Sunrise or Sunset.</t>
        </r>
      </text>
    </comment>
    <comment ref="B13" authorId="0">
      <text>
        <r>
          <rPr>
            <b/>
            <sz val="9"/>
            <color indexed="81"/>
            <rFont val="Tahoma"/>
            <family val="2"/>
          </rPr>
          <t>Center to Center spacing in the North/South direction in Inches.</t>
        </r>
      </text>
    </comment>
    <comment ref="C13" authorId="0">
      <text>
        <r>
          <rPr>
            <b/>
            <sz val="9"/>
            <color indexed="81"/>
            <rFont val="Tahoma"/>
            <family val="2"/>
          </rPr>
          <t>Center to Center spacing in the North/South direction in Feet.</t>
        </r>
      </text>
    </comment>
    <comment ref="D13" authorId="0">
      <text>
        <r>
          <rPr>
            <b/>
            <sz val="9"/>
            <color indexed="81"/>
            <rFont val="Tahoma"/>
            <family val="2"/>
          </rPr>
          <t>Center to Center spacing in the East/West direction in Inches.</t>
        </r>
      </text>
    </comment>
    <comment ref="E13" authorId="0">
      <text>
        <r>
          <rPr>
            <b/>
            <sz val="9"/>
            <color indexed="81"/>
            <rFont val="Tahoma"/>
            <family val="2"/>
          </rPr>
          <t>Center to Center spacing in the East/West direction in Feet.</t>
        </r>
      </text>
    </comment>
    <comment ref="H13" authorId="0">
      <text>
        <r>
          <rPr>
            <b/>
            <sz val="9"/>
            <color indexed="81"/>
            <rFont val="Tahoma"/>
            <family val="2"/>
          </rPr>
          <t>Diameter of  main Pulley or Gear attached to the Main Axis.</t>
        </r>
      </text>
    </comment>
    <comment ref="B14" authorId="0">
      <text>
        <r>
          <rPr>
            <b/>
            <sz val="9"/>
            <color indexed="81"/>
            <rFont val="Tahoma"/>
            <family val="2"/>
          </rPr>
          <t>Gap between mounts in the North/South direction at Winter Solstice at Solar Noon in Inches.</t>
        </r>
      </text>
    </comment>
    <comment ref="C14" authorId="0">
      <text>
        <r>
          <rPr>
            <b/>
            <sz val="9"/>
            <color indexed="81"/>
            <rFont val="Tahoma"/>
            <family val="2"/>
          </rPr>
          <t>Gap between mounts in the North/South direction in Feet.</t>
        </r>
      </text>
    </comment>
    <comment ref="D14" authorId="0">
      <text>
        <r>
          <rPr>
            <b/>
            <sz val="9"/>
            <color indexed="81"/>
            <rFont val="Tahoma"/>
            <family val="2"/>
          </rPr>
          <t>Gap between mounts in the East/West direction in Inches at Solar Noon.</t>
        </r>
      </text>
    </comment>
    <comment ref="E14" authorId="0">
      <text>
        <r>
          <rPr>
            <b/>
            <sz val="9"/>
            <color indexed="81"/>
            <rFont val="Tahoma"/>
            <family val="2"/>
          </rPr>
          <t>Gap between mounts in the East/West direction in Feet.</t>
        </r>
      </text>
    </comment>
    <comment ref="G15" authorId="0">
      <text>
        <r>
          <rPr>
            <b/>
            <sz val="9"/>
            <color indexed="81"/>
            <rFont val="Tahoma"/>
            <family val="2"/>
          </rPr>
          <t>Rated Dead Load force in Newtons for a Linear Actuator to resist wind torque.
Note! Dead load ratings are so things don't break. It doesn't mean it can cause movement. Movement will start when the high wind loads go away.</t>
        </r>
      </text>
    </comment>
    <comment ref="H15" authorId="0">
      <text>
        <r>
          <rPr>
            <b/>
            <sz val="9"/>
            <color indexed="81"/>
            <rFont val="Tahoma"/>
            <family val="2"/>
          </rPr>
          <t>Required Chain working force used with a pulley,
or
Periferal tooth force used with gears.</t>
        </r>
      </text>
    </comment>
    <comment ref="G17" authorId="0">
      <text>
        <r>
          <rPr>
            <b/>
            <sz val="9"/>
            <color indexed="81"/>
            <rFont val="Tahoma"/>
            <family val="2"/>
          </rPr>
          <t>Active Length of a Linear Actuator.</t>
        </r>
      </text>
    </comment>
  </commentList>
</comments>
</file>

<file path=xl/comments3.xml><?xml version="1.0" encoding="utf-8"?>
<comments xmlns="http://schemas.openxmlformats.org/spreadsheetml/2006/main">
  <authors>
    <author>Red Rock Energy</author>
  </authors>
  <commentList>
    <comment ref="J16" authorId="0">
      <text>
        <r>
          <rPr>
            <b/>
            <sz val="9"/>
            <color indexed="81"/>
            <rFont val="Tahoma"/>
            <family val="2"/>
          </rPr>
          <t>Start</t>
        </r>
      </text>
    </comment>
    <comment ref="J17" authorId="0">
      <text>
        <r>
          <rPr>
            <b/>
            <sz val="9"/>
            <color indexed="81"/>
            <rFont val="Tahoma"/>
            <family val="2"/>
          </rPr>
          <t>Width</t>
        </r>
      </text>
    </comment>
    <comment ref="J18" authorId="0">
      <text>
        <r>
          <rPr>
            <b/>
            <sz val="9"/>
            <color indexed="81"/>
            <rFont val="Tahoma"/>
            <family val="2"/>
          </rPr>
          <t>Stop</t>
        </r>
      </text>
    </comment>
    <comment ref="G33" authorId="0">
      <text>
        <r>
          <rPr>
            <b/>
            <sz val="9"/>
            <color indexed="81"/>
            <rFont val="Tahoma"/>
            <family val="2"/>
          </rPr>
          <t>+ = PV torque advantage.
- = Beam torque advantage.</t>
        </r>
      </text>
    </comment>
  </commentList>
</comments>
</file>

<file path=xl/comments4.xml><?xml version="1.0" encoding="utf-8"?>
<comments xmlns="http://schemas.openxmlformats.org/spreadsheetml/2006/main">
  <authors>
    <author>Red Rock Energy</author>
  </authors>
  <commentList>
    <comment ref="D2" authorId="0">
      <text>
        <r>
          <rPr>
            <b/>
            <sz val="9"/>
            <color indexed="81"/>
            <rFont val="Tahoma"/>
            <family val="2"/>
          </rPr>
          <t>X axis Red Main actuator pivit position.
Positive to the West, Negative to the East.</t>
        </r>
      </text>
    </comment>
    <comment ref="D3" authorId="0">
      <text>
        <r>
          <rPr>
            <b/>
            <sz val="9"/>
            <color indexed="81"/>
            <rFont val="Tahoma"/>
            <family val="2"/>
          </rPr>
          <t>Actuator Radial mounting point in the Y axis below the main axis.
Generally a negative  value meaning below or a positive value for above the central axis.</t>
        </r>
      </text>
    </comment>
    <comment ref="D4" authorId="0">
      <text>
        <r>
          <rPr>
            <b/>
            <sz val="9"/>
            <color indexed="81"/>
            <rFont val="Tahoma"/>
            <family val="2"/>
          </rPr>
          <t>X axis Green Main actuator pivit position.
Positive to the West, Negative to the East.</t>
        </r>
      </text>
    </comment>
    <comment ref="AD4" authorId="0">
      <text>
        <r>
          <rPr>
            <b/>
            <sz val="9"/>
            <color indexed="81"/>
            <rFont val="Tahoma"/>
            <family val="2"/>
          </rPr>
          <t>=1+DualActMin</t>
        </r>
      </text>
    </comment>
    <comment ref="D5" authorId="0">
      <text>
        <r>
          <rPr>
            <b/>
            <sz val="9"/>
            <color indexed="81"/>
            <rFont val="Tahoma"/>
            <family val="2"/>
          </rPr>
          <t>Actuator Radial mounting point in the Y axis below the main axis.
Generally a negative  value meaning below or a positive value for above the central axis.</t>
        </r>
      </text>
    </comment>
    <comment ref="D6" authorId="0">
      <text>
        <r>
          <rPr>
            <b/>
            <sz val="9"/>
            <color indexed="81"/>
            <rFont val="Tahoma"/>
            <family val="2"/>
          </rPr>
          <t>Maximum Actuator extension.</t>
        </r>
      </text>
    </comment>
    <comment ref="D7" authorId="0">
      <text>
        <r>
          <rPr>
            <b/>
            <sz val="9"/>
            <color indexed="81"/>
            <rFont val="Tahoma"/>
            <family val="2"/>
          </rPr>
          <t xml:space="preserve">Delta Actuator Movement corisponds to the name plate rating of the actuator movement. Commonly 24" but can be any length.
</t>
        </r>
      </text>
    </comment>
    <comment ref="D8" authorId="0">
      <text>
        <r>
          <rPr>
            <b/>
            <sz val="9"/>
            <color indexed="81"/>
            <rFont val="Tahoma"/>
            <family val="2"/>
          </rPr>
          <t>Minimum Actuator extension. Actually O but may also be part of the actuator body.</t>
        </r>
      </text>
    </comment>
    <comment ref="D10" authorId="0">
      <text>
        <r>
          <rPr>
            <b/>
            <sz val="9"/>
            <color indexed="81"/>
            <rFont val="Tahoma"/>
            <family val="2"/>
          </rPr>
          <t>Keep this at 1.
This is the basic unit for all calculations.
At present this is not properly linked with actual dimentional information so the graph gets all screwed up when not 1. Maybe in the future but it's low on the priority list right now.</t>
        </r>
      </text>
    </comment>
    <comment ref="D11" authorId="0">
      <text>
        <r>
          <rPr>
            <b/>
            <sz val="9"/>
            <color indexed="81"/>
            <rFont val="Tahoma"/>
            <family val="2"/>
          </rPr>
          <t>Rotation Starting angle.
Positive to the West.
Negative to the East.</t>
        </r>
      </text>
    </comment>
    <comment ref="D12" authorId="0">
      <text>
        <r>
          <rPr>
            <b/>
            <sz val="9"/>
            <color indexed="81"/>
            <rFont val="Tahoma"/>
            <family val="2"/>
          </rPr>
          <t>Rotation Stoping angle.
Positive to the West.
Negative to the East.</t>
        </r>
      </text>
    </comment>
    <comment ref="D14" authorId="0">
      <text>
        <r>
          <rPr>
            <b/>
            <sz val="9"/>
            <color indexed="81"/>
            <rFont val="Tahoma"/>
            <family val="2"/>
          </rPr>
          <t>Please leave this set to 50.
The problem is I, at present, don't know how to graph using a table of variable length. I know it kan be done, I just don't know how to do it yet.</t>
        </r>
      </text>
    </comment>
    <comment ref="D16" authorId="0">
      <text>
        <r>
          <rPr>
            <b/>
            <sz val="9"/>
            <color indexed="81"/>
            <rFont val="Tahoma"/>
            <family val="2"/>
          </rPr>
          <t>1=Calculate for the COSINE of the surface facing the wind.
0=Don't calculate.
(actually just not 1.)</t>
        </r>
      </text>
    </comment>
    <comment ref="D17" authorId="0">
      <text>
        <r>
          <rPr>
            <b/>
            <sz val="9"/>
            <color indexed="81"/>
            <rFont val="Tahoma"/>
            <family val="2"/>
          </rPr>
          <t>2=Calculate for 2 actuators about the central axis.
1=Calculate for 1 Actuator.
(actually just not 2.)</t>
        </r>
      </text>
    </comment>
    <comment ref="D18" authorId="0">
      <text>
        <r>
          <rPr>
            <b/>
            <sz val="9"/>
            <color indexed="81"/>
            <rFont val="Tahoma"/>
            <family val="2"/>
          </rPr>
          <t>Name Plate length rating of the actuator.</t>
        </r>
      </text>
    </comment>
    <comment ref="D27" authorId="0">
      <text>
        <r>
          <rPr>
            <b/>
            <sz val="9"/>
            <color indexed="81"/>
            <rFont val="Tahoma"/>
            <family val="2"/>
          </rPr>
          <t>Actuator attachment distance from the central rotating axis.</t>
        </r>
      </text>
    </comment>
    <comment ref="D28" authorId="0">
      <text>
        <r>
          <rPr>
            <b/>
            <sz val="9"/>
            <color indexed="81"/>
            <rFont val="Tahoma"/>
            <family val="2"/>
          </rPr>
          <t>Maximum dead force exerted on the actuator due to wind, if used, by the panel at the attachment point.</t>
        </r>
      </text>
    </comment>
  </commentList>
</comments>
</file>

<file path=xl/comments5.xml><?xml version="1.0" encoding="utf-8"?>
<comments xmlns="http://schemas.openxmlformats.org/spreadsheetml/2006/main">
  <authors>
    <author>Red Rock Energy</author>
  </authors>
  <commentList>
    <comment ref="D3" authorId="0">
      <text>
        <r>
          <rPr>
            <b/>
            <sz val="9"/>
            <color indexed="81"/>
            <rFont val="Tahoma"/>
            <family val="2"/>
          </rPr>
          <t>Name Plate rating of panel.</t>
        </r>
      </text>
    </comment>
    <comment ref="C23" authorId="0">
      <text>
        <r>
          <rPr>
            <b/>
            <sz val="9"/>
            <color indexed="81"/>
            <rFont val="Tahoma"/>
            <family val="2"/>
          </rPr>
          <t>This is the panel the North Star Project is using.</t>
        </r>
      </text>
    </comment>
    <comment ref="A31" authorId="0">
      <text>
        <r>
          <rPr>
            <b/>
            <sz val="9"/>
            <color indexed="81"/>
            <rFont val="Tahoma"/>
            <family val="2"/>
          </rPr>
          <t>(218) 789-1710</t>
        </r>
      </text>
    </comment>
    <comment ref="D40" authorId="0">
      <text>
        <r>
          <rPr>
            <b/>
            <sz val="9"/>
            <color indexed="81"/>
            <rFont val="Tahoma"/>
            <family val="2"/>
          </rPr>
          <t>The Bolt Spacing in Feet.</t>
        </r>
      </text>
    </comment>
    <comment ref="C42" authorId="0">
      <text>
        <r>
          <rPr>
            <b/>
            <sz val="9"/>
            <color indexed="81"/>
            <rFont val="Tahoma"/>
            <family val="2"/>
          </rPr>
          <t>Total Name Plate rating of generating system.</t>
        </r>
      </text>
    </comment>
    <comment ref="C59" authorId="0">
      <text>
        <r>
          <rPr>
            <b/>
            <sz val="9"/>
            <color indexed="81"/>
            <rFont val="Tahoma"/>
            <family val="2"/>
          </rPr>
          <t>The wattage value is calculated using a standard efficiency of 15%.</t>
        </r>
      </text>
    </comment>
    <comment ref="C60" authorId="0">
      <text>
        <r>
          <rPr>
            <b/>
            <sz val="9"/>
            <color indexed="81"/>
            <rFont val="Tahoma"/>
            <family val="2"/>
          </rPr>
          <t>Use tha Voltage of a selected PV Panel.</t>
        </r>
      </text>
    </comment>
    <comment ref="C61" authorId="0">
      <text>
        <r>
          <rPr>
            <b/>
            <sz val="9"/>
            <color indexed="81"/>
            <rFont val="Tahoma"/>
            <family val="2"/>
          </rPr>
          <t>Use tha Voltage of a selected PV Panel.</t>
        </r>
      </text>
    </comment>
    <comment ref="C62" authorId="0">
      <text>
        <r>
          <rPr>
            <b/>
            <sz val="9"/>
            <color indexed="81"/>
            <rFont val="Tahoma"/>
            <family val="2"/>
          </rPr>
          <t>Calculated current reslted form the calculated power.</t>
        </r>
      </text>
    </comment>
    <comment ref="C63" authorId="0">
      <text>
        <r>
          <rPr>
            <b/>
            <sz val="9"/>
            <color indexed="81"/>
            <rFont val="Tahoma"/>
            <family val="2"/>
          </rPr>
          <t>Calculated current reslted form the calculated power.</t>
        </r>
      </text>
    </comment>
  </commentList>
</comments>
</file>

<file path=xl/comments6.xml><?xml version="1.0" encoding="utf-8"?>
<comments xmlns="http://schemas.openxmlformats.org/spreadsheetml/2006/main">
  <authors>
    <author>Red Rock Energy</author>
  </authors>
  <commentList>
    <comment ref="C18" authorId="0">
      <text>
        <r>
          <rPr>
            <b/>
            <sz val="9"/>
            <color indexed="81"/>
            <rFont val="Tahoma"/>
            <family val="2"/>
          </rPr>
          <t>The modulus of elasticity (also known as the elastic modulus, the tensile modulus, or Young's modulus) is a number that measures an object or substance's resistance to being deformed elastically (i.e., non-permanently) when a force is applied to it.
E in Force / Area or #/in²</t>
        </r>
      </text>
    </comment>
    <comment ref="C20" authorId="0">
      <text>
        <r>
          <rPr>
            <b/>
            <sz val="9"/>
            <color indexed="81"/>
            <rFont val="Tahoma"/>
            <family val="2"/>
          </rPr>
          <t>29.5</t>
        </r>
      </text>
    </comment>
    <comment ref="L24" authorId="0">
      <text>
        <r>
          <rPr>
            <b/>
            <sz val="9"/>
            <color indexed="81"/>
            <rFont val="Tahoma"/>
            <family val="2"/>
          </rPr>
          <t xml:space="preserve">Max Moment Factor for several loading types:
9/128 Distributed Load Fixed at one end Float on other.
-1/12  Distributed Load Fixed at both ends.
1/8      Distributed Load Float at both ends.
</t>
        </r>
      </text>
    </comment>
    <comment ref="F26" authorId="0">
      <text>
        <r>
          <rPr>
            <b/>
            <sz val="9"/>
            <color indexed="81"/>
            <rFont val="Tahoma"/>
            <family val="2"/>
          </rPr>
          <t>Total Loading including the weight of the beam and wind loading.</t>
        </r>
      </text>
    </comment>
    <comment ref="G26" authorId="0">
      <text>
        <r>
          <rPr>
            <b/>
            <sz val="9"/>
            <color indexed="81"/>
            <rFont val="Tahoma"/>
            <family val="2"/>
          </rPr>
          <t>Total length of the Beam including the extensions and offset length.</t>
        </r>
      </text>
    </comment>
    <comment ref="K26" authorId="0">
      <text>
        <r>
          <rPr>
            <b/>
            <sz val="9"/>
            <color indexed="81"/>
            <rFont val="Tahoma"/>
            <family val="2"/>
          </rPr>
          <t>Moment of Inertia.
Second Moment of Area.
The second moment of area, also known as moment of inertia of plane area, area moment of inertia, or second area moment, is a geometrical property of an area which reflects how its points are distributed with regard to an arbitrary axis. The second moment of area is typically denoted with I for an axis that lies in the plane.
Basically Width times Heigth³
I in length to the 4th power or in⁴</t>
        </r>
      </text>
    </comment>
    <comment ref="M26" authorId="0">
      <text>
        <r>
          <rPr>
            <b/>
            <sz val="9"/>
            <color indexed="81"/>
            <rFont val="Tahoma"/>
            <family val="2"/>
          </rPr>
          <t>Required Section Modulus is a geometric property for a given cross-section used in the design of beams or flexural members.
Basiclly Width * Heigth² from the neutral axis.
S, Wel = Elastic or in³
Z, Wpl = Plastic or in³</t>
        </r>
      </text>
    </comment>
    <comment ref="O26" authorId="0">
      <text>
        <r>
          <rPr>
            <b/>
            <sz val="9"/>
            <color indexed="81"/>
            <rFont val="Tahoma"/>
            <family val="2"/>
          </rPr>
          <t>Actual Section Modulus:
 is a geometric property for a given cross-section used in the design of beams or flexural members.
Basiclly Width * Heigth² from the neutral axis.
I/c with c = distance from neutral axis or usually 1/2 the height.
S, Wel = Elastic or in³
Z, Wpl = Plastic or in³</t>
        </r>
      </text>
    </comment>
    <comment ref="P26" authorId="0">
      <text>
        <r>
          <rPr>
            <b/>
            <sz val="9"/>
            <color indexed="81"/>
            <rFont val="Tahoma"/>
            <family val="2"/>
          </rPr>
          <t>Note! This Maximum Deflection is based on the total weight of the beam Plus the Wind Load concentrated on the Center of the Main Axis. This is quite concervative as the actual loads would be distributed along the length.
The Beam is Floating on each end.</t>
        </r>
      </text>
    </comment>
    <comment ref="Q26" authorId="0">
      <text>
        <r>
          <rPr>
            <b/>
            <sz val="9"/>
            <color indexed="81"/>
            <rFont val="Tahoma"/>
            <family val="2"/>
          </rPr>
          <t>Note! This Maximum Deflection is based on the total weight of the beam Plus the Wind Load Uniformly Didtributed along the Main Axis. 
The Beam is Floating on each end.</t>
        </r>
      </text>
    </comment>
    <comment ref="R26" authorId="0">
      <text>
        <r>
          <rPr>
            <b/>
            <sz val="9"/>
            <color indexed="81"/>
            <rFont val="Tahoma"/>
            <family val="2"/>
          </rPr>
          <t>Note! This Maximum Deflection is based on the total weight of the beam Plus the Wind Load concentrated on the Center of the Main Axis. This is quite concervative as the actual loads would be distributed along the length.
The Beam is Floating on one end and held rigidly at the other end.</t>
        </r>
      </text>
    </comment>
    <comment ref="S26" authorId="0">
      <text>
        <r>
          <rPr>
            <b/>
            <sz val="9"/>
            <color indexed="81"/>
            <rFont val="Tahoma"/>
            <family val="2"/>
          </rPr>
          <t>Note! This Maximum Deflection is based on the total weight of the beam Plus the Wind Load Uniformly Didtributed along the Main Axis. 
The Beam is Floating on one end and held rigidly at the other end.</t>
        </r>
      </text>
    </comment>
    <comment ref="T26" authorId="0">
      <text>
        <r>
          <rPr>
            <b/>
            <sz val="9"/>
            <color indexed="81"/>
            <rFont val="Tahoma"/>
            <family val="2"/>
          </rPr>
          <t>Note! This Maximum Deflection is based on the total weight of the beam Plus the Wind Load concentrated on the Center of the Main Axis. This is quite concervative as the actual loads would be distributed along the length.
The Beam is Held Rigidly at both ends.</t>
        </r>
      </text>
    </comment>
    <comment ref="U26" authorId="0">
      <text>
        <r>
          <rPr>
            <b/>
            <sz val="9"/>
            <color indexed="81"/>
            <rFont val="Tahoma"/>
            <family val="2"/>
          </rPr>
          <t>Note! This Maximum Deflection is based on the total weight of the beam Plus the Wind Load Uniformly Didtributed along the Main Axis. 
The Beam is Held Rigidly at Both Ends.</t>
        </r>
      </text>
    </comment>
    <comment ref="B29" authorId="0">
      <text>
        <r>
          <rPr>
            <b/>
            <sz val="9"/>
            <color indexed="81"/>
            <rFont val="Tahoma"/>
            <family val="2"/>
          </rPr>
          <t>Round Tubing.</t>
        </r>
      </text>
    </comment>
    <comment ref="B30" authorId="0">
      <text>
        <r>
          <rPr>
            <b/>
            <sz val="9"/>
            <color indexed="81"/>
            <rFont val="Tahoma"/>
            <family val="2"/>
          </rPr>
          <t>Round Tubing.</t>
        </r>
      </text>
    </comment>
    <comment ref="B34" authorId="0">
      <text>
        <r>
          <rPr>
            <b/>
            <sz val="9"/>
            <color indexed="81"/>
            <rFont val="Tahoma"/>
            <family val="2"/>
          </rPr>
          <t>Round Tubing.</t>
        </r>
      </text>
    </comment>
    <comment ref="B45" authorId="0">
      <text>
        <r>
          <rPr>
            <b/>
            <sz val="9"/>
            <color indexed="81"/>
            <rFont val="Tahoma"/>
            <family val="2"/>
          </rPr>
          <t>This is built up from 4 2x8s.</t>
        </r>
      </text>
    </comment>
    <comment ref="B46" authorId="0">
      <text>
        <r>
          <rPr>
            <b/>
            <sz val="9"/>
            <color indexed="81"/>
            <rFont val="Tahoma"/>
            <family val="2"/>
          </rPr>
          <t>This is built up from 2 2x8s and 2 2x6s.</t>
        </r>
      </text>
    </comment>
    <comment ref="D56" authorId="0">
      <text>
        <r>
          <rPr>
            <b/>
            <sz val="9"/>
            <color indexed="81"/>
            <rFont val="Tahoma"/>
            <family val="2"/>
          </rPr>
          <t>This is the local frost line. However, I want to use the next value of a bit further north.</t>
        </r>
      </text>
    </comment>
    <comment ref="L56" authorId="0">
      <text>
        <r>
          <rPr>
            <b/>
            <sz val="9"/>
            <color indexed="81"/>
            <rFont val="Tahoma"/>
            <family val="2"/>
          </rPr>
          <t xml:space="preserve">Max Moment Factor for several loading types:
-1         Point Load Cantilever.
</t>
        </r>
      </text>
    </comment>
    <comment ref="N56" authorId="0">
      <text>
        <r>
          <rPr>
            <b/>
            <sz val="9"/>
            <color indexed="81"/>
            <rFont val="Tahoma"/>
            <family val="2"/>
          </rPr>
          <t>Number of simple beams for the pier.
Most likely 2 but 1 or more could be used.
These beal stresses are simply additiv.</t>
        </r>
      </text>
    </comment>
    <comment ref="F58" authorId="0">
      <text>
        <r>
          <rPr>
            <b/>
            <sz val="9"/>
            <color indexed="81"/>
            <rFont val="Tahoma"/>
            <family val="2"/>
          </rPr>
          <t>Horizontal WindLoading.</t>
        </r>
      </text>
    </comment>
    <comment ref="G58" authorId="0">
      <text>
        <r>
          <rPr>
            <b/>
            <sz val="9"/>
            <color indexed="81"/>
            <rFont val="Tahoma"/>
            <family val="2"/>
          </rPr>
          <t>Total length of the Beam including the extensions and offset length.</t>
        </r>
      </text>
    </comment>
    <comment ref="K58" authorId="0">
      <text>
        <r>
          <rPr>
            <b/>
            <sz val="9"/>
            <color indexed="81"/>
            <rFont val="Tahoma"/>
            <family val="2"/>
          </rPr>
          <t>Moment of Inertia.
Second Moment of Area.
The second moment of area, also known as moment of inertia of plane area, area moment of inertia, or second area moment, is a geometrical property of an area which reflects how its points are distributed with regard to an arbitrary axis. The second moment of area is typically denoted with I for an axis that lies in the plane.
Basically Width times Heigth³
I in length to the 4th power or in⁴</t>
        </r>
      </text>
    </comment>
    <comment ref="M58" authorId="0">
      <text>
        <r>
          <rPr>
            <b/>
            <sz val="9"/>
            <color indexed="81"/>
            <rFont val="Tahoma"/>
            <family val="2"/>
          </rPr>
          <t>Required Section Modulus is a geometric property for a given cross-section used in the design of beams or flexural members.
Basiclly Width * Heigth² from the neutral axis.
S, Wel = Elastic or in³
Z, Wpl = Plastic or in³</t>
        </r>
      </text>
    </comment>
    <comment ref="O58" authorId="0">
      <text>
        <r>
          <rPr>
            <b/>
            <sz val="9"/>
            <color indexed="81"/>
            <rFont val="Tahoma"/>
            <family val="2"/>
          </rPr>
          <t>Actual Section Modulus:
 is a geometric property for a given cross-section used in the design of beams or flexural members.
Basiclly Width * Heigth² from the neutral axis.
I/c with c = distance from neutral axis or usually 1/2 the height.
S, Wel = Elastic or in³
Z, Wpl = Plastic or in³</t>
        </r>
      </text>
    </comment>
    <comment ref="P58" authorId="0">
      <text>
        <r>
          <rPr>
            <b/>
            <sz val="9"/>
            <color indexed="81"/>
            <rFont val="Tahoma"/>
            <family val="2"/>
          </rPr>
          <t>Note! This Maximum Deflection is based the Wind Load concentrated on the End of the Cantilevered beam. 
The Beam is Fixed on one end and Floating on the other end.</t>
        </r>
      </text>
    </comment>
    <comment ref="K62" authorId="0">
      <text>
        <r>
          <rPr>
            <b/>
            <sz val="9"/>
            <color indexed="81"/>
            <rFont val="Tahoma"/>
            <family val="2"/>
          </rPr>
          <t>From a table.</t>
        </r>
      </text>
    </comment>
    <comment ref="B65" authorId="0">
      <text>
        <r>
          <rPr>
            <b/>
            <sz val="9"/>
            <color indexed="81"/>
            <rFont val="Tahoma"/>
            <family val="2"/>
          </rPr>
          <t>Round Tubing.</t>
        </r>
      </text>
    </comment>
    <comment ref="B67" authorId="0">
      <text>
        <r>
          <rPr>
            <b/>
            <sz val="9"/>
            <color indexed="81"/>
            <rFont val="Tahoma"/>
            <family val="2"/>
          </rPr>
          <t>This is built up from 4 2x8s.</t>
        </r>
      </text>
    </comment>
    <comment ref="B68" authorId="0">
      <text>
        <r>
          <rPr>
            <b/>
            <sz val="9"/>
            <color indexed="81"/>
            <rFont val="Tahoma"/>
            <family val="2"/>
          </rPr>
          <t>This is built up from 2 2x8s and 2 2x6s.</t>
        </r>
      </text>
    </comment>
    <comment ref="B70" authorId="0">
      <text>
        <r>
          <rPr>
            <b/>
            <sz val="9"/>
            <color indexed="81"/>
            <rFont val="Tahoma"/>
            <family val="2"/>
          </rPr>
          <t>This is built up from 2 2x8s and 2 2x4s.</t>
        </r>
      </text>
    </comment>
    <comment ref="F84" authorId="0">
      <text>
        <r>
          <rPr>
            <b/>
            <sz val="9"/>
            <color indexed="81"/>
            <rFont val="Tahoma"/>
            <family val="2"/>
          </rPr>
          <t>Horizontal WindLoading.</t>
        </r>
      </text>
    </comment>
    <comment ref="G84" authorId="0">
      <text>
        <r>
          <rPr>
            <b/>
            <sz val="9"/>
            <color indexed="81"/>
            <rFont val="Tahoma"/>
            <family val="2"/>
          </rPr>
          <t>Total length of the Beam including the extensions and offset length.</t>
        </r>
      </text>
    </comment>
    <comment ref="K84" authorId="0">
      <text>
        <r>
          <rPr>
            <b/>
            <sz val="9"/>
            <color indexed="81"/>
            <rFont val="Tahoma"/>
            <family val="2"/>
          </rPr>
          <t>Moment of Inertia.
Second Moment of Area.
The second moment of area, also known as moment of inertia of plane area, area moment of inertia, or second area moment, is a geometrical property of an area which reflects how its points are distributed with regard to an arbitrary axis. The second moment of area is typically denoted with I for an axis that lies in the plane.
Basically Width times Heigth³
I in length to the 4th power or in⁴</t>
        </r>
      </text>
    </comment>
    <comment ref="M84" authorId="0">
      <text>
        <r>
          <rPr>
            <b/>
            <sz val="9"/>
            <color indexed="81"/>
            <rFont val="Tahoma"/>
            <family val="2"/>
          </rPr>
          <t>Required Section Modulus is a geometric property for a given cross-section used in the design of beams or flexural members.
Basiclly Width * Heigth² from the neutral axis.
S, Wel = Elastic or in³
Z, Wpl = Plastic or in³</t>
        </r>
      </text>
    </comment>
    <comment ref="O84" authorId="0">
      <text>
        <r>
          <rPr>
            <b/>
            <sz val="9"/>
            <color indexed="81"/>
            <rFont val="Tahoma"/>
            <family val="2"/>
          </rPr>
          <t>Actual Section Modulus:
 is a geometric property for a given cross-section used in the design of beams or flexural members.
Basiclly Width * Heigth² from the neutral axis.
I/c with c = distance from neutral axis or usually 1/2 the height.
S, Wel = Elastic or in³
Z, Wpl = Plastic or in³</t>
        </r>
      </text>
    </comment>
    <comment ref="P84" authorId="0">
      <text>
        <r>
          <rPr>
            <b/>
            <sz val="9"/>
            <color indexed="81"/>
            <rFont val="Tahoma"/>
            <family val="2"/>
          </rPr>
          <t>Note! This Maximum Deflection is based on the total weight of the beam Plus the Wind Load concentrated on the Center of the Main Axis. This is quite concervative as the actual loads would be distributed along the length.
The Beam is Floating on each end.</t>
        </r>
      </text>
    </comment>
    <comment ref="B85" authorId="0">
      <text>
        <r>
          <rPr>
            <b/>
            <sz val="9"/>
            <color indexed="81"/>
            <rFont val="Tahoma"/>
            <family val="2"/>
          </rPr>
          <t>Point Load Cantelevered.</t>
        </r>
      </text>
    </comment>
  </commentList>
</comments>
</file>

<file path=xl/comments7.xml><?xml version="1.0" encoding="utf-8"?>
<comments xmlns="http://schemas.openxmlformats.org/spreadsheetml/2006/main">
  <authors>
    <author>Red Rock Energy</author>
  </authors>
  <commentList>
    <comment ref="C1" authorId="0">
      <text>
        <r>
          <rPr>
            <b/>
            <sz val="9"/>
            <color indexed="81"/>
            <rFont val="Tahoma"/>
            <family val="2"/>
          </rPr>
          <t>Based on:
Open Circuit Voltage and Short Circuit Current.</t>
        </r>
      </text>
    </comment>
    <comment ref="A40" authorId="0">
      <text>
        <r>
          <rPr>
            <b/>
            <sz val="9"/>
            <color indexed="81"/>
            <rFont val="Tahoma"/>
            <family val="2"/>
          </rPr>
          <t>Wiring,
breakers panels,
housings,
Power company connections,</t>
        </r>
      </text>
    </comment>
  </commentList>
</comments>
</file>

<file path=xl/comments8.xml><?xml version="1.0" encoding="utf-8"?>
<comments xmlns="http://schemas.openxmlformats.org/spreadsheetml/2006/main">
  <authors>
    <author>Red Rock Energy</author>
  </authors>
  <commentList>
    <comment ref="K5" authorId="0">
      <text>
        <r>
          <rPr>
            <b/>
            <sz val="9"/>
            <color indexed="81"/>
            <rFont val="Tahoma"/>
            <family val="2"/>
          </rPr>
          <t>Make sure this formuls points at the last datapoint in the list.</t>
        </r>
      </text>
    </comment>
    <comment ref="B6" authorId="0">
      <text>
        <r>
          <rPr>
            <b/>
            <sz val="9"/>
            <color indexed="81"/>
            <rFont val="Tahoma"/>
            <family val="2"/>
          </rPr>
          <t>Distance from the Main Axis where the Linear Actuator is attached to cause it to rotate.</t>
        </r>
      </text>
    </comment>
  </commentList>
</comments>
</file>

<file path=xl/connections.xml><?xml version="1.0" encoding="utf-8"?>
<connections xmlns="http://schemas.openxmlformats.org/spreadsheetml/2006/main">
  <connection id="1" name="TripodCalcs" type="6" refreshedVersion="3" background="1" saveData="1">
    <textPr codePage="437" sourceFile="C:\Download\redrok\TripodCalcs.txt" tab="0" comma="1">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<sst xmlns="http://schemas.openxmlformats.org/spreadsheetml/2006/main" count="1791" uniqueCount="714">
  <si>
    <t>Panel Width Low End</t>
  </si>
  <si>
    <t>Minimum Ground Clearance</t>
  </si>
  <si>
    <t>Panel Width High End</t>
  </si>
  <si>
    <t>Tripod Solar Tracking Mount With a Z Shaped Declinator.</t>
  </si>
  <si>
    <t>http://www.redrok.com/electron.htm#tripod</t>
  </si>
  <si>
    <t>Note! These calculations ignore such things as Material Dimensions and Clearances, essentially a stick figure.</t>
  </si>
  <si>
    <t>Origin</t>
  </si>
  <si>
    <t>Ground</t>
  </si>
  <si>
    <t>Panel Length (between A and B)</t>
  </si>
  <si>
    <t>X</t>
  </si>
  <si>
    <t>Y</t>
  </si>
  <si>
    <t>http://www.redrok.com/TripodCalcs.xlsx</t>
  </si>
  <si>
    <t>mm</t>
  </si>
  <si>
    <t>in</t>
  </si>
  <si>
    <t>ft</t>
  </si>
  <si>
    <t>W</t>
  </si>
  <si>
    <t>$</t>
  </si>
  <si>
    <t>Conergy PE 240P-260P</t>
  </si>
  <si>
    <t>SunWorld SW 245-250-255 POLY</t>
  </si>
  <si>
    <t xml:space="preserve">Q-Cell Q-QPRO260P </t>
  </si>
  <si>
    <t>QPRO260P</t>
  </si>
  <si>
    <t>Sunmodule Plus mono black</t>
  </si>
  <si>
    <t>$/W</t>
  </si>
  <si>
    <t>MrSOLAR</t>
  </si>
  <si>
    <t>Length</t>
  </si>
  <si>
    <t>Width</t>
  </si>
  <si>
    <t>Thickness</t>
  </si>
  <si>
    <t>CSUN</t>
  </si>
  <si>
    <t>CSUN 265 60M</t>
  </si>
  <si>
    <t>Dmsolar</t>
  </si>
  <si>
    <t>HiS-S270RG</t>
  </si>
  <si>
    <t>Solar Fennel 285W</t>
  </si>
  <si>
    <t>PS7A-285</t>
  </si>
  <si>
    <t>Straight Line Wind Force (Foot Units)</t>
  </si>
  <si>
    <t>Price Survey</t>
  </si>
  <si>
    <t>Cells</t>
  </si>
  <si>
    <t>Vmp</t>
  </si>
  <si>
    <t>Voc</t>
  </si>
  <si>
    <t>PE255P</t>
  </si>
  <si>
    <t>SW255M</t>
  </si>
  <si>
    <t>SW250P</t>
  </si>
  <si>
    <t xml:space="preserve"> </t>
  </si>
  <si>
    <t>Power</t>
  </si>
  <si>
    <t>Imp</t>
  </si>
  <si>
    <t>Isc</t>
  </si>
  <si>
    <t>&lt;</t>
  </si>
  <si>
    <t>V</t>
  </si>
  <si>
    <t>Center of Declinator</t>
  </si>
  <si>
    <t>High End &gt;</t>
  </si>
  <si>
    <t>&gt; Extra non displayed Calculations</t>
  </si>
  <si>
    <t>Support Length High End</t>
  </si>
  <si>
    <t>Panel Area</t>
  </si>
  <si>
    <t>Wind Load</t>
  </si>
  <si>
    <t>Centroid</t>
  </si>
  <si>
    <t>Torque Centroid</t>
  </si>
  <si>
    <t>Local Latitude (Main Axis Angle)</t>
  </si>
  <si>
    <t>Panel Array Length</t>
  </si>
  <si>
    <t>Wind Centroid</t>
  </si>
  <si>
    <t>Wind Torque Centroid</t>
  </si>
  <si>
    <t>Max</t>
  </si>
  <si>
    <t>Wind Torque</t>
  </si>
  <si>
    <t>Eff %</t>
  </si>
  <si>
    <t>-</t>
  </si>
  <si>
    <t>DM158M-2PK</t>
  </si>
  <si>
    <t>Hyundai Monocrystalline</t>
  </si>
  <si>
    <t>Main Axis Length including Declinator</t>
  </si>
  <si>
    <t>JA-SUNPOWER</t>
  </si>
  <si>
    <t>120M125</t>
  </si>
  <si>
    <t>JA Energy</t>
  </si>
  <si>
    <t>Series Connection</t>
  </si>
  <si>
    <t>Parallel Connection</t>
  </si>
  <si>
    <t>NAE120L5 a-Si</t>
  </si>
  <si>
    <t>Sharp Thin Film</t>
  </si>
  <si>
    <t>Sun Electric</t>
  </si>
  <si>
    <t>http://sunelec.com/datasheet-library/download/sharp/SHARP-NAE120L5%20a-Si.pdf</t>
  </si>
  <si>
    <t>JA-P250</t>
  </si>
  <si>
    <t>&gt; Node A and B Heights</t>
  </si>
  <si>
    <t>Series Connections</t>
  </si>
  <si>
    <t>Parallel Connections</t>
  </si>
  <si>
    <t>North/South</t>
  </si>
  <si>
    <t>East/West</t>
  </si>
  <si>
    <t xml:space="preserve">Local Latitude </t>
  </si>
  <si>
    <t>Wind Centroid ????</t>
  </si>
  <si>
    <t>Wind Torque Centroid ????</t>
  </si>
  <si>
    <t>#</t>
  </si>
  <si>
    <t>m</t>
  </si>
  <si>
    <t>Strength of Materials Beam</t>
  </si>
  <si>
    <t>DEClination Adjustment Four Times Per Year.</t>
  </si>
  <si>
    <t xml:space="preserve">            </t>
  </si>
  <si>
    <t>Or, For a Small Improvement Over 4 Times per Year Do It 6 Times per Year.</t>
  </si>
  <si>
    <t>Half Months</t>
  </si>
  <si>
    <t>December, 21</t>
  </si>
  <si>
    <t>January, 6</t>
  </si>
  <si>
    <t>January, 21</t>
  </si>
  <si>
    <t>February, 6</t>
  </si>
  <si>
    <t>February, 21</t>
  </si>
  <si>
    <t>March, 6</t>
  </si>
  <si>
    <t>March, 21</t>
  </si>
  <si>
    <t>April, 6</t>
  </si>
  <si>
    <t>April, 21</t>
  </si>
  <si>
    <t>May, 6</t>
  </si>
  <si>
    <t>May, 21</t>
  </si>
  <si>
    <t>June, 6</t>
  </si>
  <si>
    <t>June, 21</t>
  </si>
  <si>
    <t>July, 6</t>
  </si>
  <si>
    <t>July, 21</t>
  </si>
  <si>
    <t>August, 6</t>
  </si>
  <si>
    <t>August, 21</t>
  </si>
  <si>
    <t>September, 6</t>
  </si>
  <si>
    <t>September, 21</t>
  </si>
  <si>
    <t>October, 6</t>
  </si>
  <si>
    <t>October, 21</t>
  </si>
  <si>
    <t>November, 6</t>
  </si>
  <si>
    <t>November, 21</t>
  </si>
  <si>
    <t>December, 6</t>
  </si>
  <si>
    <t>Sopromat</t>
  </si>
  <si>
    <t>Low End of Declinator A</t>
  </si>
  <si>
    <t>High End of Declinator B</t>
  </si>
  <si>
    <t>Footings</t>
  </si>
  <si>
    <t>PVP 35KW</t>
  </si>
  <si>
    <t>Solar Electric Supply</t>
  </si>
  <si>
    <t>Free Clean Solar</t>
  </si>
  <si>
    <t>Sunny Tower ST42 42kW</t>
  </si>
  <si>
    <t>Inverters by DC Watts</t>
  </si>
  <si>
    <t>Sunny Tower ST36 36kW</t>
  </si>
  <si>
    <t>Sunny Boy SWR 2500U</t>
  </si>
  <si>
    <t xml:space="preserve">KACO blueplanet 40.0-TL3 M1  </t>
  </si>
  <si>
    <t>Wholesale Solar</t>
  </si>
  <si>
    <t>PowerOne PVI Aurora Uno 2.5</t>
  </si>
  <si>
    <t>Power-One Uno-2.5-I-OUTD-S-US</t>
  </si>
  <si>
    <t>Power One Uno</t>
  </si>
  <si>
    <t>Kaco - 50.3TL3MPP1 - 50.0 Tl3 1000v Dc 1mppt</t>
  </si>
  <si>
    <t>Kaco - 50.3TL3MPP3 - 50.0 Tl3 1000v Dc 1mppt</t>
  </si>
  <si>
    <t>Fronius Primo 12.5-1 208-240</t>
  </si>
  <si>
    <t>Solis Inverters 5K-2G-US 240/208</t>
  </si>
  <si>
    <t>Tripple Input</t>
  </si>
  <si>
    <t>SMA Sunny Boy 7700TL-US-22 Inverter</t>
  </si>
  <si>
    <t>SMA Sunny Boy 11000TL-US-12 Inverter</t>
  </si>
  <si>
    <t>SMA Sunny Boy 10000TL-US-12 Inverter</t>
  </si>
  <si>
    <t>SMA Sunny Boy 9000TL-US-12 Inverter</t>
  </si>
  <si>
    <t>Enphase S280 With MC4 Micro Inverter</t>
  </si>
  <si>
    <t>SolarEdge SE7600A-US000NNR2 Revenue Grade Inverter</t>
  </si>
  <si>
    <t>Fronius Primo 12.5-1 - 12,500 Watt 240/208 Inverter</t>
  </si>
  <si>
    <t>Z-Bar</t>
  </si>
  <si>
    <t>Support</t>
  </si>
  <si>
    <t>Piers</t>
  </si>
  <si>
    <t>SolarEdge SE7600A-US Inverter</t>
  </si>
  <si>
    <t>Interconnection Costs</t>
  </si>
  <si>
    <t>PV</t>
  </si>
  <si>
    <t>Inverter</t>
  </si>
  <si>
    <t>A</t>
  </si>
  <si>
    <t>Hi</t>
  </si>
  <si>
    <t>Low</t>
  </si>
  <si>
    <t>Shading/Spacing Calculator for Tripod Arrays</t>
  </si>
  <si>
    <t>Ground Grade,  the tilt of the field</t>
  </si>
  <si>
    <t>Tilt   at Winter Solstice Solar Noon</t>
  </si>
  <si>
    <t>Gap Between Mounts</t>
  </si>
  <si>
    <t>Solar Power Starting ALTitude</t>
  </si>
  <si>
    <t>Field Size North/South  &amp;  East/West</t>
  </si>
  <si>
    <t>Mount Panel Array Length</t>
  </si>
  <si>
    <t>Winter Solstice</t>
  </si>
  <si>
    <t>Equnoxes</t>
  </si>
  <si>
    <t>decadjust.xls</t>
  </si>
  <si>
    <t>SUN 395</t>
  </si>
  <si>
    <t>Rotate at   Equinox   Sunrise/Sunset</t>
  </si>
  <si>
    <t>Center to Center  Spacing of  Mounts</t>
  </si>
  <si>
    <t>Ground Grade,field height difference</t>
  </si>
  <si>
    <t>Support Angle High End    --&gt;</t>
  </si>
  <si>
    <t>265 60M</t>
  </si>
  <si>
    <t>Sharp 300W Module-Silver</t>
  </si>
  <si>
    <t>NDF4Q300</t>
  </si>
  <si>
    <t>|</t>
  </si>
  <si>
    <t>Hanwha</t>
  </si>
  <si>
    <t>Q.PRO-G4 260</t>
  </si>
  <si>
    <t>https://www.q-cells.com/fileadmin/Website_Relaunch_2014/4_Products/4.1_Solar_Modules/Q.PRO-G4/Hanwha_Q_CELLS_Data_sheet_QPRO-G4_255-265_2015-03_Rev02_EN.pdf</t>
  </si>
  <si>
    <t>Hyundai Mono</t>
  </si>
  <si>
    <t>W/m²</t>
  </si>
  <si>
    <r>
      <t>°²</t>
    </r>
    <r>
      <rPr>
        <b/>
        <sz val="13.2"/>
        <color theme="1"/>
        <rFont val="Calibri"/>
        <family val="2"/>
      </rPr>
      <t>¢</t>
    </r>
  </si>
  <si>
    <t>CS6X-295P</t>
  </si>
  <si>
    <t>The Solar Biz</t>
  </si>
  <si>
    <t>Canadian Solar Poly</t>
  </si>
  <si>
    <t>CSUN Poly</t>
  </si>
  <si>
    <t>CSUN Mono</t>
  </si>
  <si>
    <t>CSUN 305-72P</t>
  </si>
  <si>
    <t>Date</t>
  </si>
  <si>
    <t>MxV</t>
  </si>
  <si>
    <t>OpV</t>
  </si>
  <si>
    <t>MxA</t>
  </si>
  <si>
    <t>MinV</t>
  </si>
  <si>
    <t>KACO Spec</t>
  </si>
  <si>
    <t>A_4</t>
  </si>
  <si>
    <t>A_5</t>
  </si>
  <si>
    <t>A_6</t>
  </si>
  <si>
    <t>B_6</t>
  </si>
  <si>
    <t>C_6</t>
  </si>
  <si>
    <t>MinA</t>
  </si>
  <si>
    <t>OpA</t>
  </si>
  <si>
    <t>St.Cloud NREL Data</t>
  </si>
  <si>
    <t>Series Connections   /   Parallel Connections</t>
  </si>
  <si>
    <t>N/S Mounts                /   E/W Mounts</t>
  </si>
  <si>
    <t>PV Panel  Voc            /    PV Panel Isc</t>
  </si>
  <si>
    <t>PV Panel  Vmp            /    PV Panel Imp</t>
  </si>
  <si>
    <t>Total System Power  Max  /  MPPT</t>
  </si>
  <si>
    <t>Dec 22 Z-Bar</t>
  </si>
  <si>
    <t>Jun 21 Z-Bar</t>
  </si>
  <si>
    <t>Triangle</t>
  </si>
  <si>
    <t>Triangle Length</t>
  </si>
  <si>
    <t>Triangle Angle</t>
  </si>
  <si>
    <t>Triangle Side</t>
  </si>
  <si>
    <t>Panel Array Length Low End</t>
  </si>
  <si>
    <t>Panel Edge</t>
  </si>
  <si>
    <t>Most Northern Point, Tri Side -&gt;</t>
  </si>
  <si>
    <t>Equinox     Center of Declinator</t>
  </si>
  <si>
    <t>Jun 21        Center of Declinator</t>
  </si>
  <si>
    <t>Dec 23        Center of Declinator</t>
  </si>
  <si>
    <t>Winter Support Angle</t>
  </si>
  <si>
    <t>Equinox Support Angle</t>
  </si>
  <si>
    <t>Summer Support Angle</t>
  </si>
  <si>
    <t>Low &amp; High Ends Extension</t>
  </si>
  <si>
    <t>D_6</t>
  </si>
  <si>
    <t>E_6</t>
  </si>
  <si>
    <t>B_4</t>
  </si>
  <si>
    <t>C_4</t>
  </si>
  <si>
    <t>F_6</t>
  </si>
  <si>
    <t>G_6</t>
  </si>
  <si>
    <t>Mounting Bolt Spacing</t>
  </si>
  <si>
    <t>&gt; Straight Line Wind Force    (Metric)</t>
  </si>
  <si>
    <t>&gt; Declinator Hypotenuse Length</t>
  </si>
  <si>
    <t>&gt; Declinator Offset Lengths</t>
  </si>
  <si>
    <t>Law of COSines</t>
  </si>
  <si>
    <t>Law of SINes</t>
  </si>
  <si>
    <t xml:space="preserve">5K-2G-US </t>
  </si>
  <si>
    <t>StuV</t>
  </si>
  <si>
    <t>?</t>
  </si>
  <si>
    <t>A_8</t>
  </si>
  <si>
    <t>A_12</t>
  </si>
  <si>
    <t>B_1</t>
  </si>
  <si>
    <t>TEST Setup Panel</t>
  </si>
  <si>
    <t>B_12</t>
  </si>
  <si>
    <t>B_8</t>
  </si>
  <si>
    <t>Weight</t>
  </si>
  <si>
    <t>The linear values are dimensionless, use any that you like, however, I used FEET for Wind Load and maps in the shadow calculations.</t>
  </si>
  <si>
    <t>My Lat/Long is 45.489371, -92.859742, with a 23.439 degree Declinator angle so these are the startup assumptions.</t>
  </si>
  <si>
    <t xml:space="preserve">City:    </t>
  </si>
  <si>
    <t xml:space="preserve">State:   </t>
  </si>
  <si>
    <t>MN</t>
  </si>
  <si>
    <t xml:space="preserve">WBAN No: </t>
  </si>
  <si>
    <t xml:space="preserve">Lat(N):  </t>
  </si>
  <si>
    <t xml:space="preserve">Long(W): </t>
  </si>
  <si>
    <t xml:space="preserve">Elev(m): </t>
  </si>
  <si>
    <t>Pres(mb):</t>
  </si>
  <si>
    <t>Stn Type:</t>
  </si>
  <si>
    <t>Secondary</t>
  </si>
  <si>
    <t>Tilt(deg)</t>
  </si>
  <si>
    <t xml:space="preserve">       </t>
  </si>
  <si>
    <t>Jan</t>
  </si>
  <si>
    <t>Feb</t>
  </si>
  <si>
    <t>Mar</t>
  </si>
  <si>
    <t>Apr</t>
  </si>
  <si>
    <t>May</t>
  </si>
  <si>
    <t>Jun</t>
  </si>
  <si>
    <t>Jul</t>
  </si>
  <si>
    <t>Aug</t>
  </si>
  <si>
    <t>Sep</t>
  </si>
  <si>
    <t>Oct</t>
  </si>
  <si>
    <t>Nov</t>
  </si>
  <si>
    <t>Dec</t>
  </si>
  <si>
    <t>Year</t>
  </si>
  <si>
    <t>Average</t>
  </si>
  <si>
    <t xml:space="preserve">         </t>
  </si>
  <si>
    <t>Minimum</t>
  </si>
  <si>
    <t>Maximum</t>
  </si>
  <si>
    <t>Axis Tilt</t>
  </si>
  <si>
    <t xml:space="preserve">Tracker  </t>
  </si>
  <si>
    <t xml:space="preserve">2-Axis   </t>
  </si>
  <si>
    <t xml:space="preserve">1-X, E-W </t>
  </si>
  <si>
    <t xml:space="preserve">Hor Axis </t>
  </si>
  <si>
    <t xml:space="preserve">1-X, N-S </t>
  </si>
  <si>
    <t xml:space="preserve">Tilt=Lat </t>
  </si>
  <si>
    <t xml:space="preserve">2-X      </t>
  </si>
  <si>
    <t>AVERAGE CLIMATIC CONDITIONS</t>
  </si>
  <si>
    <t xml:space="preserve">Element  </t>
  </si>
  <si>
    <t xml:space="preserve">Temp.    </t>
  </si>
  <si>
    <t>Daily Min</t>
  </si>
  <si>
    <t>Daily Max</t>
  </si>
  <si>
    <t>Record Lo</t>
  </si>
  <si>
    <t>Record Hi</t>
  </si>
  <si>
    <t>HDD,Base=</t>
  </si>
  <si>
    <t>CDD,Base=</t>
  </si>
  <si>
    <t xml:space="preserve">Rel Hum  </t>
  </si>
  <si>
    <t>percent</t>
  </si>
  <si>
    <t>Wind Spd.</t>
  </si>
  <si>
    <t xml:space="preserve"> (m/s) </t>
  </si>
  <si>
    <t>Raw data for my area.</t>
  </si>
  <si>
    <t>4/year</t>
  </si>
  <si>
    <t>2/year</t>
  </si>
  <si>
    <t xml:space="preserve">This shows that DEClination adjustment </t>
  </si>
  <si>
    <t xml:space="preserve">could be done just 2 times per year </t>
  </si>
  <si>
    <t xml:space="preserve">in my location for the same increase over </t>
  </si>
  <si>
    <t xml:space="preserve">a fixed DEClination of 0°. </t>
  </si>
  <si>
    <t>SOLAR RADIATION FOR 1-AXIS TRACKING FLAT-PLATE COLLECTORS WITH A NORTH-SOUTH AXIS (kWhr/m²/day) Uncertainty = 9%</t>
  </si>
  <si>
    <t>(C°)</t>
  </si>
  <si>
    <t xml:space="preserve"> 18.3C°</t>
  </si>
  <si>
    <t>313m</t>
  </si>
  <si>
    <t>978mb</t>
  </si>
  <si>
    <t>SOLAR RADIATION FOR 2-AXIS TRACKING FLAT-PLATE COLLECTORS (kWhr/m²/day)                                                          Uncertainty = 9%</t>
  </si>
  <si>
    <t>DIRECT BEAM SOLAR RADIATION FOR CONCENTRATING COLLECTORS (kWhr/m²/day)                                                      Uncertainty = 8%</t>
  </si>
  <si>
    <t>SOLAR RADIATION FOR FLAT-PLATE COLLECTORS FACING SOUTH AT A FIXED-TILT (kWhr/m²/day)                              Uncertainty = 9%</t>
  </si>
  <si>
    <t xml:space="preserve">Saint Cloud           </t>
  </si>
  <si>
    <t>A_10</t>
  </si>
  <si>
    <t>B_10</t>
  </si>
  <si>
    <t>Field X</t>
  </si>
  <si>
    <t>Field Y</t>
  </si>
  <si>
    <t>Field Z</t>
  </si>
  <si>
    <t>Z</t>
  </si>
  <si>
    <t>CSUN 315-72P</t>
  </si>
  <si>
    <t>Wind Force Pounds       (Foot Units)</t>
  </si>
  <si>
    <t>Wind Torque       ft #     (Foot Units)</t>
  </si>
  <si>
    <t>&gt; Wind Torque    N m         (Metric)</t>
  </si>
  <si>
    <t>High End Support Height</t>
  </si>
  <si>
    <t>A_1</t>
  </si>
  <si>
    <t>Tracking Type True Polar or Pseudo Polar</t>
  </si>
  <si>
    <t>C_10</t>
  </si>
  <si>
    <t>D_10</t>
  </si>
  <si>
    <t>http://www.jinkosolar.com</t>
  </si>
  <si>
    <t>JKM320PP-72</t>
  </si>
  <si>
    <t>JINKO Poly</t>
  </si>
  <si>
    <t>FreeCleanSolar</t>
  </si>
  <si>
    <t>T2x</t>
  </si>
  <si>
    <t>T1xLatMinus15</t>
  </si>
  <si>
    <t>T1xLat</t>
  </si>
  <si>
    <t>T1xLatPlus15</t>
  </si>
  <si>
    <t>T2xTwoPerYear</t>
  </si>
  <si>
    <t>T2xFourPerYear</t>
  </si>
  <si>
    <t>Lat-15</t>
  </si>
  <si>
    <t>Latitude</t>
  </si>
  <si>
    <t>Vertical</t>
  </si>
  <si>
    <t>T1xHorizontal</t>
  </si>
  <si>
    <t>T0xLatMinus15</t>
  </si>
  <si>
    <t>T0xLatPlus15</t>
  </si>
  <si>
    <t>T0xVertical</t>
  </si>
  <si>
    <t>Horizontal</t>
  </si>
  <si>
    <t>T0xLat</t>
  </si>
  <si>
    <t>C_1</t>
  </si>
  <si>
    <t>H_6</t>
  </si>
  <si>
    <t>Mount Panel Array Width High/Low Ends</t>
  </si>
  <si>
    <t>&gt; Ground Clearance Equinox</t>
  </si>
  <si>
    <t>&gt; Ground Clearance Jun 21</t>
  </si>
  <si>
    <t>&gt; Steel Cable Length</t>
  </si>
  <si>
    <t>Cable</t>
  </si>
  <si>
    <t>MS-300</t>
  </si>
  <si>
    <t>SUN ??????</t>
  </si>
  <si>
    <t>B_5</t>
  </si>
  <si>
    <t>SUN Mono Lam</t>
  </si>
  <si>
    <t>Centroid Marker Length Facter</t>
  </si>
  <si>
    <t>B_2</t>
  </si>
  <si>
    <t>B_3</t>
  </si>
  <si>
    <t>A_2</t>
  </si>
  <si>
    <t>Tynsolar Poly</t>
  </si>
  <si>
    <t>TYNP62610250</t>
  </si>
  <si>
    <t>ACOSolar</t>
  </si>
  <si>
    <t>Power Density</t>
  </si>
  <si>
    <t>T0xHorizontal</t>
  </si>
  <si>
    <t>Make sure the grid lines in the plot form "Squares" otherwise the shapes will be distorted. Fix this by dragging the plot edges.</t>
  </si>
  <si>
    <t>Distance Between High End Pedestals</t>
  </si>
  <si>
    <t>Actual Dist Between High &amp; Low Pedestals</t>
  </si>
  <si>
    <t>Pedestal Height, Try this   ---&gt;</t>
  </si>
  <si>
    <t>Lists of Coordinate Data for Scatter Plot</t>
  </si>
  <si>
    <t>Southern Pedestal</t>
  </si>
  <si>
    <t>Northern Pedestal</t>
  </si>
  <si>
    <t>This calculator is a never ending work in progress.</t>
  </si>
  <si>
    <t>Home Depot</t>
  </si>
  <si>
    <t>Menards</t>
  </si>
  <si>
    <t>N</t>
  </si>
  <si>
    <t>StructuralBeamDeflection</t>
  </si>
  <si>
    <t>Total Construction Help</t>
  </si>
  <si>
    <r>
      <t>°²³⁴⁵⁶⁷⁸⁹</t>
    </r>
    <r>
      <rPr>
        <b/>
        <sz val="12"/>
        <color theme="1"/>
        <rFont val="Rod"/>
        <family val="3"/>
        <charset val="177"/>
      </rPr>
      <t>±</t>
    </r>
    <r>
      <rPr>
        <b/>
        <sz val="13.2"/>
        <color theme="1"/>
        <rFont val="Calibri"/>
        <family val="2"/>
      </rPr>
      <t>¢</t>
    </r>
  </si>
  <si>
    <t>Height</t>
  </si>
  <si>
    <t>Moment</t>
  </si>
  <si>
    <t>S Yellow Pine</t>
  </si>
  <si>
    <t>test</t>
  </si>
  <si>
    <t>EacyCalculation</t>
  </si>
  <si>
    <t>Elastic Beam Deflection Calculator</t>
  </si>
  <si>
    <t>Cost</t>
  </si>
  <si>
    <t>24x6x6</t>
  </si>
  <si>
    <t>12x6x6</t>
  </si>
  <si>
    <t>12x4x4</t>
  </si>
  <si>
    <t>ST 4140</t>
  </si>
  <si>
    <t>fx Solver beta</t>
  </si>
  <si>
    <t>https://www.easycalculation.com/engineering/mechanical/deflection-hollow-rectangular-beams.php</t>
  </si>
  <si>
    <t>1/360</t>
  </si>
  <si>
    <t>ST 1018</t>
  </si>
  <si>
    <t>Win AL 24'x3x3x1/8</t>
  </si>
  <si>
    <t>Win AL 24'x3x3x3/16</t>
  </si>
  <si>
    <t>Win AL 24'x3x3x1/4</t>
  </si>
  <si>
    <t>Win AL 24'x4x4x1/8</t>
  </si>
  <si>
    <t>Win AL 24'x4x4x1/4</t>
  </si>
  <si>
    <t>Win AL 24'x6x3x1/8</t>
  </si>
  <si>
    <t>Win ST 24'x4x4x1/8</t>
  </si>
  <si>
    <t>Win AL 24'x6x4x1/4</t>
  </si>
  <si>
    <t>Win ST 24'x6x4x1/8</t>
  </si>
  <si>
    <t>Win ST 24'x6x4x3/16</t>
  </si>
  <si>
    <t>Win ST 24'x6x6x3/16</t>
  </si>
  <si>
    <t>Beam</t>
  </si>
  <si>
    <t>I Mom Of</t>
  </si>
  <si>
    <t>Inertia</t>
  </si>
  <si>
    <t>M Max</t>
  </si>
  <si>
    <t>SecMod</t>
  </si>
  <si>
    <t>Sx Required</t>
  </si>
  <si>
    <t>Sx Actual</t>
  </si>
  <si>
    <t>Total</t>
  </si>
  <si>
    <t>Loading</t>
  </si>
  <si>
    <t>Point</t>
  </si>
  <si>
    <t>Uniform</t>
  </si>
  <si>
    <t>Rigid On One End</t>
  </si>
  <si>
    <t>Floating On Both Ends</t>
  </si>
  <si>
    <t>TenUStr #/in²</t>
  </si>
  <si>
    <t>ComYStr #/in²</t>
  </si>
  <si>
    <t>SherUYStr #/in²</t>
  </si>
  <si>
    <t>E YngModTen M#/in²</t>
  </si>
  <si>
    <t>E YngModCom M#/in²</t>
  </si>
  <si>
    <t>SherMod M#/in²</t>
  </si>
  <si>
    <t>fb TenYStr #/in²</t>
  </si>
  <si>
    <t>E ModElast M#/in²</t>
  </si>
  <si>
    <t>Density #/in³</t>
  </si>
  <si>
    <t>b Beam</t>
  </si>
  <si>
    <t>h Beam</t>
  </si>
  <si>
    <t>in $/ft</t>
  </si>
  <si>
    <t>SecModulus</t>
  </si>
  <si>
    <t>&gt; Wind Force Newtons         (Metric)</t>
  </si>
  <si>
    <t>Deflect</t>
  </si>
  <si>
    <t>Rigid On Both Ends</t>
  </si>
  <si>
    <t>Total/Mount</t>
  </si>
  <si>
    <t>Main Axis Beam Calculations</t>
  </si>
  <si>
    <t>Pier Beam Calculations</t>
  </si>
  <si>
    <t>&gt; SelectBeam</t>
  </si>
  <si>
    <t>&lt; ChooseInverter</t>
  </si>
  <si>
    <t>Select a Panel</t>
  </si>
  <si>
    <t>Select an Inverter</t>
  </si>
  <si>
    <t>&gt; SelectPierBeam</t>
  </si>
  <si>
    <t>Mount Costs</t>
  </si>
  <si>
    <t>Frost Line</t>
  </si>
  <si>
    <t>12x8x8</t>
  </si>
  <si>
    <t>12*8.5*7.5</t>
  </si>
  <si>
    <t>12*10.5*7.5</t>
  </si>
  <si>
    <t>Wood 12*10.5*7.5</t>
  </si>
  <si>
    <t>Wood 12*8.5*7.5</t>
  </si>
  <si>
    <t>Wood 12x8x8</t>
  </si>
  <si>
    <t>Wood 12x6x6</t>
  </si>
  <si>
    <t>Wood 12x4x4</t>
  </si>
  <si>
    <t>Wood 24x6x6</t>
  </si>
  <si>
    <t>Venture</t>
  </si>
  <si>
    <t>12*8.5*5.5</t>
  </si>
  <si>
    <t>Safety Factor</t>
  </si>
  <si>
    <t>Sx Section</t>
  </si>
  <si>
    <t>Modulus</t>
  </si>
  <si>
    <t>Rotation</t>
  </si>
  <si>
    <t>Friction Factor</t>
  </si>
  <si>
    <t>Actuator Length</t>
  </si>
  <si>
    <t>Choose Sun Hour Data Source -&gt;</t>
  </si>
  <si>
    <t>&lt;&gt;</t>
  </si>
  <si>
    <r>
      <t>Most cells have either "Black" or "</t>
    </r>
    <r>
      <rPr>
        <b/>
        <sz val="11"/>
        <color rgb="FF92D050"/>
        <rFont val="Calibri"/>
        <family val="2"/>
        <scheme val="minor"/>
      </rPr>
      <t>Green</t>
    </r>
    <r>
      <rPr>
        <b/>
        <sz val="11"/>
        <color theme="1"/>
        <rFont val="Calibri"/>
        <family val="2"/>
        <scheme val="minor"/>
      </rPr>
      <t>" numeric values. The black cells are the results of formula calculations.</t>
    </r>
  </si>
  <si>
    <r>
      <t xml:space="preserve">The </t>
    </r>
    <r>
      <rPr>
        <b/>
        <sz val="11"/>
        <color rgb="FF92D050"/>
        <rFont val="Calibri"/>
        <family val="2"/>
        <scheme val="minor"/>
      </rPr>
      <t>Green</t>
    </r>
    <r>
      <rPr>
        <b/>
        <sz val="11"/>
        <color theme="1"/>
        <rFont val="Calibri"/>
        <family val="2"/>
        <scheme val="minor"/>
      </rPr>
      <t xml:space="preserve"> cells are entries you can put in. I have locked the spread sheet so the formulas won't be disturbed. If you want </t>
    </r>
  </si>
  <si>
    <r>
      <t xml:space="preserve">to do any changes you need to first "Unprotect" the sheet. Of course, you can put your own formulas in </t>
    </r>
    <r>
      <rPr>
        <b/>
        <sz val="11"/>
        <color rgb="FF92D050"/>
        <rFont val="Calibri"/>
        <family val="2"/>
        <scheme val="minor"/>
      </rPr>
      <t>Green</t>
    </r>
    <r>
      <rPr>
        <b/>
        <sz val="11"/>
        <color theme="1"/>
        <rFont val="Calibri"/>
        <family val="2"/>
        <scheme val="minor"/>
      </rPr>
      <t xml:space="preserve"> cells while protected.</t>
    </r>
  </si>
  <si>
    <t>If any of you have been following the progress of this spreadsheet you may have noticed a distinct shift for which I have been striving. I've</t>
  </si>
  <si>
    <t>energy than one consumes. With a system like this a sizable amount of revenue can be generated. Especially when the payback is so short.</t>
  </si>
  <si>
    <t>always worked to optimize tracking mounts for the relativly small scale home user. Now that PV Panels are getting low enough in cost that</t>
  </si>
  <si>
    <t>one can directly compete with the power grid. I'm currently working on a larger sized system in which one can generate much more monthly</t>
  </si>
  <si>
    <t>Motor Version</t>
  </si>
  <si>
    <t>Actuator Version</t>
  </si>
  <si>
    <t>Rotary Motion Calcs</t>
  </si>
  <si>
    <t>Attachment Distance from Main Axis</t>
  </si>
  <si>
    <t>Total E/W</t>
  </si>
  <si>
    <t>Total E/W Rotation</t>
  </si>
  <si>
    <t>This is a form of Rotary to rotary motion where the pulley is not centered about the Main Axis. In this case the pulley is mounted below the Main Axis.</t>
  </si>
  <si>
    <t>There is an interesting force multiplication effect at the extreams of rotation. This is perfect for the N/S horizontal azis mount arrays. With these arrays</t>
  </si>
  <si>
    <t>the max wind load torque occures at sunup and sundown and lesser torque in midday.</t>
  </si>
  <si>
    <t>Radius</t>
  </si>
  <si>
    <t>Win ST 24'x6x3x1/8</t>
  </si>
  <si>
    <t>C</t>
  </si>
  <si>
    <t>B</t>
  </si>
  <si>
    <t>a</t>
  </si>
  <si>
    <t>b</t>
  </si>
  <si>
    <t>c</t>
  </si>
  <si>
    <t>Start</t>
  </si>
  <si>
    <t>End</t>
  </si>
  <si>
    <t>Cir</t>
  </si>
  <si>
    <t>Ratio</t>
  </si>
  <si>
    <t>Link Length</t>
  </si>
  <si>
    <t>M3 M4 gc</t>
  </si>
  <si>
    <t>L6 gc</t>
  </si>
  <si>
    <t>Dual Linear Actuator Drive</t>
  </si>
  <si>
    <t>Wheel</t>
  </si>
  <si>
    <t>As with the Wheel Drive, this is an attempt to increase rotational torque near the extreams of rotation.</t>
  </si>
  <si>
    <r>
      <t>In this case two linear actuators with permanent magnet DC motors are mounted at something like 90</t>
    </r>
    <r>
      <rPr>
        <sz val="9"/>
        <color theme="1"/>
        <rFont val="Calibri"/>
        <family val="2"/>
      </rPr>
      <t xml:space="preserve">° </t>
    </r>
  </si>
  <si>
    <t xml:space="preserve">from each other arround the main axis. The wiring circuit for this is complicated compared to the normal </t>
  </si>
  <si>
    <t>single actuator arangement. The problem is each motor needs a secondary reversing switch activated</t>
  </si>
  <si>
    <t>by the positional alignment of the actuator to the main axis.</t>
  </si>
  <si>
    <t>This arangement has significant advantages because thers is much less COSINE mechanical disadvantage.</t>
  </si>
  <si>
    <t>PV X</t>
  </si>
  <si>
    <t>PV Y</t>
  </si>
  <si>
    <t>Red X</t>
  </si>
  <si>
    <t>Red Y</t>
  </si>
  <si>
    <t>Grn X</t>
  </si>
  <si>
    <t>Grn Y</t>
  </si>
  <si>
    <t>Start Angle</t>
  </si>
  <si>
    <t>Stop Angle</t>
  </si>
  <si>
    <t># of Steps</t>
  </si>
  <si>
    <t>COSine Wind Factor</t>
  </si>
  <si>
    <t>Increment Angle</t>
  </si>
  <si>
    <t>Single Actuator</t>
  </si>
  <si>
    <t>Dual Actuator</t>
  </si>
  <si>
    <t>Total Angle</t>
  </si>
  <si>
    <t>Max Actuator Length</t>
  </si>
  <si>
    <t>Min Actuator Length</t>
  </si>
  <si>
    <t>Delta Actuator Length</t>
  </si>
  <si>
    <t>Values from other sheets</t>
  </si>
  <si>
    <t>East West Rotate</t>
  </si>
  <si>
    <t>Shadowing Direction    2016/07/26</t>
  </si>
  <si>
    <t>Results</t>
  </si>
  <si>
    <t>X Y</t>
  </si>
  <si>
    <t>&gt; Ground Clearance Dec 22</t>
  </si>
  <si>
    <t>Angle</t>
  </si>
  <si>
    <t>Red</t>
  </si>
  <si>
    <t>Grn</t>
  </si>
  <si>
    <t>Panel Torque No Wind Factor</t>
  </si>
  <si>
    <t>Polar Force Factor Scale</t>
  </si>
  <si>
    <t>Single or Dual Actuators</t>
  </si>
  <si>
    <t>Red Actuator X</t>
  </si>
  <si>
    <t>Red Actuator Y</t>
  </si>
  <si>
    <t>Green Actuator X</t>
  </si>
  <si>
    <t>Green Actuator Y</t>
  </si>
  <si>
    <t xml:space="preserve">Force Advantage     </t>
  </si>
  <si>
    <t xml:space="preserve">  PV Panel</t>
  </si>
  <si>
    <t xml:space="preserve">   Actuator Lengths</t>
  </si>
  <si>
    <t xml:space="preserve">Panel Torque With Wind Factor   </t>
  </si>
  <si>
    <t>Attachment Distance</t>
  </si>
  <si>
    <t>Reversing Switches</t>
  </si>
  <si>
    <t xml:space="preserve"> Torque</t>
  </si>
  <si>
    <t xml:space="preserve">Display </t>
  </si>
  <si>
    <t>http://satellitemart.com/index.php/c-band/antennas-actuators/qarl-3624-24-heavy-duty-monster-motor-actuator.html</t>
  </si>
  <si>
    <t>https://www.summitsource.com/Venture-18-Inch-Linear-Actuator-Super-Jack-Arm-with-Saddle-Clamp-Dish-Mover-Black-Power-Jack-36-Volt-Satellite-Positioner-with-Limit-Reed-Sensor-Part-MA-710-18T-P9748.aspx?gclid=CM-ImanRns4CFcOfGwod030LLw</t>
  </si>
  <si>
    <t>http://www.thesatelliteshop.net/c-band-satellite-satellite-dish-actuator-c-715_837.html</t>
  </si>
  <si>
    <t>Venture Maxi 810-24k</t>
  </si>
  <si>
    <t>Venture 819B36CK</t>
  </si>
  <si>
    <t>Venture 810-24k</t>
  </si>
  <si>
    <t>Venture Mini T</t>
  </si>
  <si>
    <t>Windy Nation</t>
  </si>
  <si>
    <t>QARL-3024+</t>
  </si>
  <si>
    <t>Data</t>
  </si>
  <si>
    <t>http://www.eagleaspen.com/admin/product/fujian/file_183.pdf</t>
  </si>
  <si>
    <t xml:space="preserve"> 
Superjack
SuperJack
Eagle SuperJack. Model Number Stroke Length Motor Dynamic Load HARL3018+ /Super Jack II+ 18" 30V 600lbs ZARL3018+/ Super Jack ZX 18" 30V 900lbs ZARL3024+/Super Jack ZX 24" 30V 900lbs QARL3024/Super Jack XL 24" 30V 1200lbs VBRL3024/Super Jack XL 24" 30V 1500lbs VBRL3036/Super Jack XL 36" 30V ...
super, 900lbs, qarl3024, zarl3024, 1200lbs
</t>
  </si>
  <si>
    <t>Eagle SuperJack. Model Number Stroke Length Motor Dynamic Load HARL3018+ /Super Jack II+ 18" 30V 600lbs ZARL3018+/ Super Jack ZX 18" 30V 900lbs ZARL3024+/Super Jack ZX 24" 30V 900lbs QARL3024/Super Jack XL 24" 30V 1200lbs VBRL3024/Super Jack XL 24" 30V 1500lbs VBRL3036/Super Jack XL 36" 30V ...</t>
  </si>
  <si>
    <t>http://wolfsat.com/main/cband/actarm.htm</t>
  </si>
  <si>
    <t>JAP0018</t>
  </si>
  <si>
    <t>http://www.satmultimedia.tv/index.php</t>
  </si>
  <si>
    <t>Superjack III HARL-3624+</t>
  </si>
  <si>
    <t>SuperJack QUARL 3624+</t>
  </si>
  <si>
    <t>SuperJack QUARL 3636+</t>
  </si>
  <si>
    <t>TA-24</t>
  </si>
  <si>
    <t>http://worldwidesatellites.com/24-band-dish-actuator-ta-24-p-456.html</t>
  </si>
  <si>
    <t>Info</t>
  </si>
  <si>
    <t>SS250-60P</t>
  </si>
  <si>
    <t>GES-6M255</t>
  </si>
  <si>
    <t>Sainty Solar Mono Silver Frame</t>
  </si>
  <si>
    <t>2016/07/31</t>
  </si>
  <si>
    <t>BVM6612P-310</t>
  </si>
  <si>
    <t>Boviet Solar 310W  Poly Silver</t>
  </si>
  <si>
    <t>Number of Mounts Served</t>
  </si>
  <si>
    <t>Wood 8x6x6</t>
  </si>
  <si>
    <t>8x4x4</t>
  </si>
  <si>
    <t>8x2x6</t>
  </si>
  <si>
    <t>8x2x8</t>
  </si>
  <si>
    <t>Max Dead Force in Newtons</t>
  </si>
  <si>
    <t>Max Dead Force in Lbf</t>
  </si>
  <si>
    <t>Actuator Delta Movement</t>
  </si>
  <si>
    <t>http://www.thesolarbiz.com/</t>
  </si>
  <si>
    <t>https://www.acosolar.com/</t>
  </si>
  <si>
    <t>C_2</t>
  </si>
  <si>
    <t>BeamWall</t>
  </si>
  <si>
    <t>https://www.acosolar.com/shinesolar-250w-ss250-60p-poly-silver-frame-solar-panel</t>
  </si>
  <si>
    <t>Shine Solar Poly Silver 1000V</t>
  </si>
  <si>
    <t>Panel Model</t>
  </si>
  <si>
    <t>Panel Weight</t>
  </si>
  <si>
    <t>http://www.tynsolar.com.tw/upload/TYNP62610250_1646x995x40mm_.pdf</t>
  </si>
  <si>
    <t>ActuatorBodyLengthFactor</t>
  </si>
  <si>
    <t>0°</t>
  </si>
  <si>
    <t>Lat-15°</t>
  </si>
  <si>
    <t>Lat+15°</t>
  </si>
  <si>
    <t>90°</t>
  </si>
  <si>
    <t>itek HE MN</t>
  </si>
  <si>
    <t>http://www.itekenergy.com/wp-content/uploads/2016/05/Mod_Specsheet_MN_V05-27-16.pdf</t>
  </si>
  <si>
    <t>http://www.itekenergy.com</t>
  </si>
  <si>
    <t>itek Energy</t>
  </si>
  <si>
    <t>IT 280 HE</t>
  </si>
  <si>
    <t>http://www.ecobusinesslinks.com/surveys/free-solar-panel-price-survey/</t>
  </si>
  <si>
    <t>Sys</t>
  </si>
  <si>
    <t>Pan</t>
  </si>
  <si>
    <t>http://www.dmsolar.com/</t>
  </si>
  <si>
    <t>http://ep.yimg.com/ty/cdn/yhst-21796510175022/DM158M.pdf</t>
  </si>
  <si>
    <t>&gt;</t>
  </si>
  <si>
    <t xml:space="preserve">Offset Value  -1 </t>
  </si>
  <si>
    <t>TEST PANEL</t>
  </si>
  <si>
    <t>Series Connection (# of X Panels)</t>
  </si>
  <si>
    <t>Parallel Connection (# of Y Panels)</t>
  </si>
  <si>
    <t>DiS  ST 20'x10Diax11g</t>
  </si>
  <si>
    <t>DiS  ST 20'x8Diax11g</t>
  </si>
  <si>
    <t>DiS  ST 20'x6Diax11g</t>
  </si>
  <si>
    <t>SiE-V-280</t>
  </si>
  <si>
    <t>http://silicon-energy.com/</t>
  </si>
  <si>
    <t>Silicon Energy</t>
  </si>
  <si>
    <t>Silicon Energy Mono 275,280,285</t>
  </si>
  <si>
    <t>TenKSOLAR</t>
  </si>
  <si>
    <t>http://tenksolar.com/wp-content/uploads/2015/09/Ten-K_Titan-Module-Data-Sheet.pdf</t>
  </si>
  <si>
    <t>TenKSOLAR 410,440</t>
  </si>
  <si>
    <t>TITAN 440</t>
  </si>
  <si>
    <t>Heliene</t>
  </si>
  <si>
    <t>Hook Thick</t>
  </si>
  <si>
    <t>Hook Drop</t>
  </si>
  <si>
    <t>Pivit</t>
  </si>
  <si>
    <t>Gaps</t>
  </si>
  <si>
    <t>Beam Offset</t>
  </si>
  <si>
    <t>Beam Width</t>
  </si>
  <si>
    <t>Beam Height</t>
  </si>
  <si>
    <t>Beam Thickness</t>
  </si>
  <si>
    <t>Selected Beam Width</t>
  </si>
  <si>
    <t>Selected Beam Height</t>
  </si>
  <si>
    <t>Selected Beam Thickness</t>
  </si>
  <si>
    <t>Pier Beam</t>
  </si>
  <si>
    <t>Sellected Pier Beam Height</t>
  </si>
  <si>
    <t>Pier Beam Height</t>
  </si>
  <si>
    <t>Sellected Pier Beam Width</t>
  </si>
  <si>
    <t>Pier Beam Width</t>
  </si>
  <si>
    <t>Sellected Pier Beam Thickness</t>
  </si>
  <si>
    <t>Pier Beam Thickness</t>
  </si>
  <si>
    <t>Pier Beam Offset</t>
  </si>
  <si>
    <t>Bearing Area</t>
  </si>
  <si>
    <t>Bearing Thickness</t>
  </si>
  <si>
    <t>Hook2</t>
  </si>
  <si>
    <t>Hook3</t>
  </si>
  <si>
    <t>Swing</t>
  </si>
  <si>
    <t>Beam2</t>
  </si>
  <si>
    <t>Bearing Pressure</t>
  </si>
  <si>
    <t>Hook Overhang</t>
  </si>
  <si>
    <t>Pivit Diameter</t>
  </si>
  <si>
    <t>Hook Overhang Calculations</t>
  </si>
  <si>
    <t>MaxBeamWidthAngle</t>
  </si>
  <si>
    <t>With</t>
  </si>
  <si>
    <t>Safety</t>
  </si>
  <si>
    <t>Overhang Hook Sheet</t>
  </si>
  <si>
    <t>Hook Width</t>
  </si>
  <si>
    <t>Weight of Beam and Panels</t>
  </si>
  <si>
    <t>These costs are based on a single mount.</t>
  </si>
  <si>
    <t>Bearing Support Thickness</t>
  </si>
  <si>
    <t>Pivit Rigid Ends</t>
  </si>
  <si>
    <t>Pivit Floating Ends</t>
  </si>
  <si>
    <t>PV Weight Torque</t>
  </si>
  <si>
    <t>Beam Weight Torque</t>
  </si>
  <si>
    <t>Balance</t>
  </si>
  <si>
    <t>PV Shim</t>
  </si>
  <si>
    <t>Resultant Torque</t>
  </si>
  <si>
    <t xml:space="preserve">   Single Linear Actuator Calcs</t>
  </si>
  <si>
    <t xml:space="preserve">  Speed Factor</t>
  </si>
  <si>
    <t xml:space="preserve">  Rotary Reduction  </t>
  </si>
  <si>
    <t>Pulley Diameter</t>
  </si>
  <si>
    <t xml:space="preserve">       Motor Torque</t>
  </si>
  <si>
    <t xml:space="preserve">  Chain Force</t>
  </si>
  <si>
    <t xml:space="preserve">          Actuator Dead Force</t>
  </si>
  <si>
    <t>Max Rotation</t>
  </si>
  <si>
    <t>160627</t>
  </si>
  <si>
    <t>160815</t>
  </si>
  <si>
    <t>160731</t>
  </si>
  <si>
    <t>160803</t>
  </si>
  <si>
    <t>160616</t>
  </si>
  <si>
    <t>160626</t>
  </si>
  <si>
    <t>160804</t>
  </si>
  <si>
    <t>Hook1</t>
  </si>
  <si>
    <t>Beam1</t>
  </si>
  <si>
    <t>Cent</t>
  </si>
  <si>
    <t>Foot²</t>
  </si>
  <si>
    <t>PV1</t>
  </si>
  <si>
    <t>PV2</t>
  </si>
  <si>
    <t>Beam3</t>
  </si>
  <si>
    <t>PV3</t>
  </si>
  <si>
    <t>2016/08/16</t>
  </si>
  <si>
    <t>Trench power from the the grid.</t>
  </si>
  <si>
    <t>total</t>
  </si>
  <si>
    <t>-------------------------------------------------------------------------------------------------------------------------------------------------------------------------------------------------------------------------------------------------</t>
  </si>
  <si>
    <t>B_10 2.34yr</t>
  </si>
  <si>
    <t>B_5   2.36yr</t>
  </si>
  <si>
    <t>Pier</t>
  </si>
  <si>
    <t>P</t>
  </si>
  <si>
    <t>$/ft</t>
  </si>
  <si>
    <t>b Pier</t>
  </si>
  <si>
    <t>h Pier</t>
  </si>
  <si>
    <t>PierWall</t>
  </si>
  <si>
    <t>Beam Name</t>
  </si>
  <si>
    <t>Pier Name</t>
  </si>
  <si>
    <t>Mom Factor</t>
  </si>
  <si>
    <t># of Pier Beams</t>
  </si>
  <si>
    <t>ST I Beam 5" 10#</t>
  </si>
  <si>
    <t>AspectRato</t>
  </si>
  <si>
    <t>Required</t>
  </si>
  <si>
    <t>SF-M660250</t>
  </si>
  <si>
    <t>http://www.shinefargroup.com/products1.php?vid=110</t>
  </si>
  <si>
    <t>http://www.shinefargroup.com</t>
  </si>
  <si>
    <t>Shine Far</t>
  </si>
  <si>
    <t>SF-P660250</t>
  </si>
  <si>
    <t>http://www.shinefargroup.com/products1.php?vid=72</t>
  </si>
  <si>
    <t>Shine Far Group Mono 1000V</t>
  </si>
  <si>
    <t>Shine Far Group Poly 1000V</t>
  </si>
  <si>
    <t>AL  T-6061</t>
  </si>
  <si>
    <t>Test Panel for A_1 Arrangement</t>
  </si>
  <si>
    <t>W/m²$</t>
  </si>
</sst>
</file>

<file path=xl/styles.xml><?xml version="1.0" encoding="utf-8"?>
<styleSheet xmlns="http://schemas.openxmlformats.org/spreadsheetml/2006/main">
  <numFmts count="166">
    <numFmt numFmtId="164" formatCode="0.0"/>
    <numFmt numFmtId="165" formatCode="0.000"/>
    <numFmt numFmtId="166" formatCode="0.0000"/>
    <numFmt numFmtId="167" formatCode="&quot;$&quot;#,##0"/>
    <numFmt numFmtId="168" formatCode="0.0%"/>
    <numFmt numFmtId="169" formatCode="0\ \W"/>
    <numFmt numFmtId="170" formatCode="0.00\ &quot;Vmp&quot;"/>
    <numFmt numFmtId="171" formatCode="0.00\ &quot;Voc&quot;"/>
    <numFmt numFmtId="172" formatCode="0.00\ &quot;Imp&quot;"/>
    <numFmt numFmtId="173" formatCode="0.00\ &quot;Isc&quot;"/>
    <numFmt numFmtId="174" formatCode="0\ &quot;#&quot;"/>
    <numFmt numFmtId="175" formatCode="0.000\ &quot;ft&quot;"/>
    <numFmt numFmtId="176" formatCode="0\ &quot;ft#&quot;"/>
    <numFmt numFmtId="177" formatCode="0\ &quot;Mounts&quot;"/>
    <numFmt numFmtId="178" formatCode="0.0&quot; ft &quot;"/>
    <numFmt numFmtId="179" formatCode="0.0&quot; sunhr/D&quot;"/>
    <numFmt numFmtId="180" formatCode="0.00&quot;°&quot;"/>
    <numFmt numFmtId="181" formatCode="0&quot;°&quot;"/>
    <numFmt numFmtId="182" formatCode="0&quot; Cells&quot;"/>
    <numFmt numFmtId="183" formatCode="&quot;$&quot;#,##0.00"/>
    <numFmt numFmtId="184" formatCode="&quot;$&quot;0.00&quot;/#&quot;"/>
    <numFmt numFmtId="185" formatCode="&quot;$&quot;0.00"/>
    <numFmt numFmtId="186" formatCode="0.00&quot;#/ft&quot;"/>
    <numFmt numFmtId="187" formatCode="0.000000&quot; in&quot;"/>
    <numFmt numFmtId="188" formatCode="0.0\ &quot;Voc&quot;"/>
    <numFmt numFmtId="189" formatCode="0.0\ \k\W"/>
    <numFmt numFmtId="190" formatCode="0&quot; kWhr/M&quot;"/>
    <numFmt numFmtId="191" formatCode="0.0\ &quot;#/ft²&quot;"/>
    <numFmt numFmtId="192" formatCode="0\ &quot;N/m²&quot;"/>
    <numFmt numFmtId="193" formatCode="0.00\ &quot;ft²&quot;"/>
    <numFmt numFmtId="194" formatCode="0.000&quot;°&quot;"/>
    <numFmt numFmtId="195" formatCode="0.0&quot; ft&quot;"/>
    <numFmt numFmtId="196" formatCode="#\ ?/12&quot; yrs&quot;"/>
    <numFmt numFmtId="197" formatCode="&quot;SalesTax &quot;0%"/>
    <numFmt numFmtId="198" formatCode="0.0&quot;¢/W&quot;"/>
    <numFmt numFmtId="199" formatCode="&quot;Deprec &quot;0%"/>
    <numFmt numFmtId="200" formatCode="&quot;IncomeTax &quot;0%"/>
    <numFmt numFmtId="201" formatCode="&quot;Interest &quot;0%"/>
    <numFmt numFmtId="202" formatCode="0&quot; Panels&quot;"/>
    <numFmt numFmtId="203" formatCode=".000"/>
    <numFmt numFmtId="204" formatCode=".00"/>
    <numFmt numFmtId="205" formatCode="0&quot; N/S&quot;"/>
    <numFmt numFmtId="206" formatCode="0&quot; E/W&quot;"/>
    <numFmt numFmtId="207" formatCode="0&quot; MtsT&quot;"/>
    <numFmt numFmtId="208" formatCode="0&quot; PC   &quot;"/>
    <numFmt numFmtId="209" formatCode="0&quot; SC  &quot;"/>
    <numFmt numFmtId="210" formatCode="0.0&quot; Vmp&quot;"/>
    <numFmt numFmtId="211" formatCode="0.0&quot; Imp&quot;"/>
    <numFmt numFmtId="212" formatCode="0.0&quot; kWmp&quot;"/>
    <numFmt numFmtId="213" formatCode="0.0&quot; kWmx&quot;"/>
    <numFmt numFmtId="214" formatCode=".00&quot;°&quot;"/>
    <numFmt numFmtId="215" formatCode="&quot;$&quot;.00&quot;/W&quot;"/>
    <numFmt numFmtId="216" formatCode=".000&quot; in&quot;"/>
    <numFmt numFmtId="217" formatCode=".000&quot;ft&quot;"/>
    <numFmt numFmtId="218" formatCode="0.0&quot; Voc&quot;"/>
    <numFmt numFmtId="219" formatCode="0.0&quot; Isc&quot;"/>
    <numFmt numFmtId="220" formatCode="0.00&quot;kW/m²/D&quot;"/>
    <numFmt numFmtId="221" formatCode="0.00&quot;kWhr/m²D&quot;"/>
    <numFmt numFmtId="222" formatCode=".0"/>
    <numFmt numFmtId="223" formatCode="0&quot;X&quot;"/>
    <numFmt numFmtId="224" formatCode="0&quot;Y&quot;"/>
    <numFmt numFmtId="225" formatCode="0&quot;n&quot;"/>
    <numFmt numFmtId="226" formatCode=".00&quot;X&quot;"/>
    <numFmt numFmtId="227" formatCode=".00&quot;Y&quot;"/>
    <numFmt numFmtId="228" formatCode=".00&quot;Z&quot;"/>
    <numFmt numFmtId="229" formatCode="0&quot; N&quot;"/>
    <numFmt numFmtId="230" formatCode="0&quot; Nm&quot;"/>
    <numFmt numFmtId="231" formatCode="0&quot; ft#&quot;"/>
    <numFmt numFmtId="232" formatCode="0.0000000000000"/>
    <numFmt numFmtId="233" formatCode="[Black]&quot;$&quot;#,##0;[Red]&quot;$&quot;\-#,##0"/>
    <numFmt numFmtId="234" formatCode="&quot;$&quot;.00&quot; /ft&quot;"/>
    <numFmt numFmtId="235" formatCode="0&quot;m&quot;"/>
    <numFmt numFmtId="236" formatCode="0.0&quot; Aac&quot;"/>
    <numFmt numFmtId="237" formatCode="0.00&quot;¢/kWhr&quot;"/>
    <numFmt numFmtId="238" formatCode="[Blue]&quot;$&quot;0,000&quot;/yr&quot;;[Red]&quot;$&quot;0,000&quot;/yr&quot;"/>
    <numFmt numFmtId="239" formatCode="[Blue]&quot;$&quot;0&quot;/M&quot;;[Red]&quot;$&quot;0&quot;/M&quot;"/>
    <numFmt numFmtId="240" formatCode="[Blue]0.0&quot; MWhr/M&quot;;[Red]0.0&quot; MWhr/M&quot;"/>
    <numFmt numFmtId="241" formatCode=".000&quot; #/in³&quot;"/>
    <numFmt numFmtId="242" formatCode="0&quot; #&quot;"/>
    <numFmt numFmtId="243" formatCode=".00&quot; ft&quot;"/>
    <numFmt numFmtId="244" formatCode=".0&quot; in⁴&quot;"/>
    <numFmt numFmtId="245" formatCode=".0&quot; #/ft&quot;"/>
    <numFmt numFmtId="246" formatCode="&quot;$&quot;.0&quot; /ft&quot;"/>
    <numFmt numFmtId="247" formatCode="0&quot; in#&quot;"/>
    <numFmt numFmtId="248" formatCode=".0000&quot; in&quot;"/>
    <numFmt numFmtId="249" formatCode=".0&quot; ft&quot;"/>
    <numFmt numFmtId="250" formatCode="0.000&quot; in&quot;"/>
    <numFmt numFmtId="251" formatCode="&quot;$&quot;0"/>
    <numFmt numFmtId="252" formatCode=".000&quot; SF&quot;"/>
    <numFmt numFmtId="253" formatCode=".00&quot; in&quot;"/>
    <numFmt numFmtId="254" formatCode="0.00&quot; RPs&quot;"/>
    <numFmt numFmtId="255" formatCode="0&quot;/1&quot;"/>
    <numFmt numFmtId="256" formatCode="0.00&quot;¢/W&quot;"/>
    <numFmt numFmtId="257" formatCode="[Red]&quot;$&quot;#,##0;[Black]&quot;$&quot;\-#,##0"/>
    <numFmt numFmtId="258" formatCode="0&quot;% CC&quot;"/>
    <numFmt numFmtId="259" formatCode="0&quot;% MC&quot;"/>
    <numFmt numFmtId="260" formatCode="0&quot;% EC&quot;"/>
    <numFmt numFmtId="261" formatCode="0&quot;% PV&quot;"/>
    <numFmt numFmtId="262" formatCode=".00&quot;/1&quot;"/>
    <numFmt numFmtId="263" formatCode="0&quot; Rows&quot;"/>
    <numFmt numFmtId="264" formatCode="0&quot; Columns&quot;"/>
    <numFmt numFmtId="265" formatCode="&quot;Rebates &quot;0%"/>
    <numFmt numFmtId="266" formatCode="[Blue].00&quot; yrPB&quot;;[Red].00&quot; yrPB&quot;"/>
    <numFmt numFmtId="267" formatCode="[Blue]#\ ?/12&quot; yr&quot;;[Red]#\ ?/12&quot; yr&quot;"/>
    <numFmt numFmtId="268" formatCode="0.0&quot;°&quot;"/>
    <numFmt numFmtId="269" formatCode="0.00&quot; in&quot;"/>
    <numFmt numFmtId="270" formatCode="0&quot; in&quot;"/>
    <numFmt numFmtId="271" formatCode="0&quot; mm&quot;"/>
    <numFmt numFmtId="272" formatCode="&quot;$&quot;.0&quot;/ft&quot;"/>
    <numFmt numFmtId="273" formatCode=".00&quot;ft&quot;"/>
    <numFmt numFmtId="274" formatCode="0.0&quot;  kW&quot;"/>
    <numFmt numFmtId="275" formatCode="General&quot; W/P&quot;"/>
    <numFmt numFmtId="276" formatCode="General&quot; Rows&quot;"/>
    <numFmt numFmtId="277" formatCode="General&quot; Cols&quot;"/>
    <numFmt numFmtId="278" formatCode="General&quot; W/Mt&quot;"/>
    <numFmt numFmtId="279" formatCode="General&quot; Mt/A&quot;"/>
    <numFmt numFmtId="280" formatCode=".0&quot; kW/A&quot;"/>
    <numFmt numFmtId="281" formatCode="General&quot; P/Mt&quot;"/>
    <numFmt numFmtId="282" formatCode="##"/>
    <numFmt numFmtId="283" formatCode="&quot;$&quot;#,##0.0"/>
    <numFmt numFmtId="284" formatCode="0.0\ \W"/>
    <numFmt numFmtId="285" formatCode="&quot;IncTax &quot;0%"/>
    <numFmt numFmtId="286" formatCode=".000\&quot;"/>
    <numFmt numFmtId="287" formatCode=".00\&quot;"/>
    <numFmt numFmtId="288" formatCode=".0\&quot;"/>
    <numFmt numFmtId="289" formatCode="0\&quot;\O\z"/>
    <numFmt numFmtId="290" formatCode=".0\&quot;\#"/>
    <numFmt numFmtId="291" formatCode=".00\'\#"/>
    <numFmt numFmtId="292" formatCode="0.0\'"/>
    <numFmt numFmtId="293" formatCode="0\#"/>
    <numFmt numFmtId="294" formatCode=".00\&quot;&quot;ID&quot;"/>
    <numFmt numFmtId="295" formatCode=".00\&quot;&quot;³&quot;"/>
    <numFmt numFmtId="296" formatCode=".0\k\&quot;\#"/>
    <numFmt numFmtId="297" formatCode=".0\&quot;\⁴"/>
    <numFmt numFmtId="298" formatCode=".0\'"/>
    <numFmt numFmtId="299" formatCode="0.0\#"/>
    <numFmt numFmtId="300" formatCode="0\#\/\&quot;\²"/>
    <numFmt numFmtId="301" formatCode=".00\&quot;\²"/>
    <numFmt numFmtId="302" formatCode=".00000\&quot;\⁴"/>
    <numFmt numFmtId="303" formatCode=".0000\&quot;&quot;³&quot;"/>
    <numFmt numFmtId="304" formatCode=".00\&quot;\³"/>
    <numFmt numFmtId="305" formatCode="0&quot;kg/cm²&quot;"/>
    <numFmt numFmtId="306" formatCode="0\&quot;\#"/>
    <numFmt numFmtId="307" formatCode=".0000\&quot;"/>
    <numFmt numFmtId="308" formatCode=".000000\&quot;"/>
    <numFmt numFmtId="309" formatCode=".000\&quot;&quot;Dia&quot;"/>
    <numFmt numFmtId="310" formatCode="0.00\&quot;\#"/>
    <numFmt numFmtId="311" formatCode="0.0\&quot;\#"/>
    <numFmt numFmtId="312" formatCode="0.000\'"/>
    <numFmt numFmtId="313" formatCode="0.0&quot;Wmp&quot;"/>
    <numFmt numFmtId="314" formatCode="0.00&quot;Imp&quot;"/>
    <numFmt numFmtId="315" formatCode="0.0&quot;Vmp&quot;"/>
    <numFmt numFmtId="316" formatCode="0.00&quot;Voc&quot;"/>
    <numFmt numFmtId="317" formatCode="0.0&quot;Wmx&quot;"/>
    <numFmt numFmtId="318" formatCode="0.000&quot;Isc&quot;"/>
    <numFmt numFmtId="319" formatCode="0.00&quot;kW&quot;"/>
    <numFmt numFmtId="320" formatCode="0.00&quot;hp&quot;"/>
    <numFmt numFmtId="321" formatCode=".000\'"/>
    <numFmt numFmtId="322" formatCode="0.00&quot;RPM&quot;"/>
    <numFmt numFmtId="323" formatCode="0&quot;N&quot;"/>
    <numFmt numFmtId="324" formatCode="0\'"/>
    <numFmt numFmtId="325" formatCode="&quot;$&quot;.00&quot;/#&quot;"/>
    <numFmt numFmtId="326" formatCode=".00\&quot;&quot;OD&quot;"/>
    <numFmt numFmtId="327" formatCode="0\k\&quot;\#"/>
    <numFmt numFmtId="328" formatCode=".0\&quot;\³"/>
    <numFmt numFmtId="329" formatCode=".0\&quot;&quot;³&quot;"/>
  </numFmts>
  <fonts count="85">
    <font>
      <sz val="11"/>
      <color theme="1"/>
      <name val="Calibri"/>
      <family val="2"/>
      <scheme val="minor"/>
    </font>
    <font>
      <b/>
      <sz val="24"/>
      <color rgb="FFFF0000"/>
      <name val="Calibri"/>
      <family val="2"/>
      <scheme val="minor"/>
    </font>
    <font>
      <b/>
      <sz val="9"/>
      <color indexed="81"/>
      <name val="Tahoma"/>
      <family val="2"/>
    </font>
    <font>
      <b/>
      <sz val="11"/>
      <color theme="1"/>
      <name val="Calibri"/>
      <family val="2"/>
      <scheme val="minor"/>
    </font>
    <font>
      <b/>
      <sz val="12"/>
      <color theme="1"/>
      <name val="Calibri"/>
      <family val="2"/>
      <scheme val="minor"/>
    </font>
    <font>
      <b/>
      <sz val="11"/>
      <name val="Calibri"/>
      <family val="2"/>
      <scheme val="minor"/>
    </font>
    <font>
      <b/>
      <sz val="12"/>
      <name val="Calibri"/>
      <family val="2"/>
      <scheme val="minor"/>
    </font>
    <font>
      <b/>
      <sz val="11"/>
      <color rgb="FF00B050"/>
      <name val="Calibri"/>
      <family val="2"/>
      <scheme val="minor"/>
    </font>
    <font>
      <b/>
      <sz val="16"/>
      <color rgb="FF00B050"/>
      <name val="Cordia New"/>
      <family val="2"/>
    </font>
    <font>
      <b/>
      <sz val="16"/>
      <color theme="1"/>
      <name val="Cordia New"/>
      <family val="2"/>
    </font>
    <font>
      <b/>
      <sz val="16"/>
      <name val="Cordia New"/>
      <family val="2"/>
    </font>
    <font>
      <b/>
      <sz val="9"/>
      <name val="Calibri"/>
      <family val="2"/>
      <scheme val="minor"/>
    </font>
    <font>
      <b/>
      <sz val="9"/>
      <color theme="1"/>
      <name val="Calibri"/>
      <family val="2"/>
      <scheme val="minor"/>
    </font>
    <font>
      <sz val="9"/>
      <color theme="1"/>
      <name val="Calibri"/>
      <family val="2"/>
      <scheme val="minor"/>
    </font>
    <font>
      <u/>
      <sz val="11"/>
      <color theme="10"/>
      <name val="Calibri"/>
      <family val="2"/>
    </font>
    <font>
      <b/>
      <sz val="11"/>
      <color theme="0"/>
      <name val="Calibri"/>
      <family val="2"/>
      <scheme val="minor"/>
    </font>
    <font>
      <b/>
      <sz val="22"/>
      <color rgb="FFFF0000"/>
      <name val="Courier New"/>
      <family val="3"/>
    </font>
    <font>
      <b/>
      <sz val="12"/>
      <color theme="1"/>
      <name val="Courier New"/>
      <family val="3"/>
    </font>
    <font>
      <sz val="9"/>
      <color indexed="81"/>
      <name val="Tahoma"/>
      <family val="2"/>
    </font>
    <font>
      <sz val="12"/>
      <color theme="1"/>
      <name val="Calibri"/>
      <family val="2"/>
      <scheme val="minor"/>
    </font>
    <font>
      <b/>
      <sz val="16"/>
      <color rgb="FFFF0000"/>
      <name val="Arial"/>
      <family val="2"/>
    </font>
    <font>
      <b/>
      <sz val="16"/>
      <color indexed="12"/>
      <name val="Arial"/>
      <family val="2"/>
    </font>
    <font>
      <b/>
      <sz val="16"/>
      <color rgb="FF00B050"/>
      <name val="Arial"/>
      <family val="2"/>
    </font>
    <font>
      <b/>
      <sz val="14"/>
      <color rgb="FF00B050"/>
      <name val="Arial"/>
      <family val="2"/>
    </font>
    <font>
      <b/>
      <sz val="14"/>
      <color indexed="12"/>
      <name val="Arial"/>
      <family val="2"/>
    </font>
    <font>
      <b/>
      <sz val="12"/>
      <color indexed="10"/>
      <name val="Arial"/>
      <family val="2"/>
    </font>
    <font>
      <b/>
      <sz val="12"/>
      <color rgb="FF00B050"/>
      <name val="Arial"/>
      <family val="2"/>
    </font>
    <font>
      <b/>
      <sz val="8"/>
      <color rgb="FFFF0000"/>
      <name val="Arial"/>
      <family val="2"/>
    </font>
    <font>
      <b/>
      <sz val="8"/>
      <color rgb="FF00B050"/>
      <name val="Arial"/>
      <family val="2"/>
    </font>
    <font>
      <b/>
      <sz val="14"/>
      <color indexed="10"/>
      <name val="Arial"/>
      <family val="2"/>
    </font>
    <font>
      <sz val="10"/>
      <name val="Arial"/>
      <family val="2"/>
    </font>
    <font>
      <b/>
      <sz val="12"/>
      <color theme="1"/>
      <name val="Calibri"/>
      <family val="2"/>
    </font>
    <font>
      <b/>
      <sz val="13.2"/>
      <color theme="1"/>
      <name val="Calibri"/>
      <family val="2"/>
    </font>
    <font>
      <b/>
      <sz val="8"/>
      <color theme="1"/>
      <name val="Calibri"/>
      <family val="2"/>
      <scheme val="minor"/>
    </font>
    <font>
      <b/>
      <sz val="8"/>
      <color theme="0"/>
      <name val="Calibri"/>
      <family val="2"/>
      <scheme val="minor"/>
    </font>
    <font>
      <u/>
      <sz val="9"/>
      <color theme="1"/>
      <name val="Calibri"/>
      <family val="2"/>
    </font>
    <font>
      <u/>
      <sz val="9"/>
      <color theme="10"/>
      <name val="Calibri"/>
      <family val="2"/>
    </font>
    <font>
      <b/>
      <sz val="12"/>
      <color rgb="FF00DC64"/>
      <name val="Calibri"/>
      <family val="2"/>
      <scheme val="minor"/>
    </font>
    <font>
      <b/>
      <sz val="16"/>
      <color rgb="FF00DC64"/>
      <name val="Cordia New"/>
      <family val="2"/>
    </font>
    <font>
      <b/>
      <sz val="11"/>
      <color rgb="FF00DC64"/>
      <name val="Calibri"/>
      <family val="2"/>
      <scheme val="minor"/>
    </font>
    <font>
      <sz val="10"/>
      <color theme="1"/>
      <name val="Calibri"/>
      <family val="2"/>
      <scheme val="minor"/>
    </font>
    <font>
      <sz val="24"/>
      <color rgb="FFFF0000"/>
      <name val="Calibri"/>
      <family val="2"/>
      <scheme val="minor"/>
    </font>
    <font>
      <b/>
      <sz val="10"/>
      <color theme="1"/>
      <name val="Courier New"/>
      <family val="3"/>
    </font>
    <font>
      <b/>
      <sz val="16"/>
      <color rgb="FFFF0000"/>
      <name val="Courier New"/>
      <family val="3"/>
    </font>
    <font>
      <b/>
      <sz val="10"/>
      <color rgb="FF0000FF"/>
      <name val="Courier New"/>
      <family val="3"/>
    </font>
    <font>
      <b/>
      <sz val="10"/>
      <color theme="1"/>
      <name val="Calibri"/>
      <family val="2"/>
      <scheme val="minor"/>
    </font>
    <font>
      <b/>
      <sz val="10"/>
      <color rgb="FF00DC64"/>
      <name val="Courier New"/>
      <family val="3"/>
    </font>
    <font>
      <b/>
      <sz val="10"/>
      <color rgb="FF00B050"/>
      <name val="Courier New"/>
      <family val="3"/>
    </font>
    <font>
      <b/>
      <sz val="10"/>
      <color rgb="FFFF0000"/>
      <name val="Courier New"/>
      <family val="3"/>
    </font>
    <font>
      <b/>
      <sz val="12"/>
      <color theme="1"/>
      <name val="Rod"/>
      <family val="3"/>
      <charset val="177"/>
    </font>
    <font>
      <sz val="8"/>
      <color theme="1"/>
      <name val="Calibri"/>
      <family val="2"/>
      <scheme val="minor"/>
    </font>
    <font>
      <u/>
      <sz val="8"/>
      <color theme="10"/>
      <name val="Calibri"/>
      <family val="2"/>
    </font>
    <font>
      <sz val="8"/>
      <color rgb="FF0070C0"/>
      <name val="Calibri"/>
      <family val="2"/>
      <scheme val="minor"/>
    </font>
    <font>
      <b/>
      <u/>
      <sz val="8"/>
      <color theme="10"/>
      <name val="Calibri"/>
      <family val="2"/>
    </font>
    <font>
      <u/>
      <sz val="6"/>
      <color theme="10"/>
      <name val="Small Fonts"/>
      <family val="2"/>
    </font>
    <font>
      <b/>
      <sz val="18"/>
      <color rgb="FFFF0000"/>
      <name val="Calibri"/>
      <family val="2"/>
      <scheme val="minor"/>
    </font>
    <font>
      <b/>
      <sz val="10"/>
      <color theme="0"/>
      <name val="Calibri"/>
      <family val="2"/>
      <scheme val="minor"/>
    </font>
    <font>
      <b/>
      <u/>
      <sz val="11"/>
      <color theme="10"/>
      <name val="Calibri"/>
      <family val="2"/>
    </font>
    <font>
      <b/>
      <sz val="11"/>
      <color rgb="FF92D050"/>
      <name val="Calibri"/>
      <family val="2"/>
      <scheme val="minor"/>
    </font>
    <font>
      <b/>
      <u/>
      <sz val="9"/>
      <color theme="10"/>
      <name val="Calibri"/>
      <family val="2"/>
    </font>
    <font>
      <b/>
      <sz val="11"/>
      <color theme="1"/>
      <name val="SymbolProp BT"/>
      <family val="1"/>
      <charset val="2"/>
    </font>
    <font>
      <b/>
      <sz val="9"/>
      <color theme="1"/>
      <name val="Courier New"/>
      <family val="3"/>
    </font>
    <font>
      <b/>
      <sz val="9"/>
      <color rgb="FF00DC64"/>
      <name val="Calibri"/>
      <family val="2"/>
      <scheme val="minor"/>
    </font>
    <font>
      <b/>
      <sz val="28"/>
      <color rgb="FFFF0000"/>
      <name val="Calibri"/>
      <family val="2"/>
      <scheme val="minor"/>
    </font>
    <font>
      <sz val="9"/>
      <color theme="1"/>
      <name val="Calibri"/>
      <family val="2"/>
    </font>
    <font>
      <b/>
      <sz val="9"/>
      <color rgb="FF0000FF"/>
      <name val="Calibri"/>
      <family val="2"/>
      <scheme val="minor"/>
    </font>
    <font>
      <b/>
      <u/>
      <sz val="9"/>
      <color rgb="FF0000FF"/>
      <name val="Calibri"/>
      <family val="2"/>
      <scheme val="minor"/>
    </font>
    <font>
      <b/>
      <u/>
      <sz val="10"/>
      <color rgb="FF0000FF"/>
      <name val="Calibri"/>
      <family val="2"/>
      <scheme val="minor"/>
    </font>
    <font>
      <b/>
      <u/>
      <sz val="10"/>
      <color rgb="FF0000FF"/>
      <name val="Courier New"/>
      <family val="3"/>
    </font>
    <font>
      <u/>
      <sz val="9"/>
      <color rgb="FF0000FF"/>
      <name val="Calibri"/>
      <family val="2"/>
      <scheme val="minor"/>
    </font>
    <font>
      <b/>
      <sz val="11"/>
      <color rgb="FFCC0099"/>
      <name val="Calibri"/>
      <family val="2"/>
      <scheme val="minor"/>
    </font>
    <font>
      <b/>
      <sz val="9"/>
      <color rgb="FFCC0099"/>
      <name val="Calibri"/>
      <family val="2"/>
      <scheme val="minor"/>
    </font>
    <font>
      <b/>
      <sz val="10"/>
      <color rgb="FF00CC00"/>
      <name val="Calibri"/>
      <family val="2"/>
      <scheme val="minor"/>
    </font>
    <font>
      <b/>
      <u/>
      <sz val="10"/>
      <color rgb="FF00DC64"/>
      <name val="Calibri"/>
      <family val="2"/>
      <scheme val="minor"/>
    </font>
    <font>
      <b/>
      <sz val="10"/>
      <color rgb="FF0000FF"/>
      <name val="Calibri"/>
      <family val="2"/>
      <scheme val="minor"/>
    </font>
    <font>
      <b/>
      <sz val="10"/>
      <color rgb="FFFF0000"/>
      <name val="Calibri"/>
      <family val="2"/>
      <scheme val="minor"/>
    </font>
    <font>
      <b/>
      <sz val="10"/>
      <color rgb="FFCC0099"/>
      <name val="Calibri"/>
      <family val="2"/>
      <scheme val="minor"/>
    </font>
    <font>
      <sz val="8"/>
      <color rgb="FFFF0000"/>
      <name val="Calibri"/>
      <family val="2"/>
      <scheme val="minor"/>
    </font>
    <font>
      <sz val="8"/>
      <color rgb="FF0000FF"/>
      <name val="Calibri"/>
      <family val="2"/>
      <scheme val="minor"/>
    </font>
    <font>
      <b/>
      <sz val="11"/>
      <color rgb="FF0000FF"/>
      <name val="Calibri"/>
      <family val="2"/>
      <scheme val="minor"/>
    </font>
    <font>
      <b/>
      <sz val="10"/>
      <color rgb="FF00DC64"/>
      <name val="Calibri"/>
      <family val="2"/>
      <scheme val="minor"/>
    </font>
    <font>
      <sz val="8"/>
      <color theme="0"/>
      <name val="Calibri"/>
      <family val="2"/>
      <scheme val="minor"/>
    </font>
    <font>
      <u/>
      <sz val="8"/>
      <color theme="1"/>
      <name val="Calibri"/>
      <family val="2"/>
    </font>
    <font>
      <b/>
      <sz val="8"/>
      <color rgb="FF00DC64"/>
      <name val="Calibri"/>
      <family val="2"/>
      <scheme val="minor"/>
    </font>
    <font>
      <b/>
      <u/>
      <sz val="8"/>
      <color theme="1"/>
      <name val="Calibri"/>
      <family val="2"/>
    </font>
  </fonts>
  <fills count="54">
    <fill>
      <patternFill patternType="none"/>
    </fill>
    <fill>
      <patternFill patternType="gray125"/>
    </fill>
    <fill>
      <patternFill patternType="solid">
        <fgColor rgb="FFD2D2FF"/>
        <bgColor indexed="64"/>
      </patternFill>
    </fill>
    <fill>
      <patternFill patternType="solid">
        <fgColor rgb="FFFFFFEF"/>
        <bgColor indexed="64"/>
      </patternFill>
    </fill>
    <fill>
      <patternFill patternType="solid">
        <fgColor rgb="FF64E6FF"/>
        <bgColor indexed="64"/>
      </patternFill>
    </fill>
    <fill>
      <patternFill patternType="solid">
        <fgColor rgb="FFFF4040"/>
        <bgColor indexed="64"/>
      </patternFill>
    </fill>
    <fill>
      <patternFill patternType="solid">
        <fgColor rgb="FF40FF40"/>
        <bgColor indexed="64"/>
      </patternFill>
    </fill>
    <fill>
      <patternFill patternType="solid">
        <fgColor rgb="FF00B4FF"/>
        <bgColor indexed="64"/>
      </patternFill>
    </fill>
    <fill>
      <patternFill patternType="solid">
        <fgColor theme="1"/>
        <bgColor indexed="64"/>
      </patternFill>
    </fill>
    <fill>
      <patternFill patternType="solid">
        <fgColor rgb="FFE1FF64"/>
        <bgColor indexed="64"/>
      </patternFill>
    </fill>
    <fill>
      <patternFill patternType="solid">
        <fgColor theme="0"/>
        <bgColor indexed="64"/>
      </patternFill>
    </fill>
    <fill>
      <patternFill patternType="solid">
        <fgColor rgb="FFFFE132"/>
        <bgColor indexed="64"/>
      </patternFill>
    </fill>
    <fill>
      <patternFill patternType="solid">
        <fgColor rgb="FFF078E6"/>
        <bgColor indexed="64"/>
      </patternFill>
    </fill>
    <fill>
      <patternFill patternType="solid">
        <fgColor rgb="FFFF0000"/>
        <bgColor indexed="64"/>
      </patternFill>
    </fill>
    <fill>
      <patternFill patternType="solid">
        <fgColor rgb="FF00FF00"/>
        <bgColor indexed="64"/>
      </patternFill>
    </fill>
    <fill>
      <patternFill patternType="solid">
        <fgColor rgb="FF0000FF"/>
        <bgColor indexed="64"/>
      </patternFill>
    </fill>
    <fill>
      <patternFill patternType="solid">
        <fgColor rgb="FFFFFF00"/>
        <bgColor indexed="64"/>
      </patternFill>
    </fill>
    <fill>
      <patternFill patternType="solid">
        <fgColor rgb="FF00FFFF"/>
        <bgColor indexed="64"/>
      </patternFill>
    </fill>
    <fill>
      <patternFill patternType="solid">
        <fgColor rgb="FFE5E5FF"/>
        <bgColor indexed="64"/>
      </patternFill>
    </fill>
    <fill>
      <gradientFill>
        <stop position="0">
          <color rgb="FF80FF80"/>
        </stop>
        <stop position="1">
          <color rgb="FFFF8080"/>
        </stop>
      </gradientFill>
    </fill>
    <fill>
      <gradientFill>
        <stop position="0">
          <color rgb="FF8080FF"/>
        </stop>
        <stop position="1">
          <color rgb="FF80FF80"/>
        </stop>
      </gradientFill>
    </fill>
    <fill>
      <gradientFill>
        <stop position="0">
          <color rgb="FFFF8080"/>
        </stop>
        <stop position="1">
          <color rgb="FF8080FF"/>
        </stop>
      </gradientFill>
    </fill>
    <fill>
      <patternFill patternType="solid">
        <fgColor rgb="FF99FF99"/>
        <bgColor indexed="64"/>
      </patternFill>
    </fill>
    <fill>
      <patternFill patternType="solid">
        <fgColor rgb="FFFFFF81"/>
        <bgColor indexed="64"/>
      </patternFill>
    </fill>
    <fill>
      <patternFill patternType="solid">
        <fgColor rgb="FFCCECFF"/>
        <bgColor indexed="64"/>
      </patternFill>
    </fill>
    <fill>
      <patternFill patternType="solid">
        <fgColor rgb="FF66FFFF"/>
        <bgColor indexed="64"/>
      </patternFill>
    </fill>
    <fill>
      <patternFill patternType="solid">
        <fgColor rgb="FFFF6699"/>
        <bgColor indexed="64"/>
      </patternFill>
    </fill>
    <fill>
      <patternFill patternType="solid">
        <fgColor rgb="FFEFE700"/>
        <bgColor indexed="64"/>
      </patternFill>
    </fill>
    <fill>
      <patternFill patternType="solid">
        <fgColor rgb="FF69FFC2"/>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
      <patternFill patternType="solid">
        <fgColor rgb="FFFFE59B"/>
        <bgColor indexed="64"/>
      </patternFill>
    </fill>
    <fill>
      <patternFill patternType="solid">
        <fgColor rgb="FFC0C0FF"/>
        <bgColor indexed="64"/>
      </patternFill>
    </fill>
    <fill>
      <patternFill patternType="solid">
        <fgColor rgb="FFFFC0C0"/>
        <bgColor indexed="64"/>
      </patternFill>
    </fill>
    <fill>
      <patternFill patternType="solid">
        <fgColor rgb="FF8080FF"/>
        <bgColor indexed="64"/>
      </patternFill>
    </fill>
    <fill>
      <patternFill patternType="solid">
        <fgColor rgb="FF80FF80"/>
        <bgColor indexed="64"/>
      </patternFill>
    </fill>
    <fill>
      <patternFill patternType="solid">
        <fgColor rgb="FFFF8080"/>
        <bgColor indexed="64"/>
      </patternFill>
    </fill>
    <fill>
      <patternFill patternType="solid">
        <fgColor rgb="FFFFEFEF"/>
        <bgColor indexed="64"/>
      </patternFill>
    </fill>
    <fill>
      <patternFill patternType="solid">
        <fgColor rgb="FFEFEFFF"/>
        <bgColor indexed="64"/>
      </patternFill>
    </fill>
    <fill>
      <patternFill patternType="solid">
        <fgColor rgb="FFE0FFE0"/>
        <bgColor indexed="64"/>
      </patternFill>
    </fill>
    <fill>
      <patternFill patternType="solid">
        <fgColor rgb="FFFFBEF0"/>
        <bgColor indexed="64"/>
      </patternFill>
    </fill>
    <fill>
      <patternFill patternType="solid">
        <fgColor rgb="FFFFF0AA"/>
        <bgColor indexed="64"/>
      </patternFill>
    </fill>
    <fill>
      <patternFill patternType="solid">
        <fgColor rgb="FFFFC882"/>
        <bgColor indexed="64"/>
      </patternFill>
    </fill>
    <fill>
      <patternFill patternType="solid">
        <fgColor rgb="FFFFFFCC"/>
        <bgColor indexed="64"/>
      </patternFill>
    </fill>
    <fill>
      <patternFill patternType="solid">
        <fgColor rgb="FFFFCCCC"/>
        <bgColor indexed="64"/>
      </patternFill>
    </fill>
    <fill>
      <patternFill patternType="solid">
        <fgColor rgb="FFFFABFF"/>
        <bgColor indexed="64"/>
      </patternFill>
    </fill>
    <fill>
      <gradientFill>
        <stop position="0">
          <color rgb="FFFFCCCC"/>
        </stop>
        <stop position="1">
          <color rgb="FFCCFFCC"/>
        </stop>
      </gradientFill>
    </fill>
    <fill>
      <patternFill patternType="solid">
        <fgColor rgb="FFFF9797"/>
        <bgColor indexed="64"/>
      </patternFill>
    </fill>
    <fill>
      <patternFill patternType="solid">
        <fgColor rgb="FFFFD765"/>
        <bgColor auto="1"/>
      </patternFill>
    </fill>
    <fill>
      <patternFill patternType="solid">
        <fgColor rgb="FFFFFFFF"/>
        <bgColor indexed="64"/>
      </patternFill>
    </fill>
    <fill>
      <patternFill patternType="solid">
        <fgColor rgb="FFFFFF66"/>
        <bgColor indexed="64"/>
      </patternFill>
    </fill>
    <fill>
      <patternFill patternType="solid">
        <fgColor rgb="FFCAFFAF"/>
        <bgColor indexed="64"/>
      </patternFill>
    </fill>
    <fill>
      <patternFill patternType="solid">
        <fgColor rgb="FFDDFDFF"/>
        <bgColor indexed="64"/>
      </patternFill>
    </fill>
  </fills>
  <borders count="5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ck">
        <color rgb="FF00DC64"/>
      </left>
      <right/>
      <top style="thick">
        <color rgb="FF00DC64"/>
      </top>
      <bottom/>
      <diagonal/>
    </border>
    <border>
      <left/>
      <right/>
      <top style="thick">
        <color rgb="FF00DC64"/>
      </top>
      <bottom/>
      <diagonal/>
    </border>
    <border>
      <left/>
      <right style="thick">
        <color rgb="FF00DC64"/>
      </right>
      <top style="thick">
        <color rgb="FF00DC64"/>
      </top>
      <bottom/>
      <diagonal/>
    </border>
    <border>
      <left style="thick">
        <color rgb="FF00DC64"/>
      </left>
      <right/>
      <top/>
      <bottom/>
      <diagonal/>
    </border>
    <border>
      <left/>
      <right style="thick">
        <color rgb="FF00DC64"/>
      </right>
      <top/>
      <bottom/>
      <diagonal/>
    </border>
    <border>
      <left style="thick">
        <color rgb="FF00DC64"/>
      </left>
      <right/>
      <top/>
      <bottom style="thick">
        <color rgb="FF00DC64"/>
      </bottom>
      <diagonal/>
    </border>
    <border>
      <left/>
      <right/>
      <top/>
      <bottom style="thick">
        <color rgb="FF00DC64"/>
      </bottom>
      <diagonal/>
    </border>
    <border>
      <left/>
      <right style="thick">
        <color rgb="FF00DC64"/>
      </right>
      <top/>
      <bottom style="thick">
        <color rgb="FF00DC64"/>
      </bottom>
      <diagonal/>
    </border>
    <border>
      <left style="thick">
        <color rgb="FF0000FF"/>
      </left>
      <right style="thick">
        <color rgb="FF0000FF"/>
      </right>
      <top style="thick">
        <color rgb="FF0000FF"/>
      </top>
      <bottom style="thick">
        <color rgb="FF0000FF"/>
      </bottom>
      <diagonal/>
    </border>
    <border>
      <left style="thick">
        <color rgb="FF00DC64"/>
      </left>
      <right style="thick">
        <color rgb="FF00DC64"/>
      </right>
      <top style="thick">
        <color rgb="FF00DC64"/>
      </top>
      <bottom style="thick">
        <color rgb="FF00DC64"/>
      </bottom>
      <diagonal/>
    </border>
    <border>
      <left style="thick">
        <color rgb="FFFF0000"/>
      </left>
      <right style="thick">
        <color rgb="FFFF0000"/>
      </right>
      <top style="thick">
        <color rgb="FFFF0000"/>
      </top>
      <bottom style="thick">
        <color rgb="FFFF0000"/>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style="thick">
        <color auto="1"/>
      </right>
      <top/>
      <bottom/>
      <diagonal/>
    </border>
    <border>
      <left/>
      <right/>
      <top style="thick">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ck">
        <color auto="1"/>
      </top>
      <bottom/>
      <diagonal/>
    </border>
    <border>
      <left/>
      <right style="thick">
        <color auto="1"/>
      </right>
      <top style="thick">
        <color auto="1"/>
      </top>
      <bottom style="thick">
        <color auto="1"/>
      </bottom>
      <diagonal/>
    </border>
    <border>
      <left/>
      <right style="thick">
        <color auto="1"/>
      </right>
      <top/>
      <bottom style="medium">
        <color auto="1"/>
      </bottom>
      <diagonal/>
    </border>
    <border>
      <left style="medium">
        <color auto="1"/>
      </left>
      <right/>
      <top style="thick">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thick">
        <color auto="1"/>
      </right>
      <top/>
      <bottom style="thick">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rgb="FF00DC64"/>
      </left>
      <right style="medium">
        <color rgb="FFFF0000"/>
      </right>
      <top style="medium">
        <color rgb="FF00DC64"/>
      </top>
      <bottom/>
      <diagonal/>
    </border>
    <border>
      <left style="medium">
        <color rgb="FFFF0000"/>
      </left>
      <right style="medium">
        <color rgb="FFFF0000"/>
      </right>
      <top style="medium">
        <color rgb="FFFF0000"/>
      </top>
      <bottom/>
      <diagonal/>
    </border>
    <border>
      <left/>
      <right style="medium">
        <color rgb="FF00DC64"/>
      </right>
      <top/>
      <bottom style="thin">
        <color auto="1"/>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s>
  <cellStyleXfs count="2">
    <xf numFmtId="0" fontId="0" fillId="0" borderId="0"/>
    <xf numFmtId="0" fontId="14" fillId="0" borderId="0" applyNumberFormat="0" applyFill="0" applyBorder="0" applyAlignment="0" applyProtection="0">
      <alignment vertical="top"/>
      <protection locked="0"/>
    </xf>
  </cellStyleXfs>
  <cellXfs count="918">
    <xf numFmtId="0" fontId="0" fillId="0" borderId="0" xfId="0"/>
    <xf numFmtId="49" fontId="1" fillId="0" borderId="0" xfId="0" applyNumberFormat="1" applyFont="1" applyAlignment="1">
      <alignment horizontal="left" vertical="center"/>
    </xf>
    <xf numFmtId="0" fontId="3" fillId="0" borderId="0" xfId="0" applyFont="1"/>
    <xf numFmtId="0" fontId="4" fillId="0" borderId="0" xfId="0" applyFont="1" applyAlignment="1">
      <alignment horizontal="left" vertical="center"/>
    </xf>
    <xf numFmtId="0" fontId="4" fillId="0" borderId="0" xfId="0" applyFont="1"/>
    <xf numFmtId="0" fontId="4" fillId="0" borderId="0" xfId="0" applyFont="1" applyAlignment="1">
      <alignment horizontal="right" vertical="center"/>
    </xf>
    <xf numFmtId="164" fontId="5" fillId="0" borderId="0" xfId="0" applyNumberFormat="1" applyFont="1"/>
    <xf numFmtId="166" fontId="4" fillId="0" borderId="0" xfId="0" applyNumberFormat="1" applyFont="1" applyAlignment="1">
      <alignment horizontal="right" vertical="center"/>
    </xf>
    <xf numFmtId="0" fontId="4" fillId="3" borderId="0" xfId="0" applyFont="1" applyFill="1" applyAlignment="1">
      <alignment horizontal="right" vertical="center"/>
    </xf>
    <xf numFmtId="0" fontId="0" fillId="0" borderId="0" xfId="0" applyAlignment="1">
      <alignment horizontal="right" vertical="center"/>
    </xf>
    <xf numFmtId="1" fontId="0" fillId="0" borderId="0" xfId="0" applyNumberFormat="1"/>
    <xf numFmtId="164" fontId="0" fillId="0" borderId="0" xfId="0" applyNumberFormat="1"/>
    <xf numFmtId="165" fontId="0" fillId="0" borderId="0" xfId="0" applyNumberFormat="1"/>
    <xf numFmtId="2" fontId="0" fillId="0" borderId="0" xfId="0" applyNumberFormat="1"/>
    <xf numFmtId="2" fontId="0" fillId="0" borderId="0" xfId="0" applyNumberFormat="1" applyAlignment="1">
      <alignment horizontal="right" vertical="center"/>
    </xf>
    <xf numFmtId="167" fontId="0" fillId="0" borderId="0" xfId="0" applyNumberFormat="1" applyAlignment="1">
      <alignment horizontal="right" vertical="center"/>
    </xf>
    <xf numFmtId="165" fontId="6" fillId="0" borderId="0" xfId="0" applyNumberFormat="1" applyFont="1" applyFill="1" applyAlignment="1">
      <alignment horizontal="right" vertical="center"/>
    </xf>
    <xf numFmtId="165" fontId="4" fillId="0" borderId="0" xfId="0" applyNumberFormat="1" applyFont="1" applyAlignment="1">
      <alignment horizontal="right" vertical="center"/>
    </xf>
    <xf numFmtId="168" fontId="0" fillId="0" borderId="0" xfId="0" applyNumberFormat="1"/>
    <xf numFmtId="0" fontId="8" fillId="3" borderId="0" xfId="0" applyFont="1" applyFill="1" applyAlignment="1">
      <alignment horizontal="left" vertical="center"/>
    </xf>
    <xf numFmtId="0" fontId="9" fillId="3" borderId="0" xfId="0" applyFont="1" applyFill="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xf>
    <xf numFmtId="0" fontId="0" fillId="2" borderId="0" xfId="0" applyFill="1" applyAlignment="1">
      <alignment horizontal="right" vertical="center"/>
    </xf>
    <xf numFmtId="1" fontId="11" fillId="0" borderId="0" xfId="0" applyNumberFormat="1" applyFont="1" applyFill="1" applyAlignment="1">
      <alignment horizontal="right" vertical="center"/>
    </xf>
    <xf numFmtId="1" fontId="12" fillId="0" borderId="0" xfId="0" applyNumberFormat="1" applyFont="1" applyAlignment="1">
      <alignment horizontal="right" vertical="center"/>
    </xf>
    <xf numFmtId="1" fontId="13" fillId="0" borderId="0" xfId="0" applyNumberFormat="1" applyFont="1"/>
    <xf numFmtId="0" fontId="0" fillId="0" borderId="0" xfId="0" applyAlignment="1">
      <alignment horizontal="center" vertical="center"/>
    </xf>
    <xf numFmtId="164" fontId="5" fillId="0" borderId="0" xfId="0" applyNumberFormat="1" applyFont="1" applyAlignment="1">
      <alignment horizontal="left" vertical="center"/>
    </xf>
    <xf numFmtId="165" fontId="4" fillId="0" borderId="0" xfId="0" applyNumberFormat="1" applyFont="1" applyAlignment="1">
      <alignment horizontal="center" vertical="center"/>
    </xf>
    <xf numFmtId="49" fontId="3" fillId="4" borderId="0" xfId="0" applyNumberFormat="1" applyFont="1" applyFill="1"/>
    <xf numFmtId="175" fontId="3" fillId="4" borderId="0" xfId="0" applyNumberFormat="1" applyFont="1" applyFill="1" applyAlignment="1" applyProtection="1">
      <alignment horizontal="right" vertical="center"/>
      <protection locked="0"/>
    </xf>
    <xf numFmtId="169" fontId="3" fillId="4" borderId="0" xfId="0" applyNumberFormat="1" applyFont="1" applyFill="1" applyAlignment="1" applyProtection="1">
      <alignment horizontal="right" vertical="center"/>
      <protection locked="0"/>
    </xf>
    <xf numFmtId="170" fontId="3" fillId="4" borderId="0" xfId="0" applyNumberFormat="1" applyFont="1" applyFill="1" applyAlignment="1" applyProtection="1">
      <alignment horizontal="right" vertical="center"/>
      <protection locked="0"/>
    </xf>
    <xf numFmtId="171" fontId="3" fillId="4" borderId="0" xfId="0" applyNumberFormat="1" applyFont="1" applyFill="1" applyAlignment="1" applyProtection="1">
      <alignment horizontal="right" vertical="center"/>
      <protection locked="0"/>
    </xf>
    <xf numFmtId="172" fontId="3" fillId="4" borderId="0" xfId="0" applyNumberFormat="1" applyFont="1" applyFill="1" applyAlignment="1" applyProtection="1">
      <alignment horizontal="right" vertical="center"/>
      <protection locked="0"/>
    </xf>
    <xf numFmtId="173" fontId="3" fillId="4" borderId="0" xfId="0" applyNumberFormat="1" applyFont="1" applyFill="1" applyAlignment="1" applyProtection="1">
      <alignment horizontal="right" vertical="center"/>
      <protection locked="0"/>
    </xf>
    <xf numFmtId="49" fontId="4" fillId="5" borderId="0" xfId="0" applyNumberFormat="1" applyFont="1" applyFill="1" applyAlignment="1">
      <alignment horizontal="right" vertical="center"/>
    </xf>
    <xf numFmtId="165" fontId="6" fillId="5" borderId="0" xfId="0" applyNumberFormat="1" applyFont="1" applyFill="1" applyAlignment="1">
      <alignment horizontal="right" vertical="center"/>
    </xf>
    <xf numFmtId="0" fontId="4" fillId="5" borderId="0" xfId="0" applyFont="1" applyFill="1" applyAlignment="1">
      <alignment horizontal="right" vertical="center"/>
    </xf>
    <xf numFmtId="0" fontId="9" fillId="5" borderId="0" xfId="0" applyFont="1" applyFill="1" applyAlignment="1">
      <alignment horizontal="left" vertical="center"/>
    </xf>
    <xf numFmtId="0" fontId="9" fillId="6" borderId="0" xfId="0" applyFont="1" applyFill="1" applyAlignment="1">
      <alignment horizontal="left" vertical="center"/>
    </xf>
    <xf numFmtId="0" fontId="4" fillId="6" borderId="0" xfId="0" applyFont="1" applyFill="1" applyAlignment="1">
      <alignment horizontal="right" vertical="center"/>
    </xf>
    <xf numFmtId="49" fontId="4" fillId="6" borderId="0" xfId="0" applyNumberFormat="1" applyFont="1" applyFill="1" applyAlignment="1">
      <alignment horizontal="right" vertical="center"/>
    </xf>
    <xf numFmtId="165" fontId="6" fillId="6" borderId="0" xfId="0" applyNumberFormat="1" applyFont="1" applyFill="1" applyAlignment="1">
      <alignment horizontal="right" vertical="center"/>
    </xf>
    <xf numFmtId="0" fontId="9" fillId="7" borderId="0" xfId="0" applyFont="1" applyFill="1" applyAlignment="1">
      <alignment horizontal="left" vertical="center"/>
    </xf>
    <xf numFmtId="0" fontId="4" fillId="7" borderId="0" xfId="0" applyFont="1" applyFill="1" applyAlignment="1">
      <alignment horizontal="right" vertical="center"/>
    </xf>
    <xf numFmtId="165" fontId="4" fillId="7" borderId="0" xfId="0" applyNumberFormat="1" applyFont="1" applyFill="1" applyAlignment="1">
      <alignment horizontal="right" vertical="center"/>
    </xf>
    <xf numFmtId="49" fontId="4" fillId="7" borderId="0" xfId="0" applyNumberFormat="1" applyFont="1" applyFill="1" applyAlignment="1">
      <alignment horizontal="right" vertical="center"/>
    </xf>
    <xf numFmtId="165" fontId="6" fillId="7" borderId="0" xfId="0" applyNumberFormat="1" applyFont="1" applyFill="1" applyAlignment="1">
      <alignment horizontal="right" vertical="center"/>
    </xf>
    <xf numFmtId="0" fontId="14" fillId="0" borderId="0" xfId="1" applyAlignment="1" applyProtection="1"/>
    <xf numFmtId="1" fontId="11" fillId="7" borderId="0" xfId="0" applyNumberFormat="1" applyFont="1" applyFill="1" applyAlignment="1">
      <alignment horizontal="right" vertical="center"/>
    </xf>
    <xf numFmtId="1" fontId="12" fillId="7" borderId="0" xfId="0" applyNumberFormat="1" applyFont="1" applyFill="1" applyAlignment="1">
      <alignment horizontal="right" vertical="center"/>
    </xf>
    <xf numFmtId="1" fontId="11" fillId="6" borderId="0" xfId="0" applyNumberFormat="1" applyFont="1" applyFill="1" applyAlignment="1">
      <alignment horizontal="right" vertical="center"/>
    </xf>
    <xf numFmtId="1" fontId="12" fillId="6" borderId="0" xfId="0" applyNumberFormat="1" applyFont="1" applyFill="1" applyAlignment="1">
      <alignment horizontal="right" vertical="center"/>
    </xf>
    <xf numFmtId="1" fontId="11" fillId="5" borderId="0" xfId="0" applyNumberFormat="1" applyFont="1" applyFill="1" applyAlignment="1">
      <alignment horizontal="right" vertical="center"/>
    </xf>
    <xf numFmtId="0" fontId="15" fillId="8" borderId="0" xfId="0" applyFont="1" applyFill="1"/>
    <xf numFmtId="164" fontId="15" fillId="8" borderId="0" xfId="0" applyNumberFormat="1" applyFont="1" applyFill="1" applyAlignment="1">
      <alignment horizontal="left" vertical="center"/>
    </xf>
    <xf numFmtId="164" fontId="15" fillId="8" borderId="0" xfId="0" applyNumberFormat="1" applyFont="1" applyFill="1"/>
    <xf numFmtId="49" fontId="16" fillId="0" borderId="0" xfId="0" applyNumberFormat="1" applyFont="1"/>
    <xf numFmtId="0" fontId="17" fillId="0" borderId="0" xfId="0" applyFont="1"/>
    <xf numFmtId="166" fontId="19" fillId="0" borderId="0" xfId="0" applyNumberFormat="1" applyFont="1"/>
    <xf numFmtId="164" fontId="0" fillId="0" borderId="0" xfId="0" applyNumberFormat="1" applyAlignment="1">
      <alignment horizontal="right" vertical="center"/>
    </xf>
    <xf numFmtId="0" fontId="20" fillId="0" borderId="0" xfId="0" applyFont="1"/>
    <xf numFmtId="0" fontId="21" fillId="0" borderId="0" xfId="0" applyFont="1"/>
    <xf numFmtId="166" fontId="21" fillId="0" borderId="0" xfId="0" applyNumberFormat="1" applyFont="1"/>
    <xf numFmtId="180" fontId="21" fillId="0" borderId="0" xfId="0" applyNumberFormat="1" applyFont="1"/>
    <xf numFmtId="0" fontId="21" fillId="0" borderId="0" xfId="0" applyFont="1" applyAlignment="1">
      <alignment horizontal="center" vertical="center"/>
    </xf>
    <xf numFmtId="181" fontId="21" fillId="0" borderId="0" xfId="0" applyNumberFormat="1" applyFont="1" applyAlignment="1">
      <alignment horizontal="center" vertical="center"/>
    </xf>
    <xf numFmtId="0" fontId="22" fillId="0" borderId="0" xfId="0" applyFont="1" applyAlignment="1">
      <alignment horizontal="center" vertical="center"/>
    </xf>
    <xf numFmtId="181" fontId="23" fillId="0" borderId="0" xfId="0" applyNumberFormat="1" applyFont="1" applyAlignment="1">
      <alignment horizontal="center" vertical="center"/>
    </xf>
    <xf numFmtId="0" fontId="23" fillId="0" borderId="0" xfId="0" applyFont="1"/>
    <xf numFmtId="0" fontId="24" fillId="0" borderId="0" xfId="0" applyFont="1"/>
    <xf numFmtId="166" fontId="24" fillId="0" borderId="0" xfId="0" applyNumberFormat="1" applyFont="1"/>
    <xf numFmtId="180" fontId="24" fillId="0" borderId="0" xfId="0" applyNumberFormat="1" applyFont="1"/>
    <xf numFmtId="0" fontId="24" fillId="0" borderId="0" xfId="0" applyFont="1" applyAlignment="1">
      <alignment horizontal="center" vertical="center"/>
    </xf>
    <xf numFmtId="181" fontId="24" fillId="0" borderId="0" xfId="0" applyNumberFormat="1" applyFont="1" applyAlignment="1">
      <alignment horizontal="center" vertical="center"/>
    </xf>
    <xf numFmtId="0" fontId="23" fillId="0" borderId="0" xfId="0" applyFont="1" applyAlignment="1">
      <alignment horizontal="center" vertical="center"/>
    </xf>
    <xf numFmtId="180" fontId="0" fillId="0" borderId="0" xfId="0" applyNumberFormat="1"/>
    <xf numFmtId="0" fontId="25" fillId="0" borderId="0" xfId="0" applyFont="1" applyAlignment="1">
      <alignment horizontal="center" vertical="center"/>
    </xf>
    <xf numFmtId="181" fontId="0" fillId="0" borderId="0" xfId="0" applyNumberFormat="1" applyAlignment="1">
      <alignment horizontal="center" vertical="center"/>
    </xf>
    <xf numFmtId="0" fontId="26" fillId="0" borderId="0" xfId="0" applyFont="1" applyAlignment="1">
      <alignment horizontal="center" vertical="center"/>
    </xf>
    <xf numFmtId="181" fontId="27" fillId="0" borderId="0" xfId="0" applyNumberFormat="1" applyFont="1" applyAlignment="1">
      <alignment horizontal="center" vertical="center"/>
    </xf>
    <xf numFmtId="181" fontId="28" fillId="0" borderId="0" xfId="0" applyNumberFormat="1" applyFont="1" applyAlignment="1">
      <alignment horizontal="center" vertical="center"/>
    </xf>
    <xf numFmtId="0" fontId="26" fillId="0" borderId="0" xfId="0" applyFont="1"/>
    <xf numFmtId="0" fontId="29" fillId="0" borderId="0" xfId="0" applyFont="1"/>
    <xf numFmtId="164" fontId="30" fillId="0" borderId="0" xfId="0" applyNumberFormat="1" applyFont="1"/>
    <xf numFmtId="165" fontId="30" fillId="0" borderId="0" xfId="0" applyNumberFormat="1" applyFont="1"/>
    <xf numFmtId="0" fontId="29" fillId="0" borderId="0" xfId="0" applyFont="1" applyAlignment="1">
      <alignment horizontal="center" vertical="center"/>
    </xf>
    <xf numFmtId="181" fontId="29" fillId="0" borderId="0" xfId="0" applyNumberFormat="1" applyFont="1" applyAlignment="1">
      <alignment horizontal="center" vertical="center"/>
    </xf>
    <xf numFmtId="166" fontId="0" fillId="0" borderId="0" xfId="0" applyNumberFormat="1"/>
    <xf numFmtId="0" fontId="14" fillId="0" borderId="0" xfId="1" applyAlignment="1" applyProtection="1">
      <alignment horizontal="left" vertical="center"/>
    </xf>
    <xf numFmtId="2" fontId="0" fillId="0" borderId="0" xfId="0" applyNumberFormat="1" applyAlignment="1">
      <alignment horizontal="center" vertical="center"/>
    </xf>
    <xf numFmtId="164" fontId="0" fillId="0" borderId="0" xfId="0" applyNumberFormat="1" applyAlignment="1">
      <alignment horizontal="center" vertical="center"/>
    </xf>
    <xf numFmtId="1" fontId="0" fillId="0" borderId="0" xfId="0" applyNumberFormat="1" applyAlignment="1">
      <alignment horizontal="center" vertical="center"/>
    </xf>
    <xf numFmtId="0" fontId="14" fillId="0" borderId="0" xfId="1" applyAlignment="1" applyProtection="1">
      <alignment horizontal="center" vertical="center"/>
    </xf>
    <xf numFmtId="2" fontId="0" fillId="0" borderId="0" xfId="0" applyNumberFormat="1" applyAlignment="1">
      <alignment horizontal="left" vertical="center"/>
    </xf>
    <xf numFmtId="192" fontId="4" fillId="3" borderId="0" xfId="0" applyNumberFormat="1" applyFont="1" applyFill="1" applyAlignment="1">
      <alignment horizontal="right" vertical="center"/>
    </xf>
    <xf numFmtId="193" fontId="3" fillId="4" borderId="0" xfId="0" applyNumberFormat="1" applyFont="1" applyFill="1" applyAlignment="1" applyProtection="1">
      <alignment horizontal="right" vertical="center"/>
      <protection locked="0"/>
    </xf>
    <xf numFmtId="0" fontId="31" fillId="0" borderId="0" xfId="0" applyFont="1" applyAlignment="1">
      <alignment horizontal="center" vertical="center"/>
    </xf>
    <xf numFmtId="0" fontId="0" fillId="0" borderId="0" xfId="0" applyNumberFormat="1" applyFont="1"/>
    <xf numFmtId="0" fontId="0" fillId="8" borderId="0" xfId="0" applyNumberFormat="1" applyFont="1" applyFill="1"/>
    <xf numFmtId="0" fontId="4" fillId="0" borderId="0" xfId="0" applyFont="1" applyAlignment="1">
      <alignment vertical="center"/>
    </xf>
    <xf numFmtId="49" fontId="0" fillId="0" borderId="0" xfId="0" applyNumberFormat="1" applyAlignment="1">
      <alignment horizontal="center" vertical="center" shrinkToFit="1"/>
    </xf>
    <xf numFmtId="203" fontId="0" fillId="0" borderId="0" xfId="0" applyNumberFormat="1"/>
    <xf numFmtId="49" fontId="3" fillId="4" borderId="0" xfId="0" applyNumberFormat="1" applyFont="1" applyFill="1" applyAlignment="1">
      <alignment horizontal="left" vertical="center"/>
    </xf>
    <xf numFmtId="204" fontId="7" fillId="2" borderId="0" xfId="0" applyNumberFormat="1" applyFont="1" applyFill="1" applyAlignment="1" applyProtection="1">
      <alignment horizontal="right" vertical="center"/>
      <protection locked="0"/>
    </xf>
    <xf numFmtId="204" fontId="0" fillId="0" borderId="0" xfId="0" applyNumberFormat="1" applyAlignment="1">
      <alignment horizontal="right" vertical="center"/>
    </xf>
    <xf numFmtId="1" fontId="33" fillId="0" borderId="0" xfId="0" applyNumberFormat="1" applyFont="1" applyAlignment="1">
      <alignment horizontal="center" vertical="center"/>
    </xf>
    <xf numFmtId="49" fontId="33" fillId="0" borderId="0" xfId="0" applyNumberFormat="1" applyFont="1" applyAlignment="1">
      <alignment horizontal="center" vertical="center"/>
    </xf>
    <xf numFmtId="49" fontId="33" fillId="4" borderId="0" xfId="0" applyNumberFormat="1" applyFont="1" applyFill="1" applyAlignment="1">
      <alignment horizontal="center" vertical="center"/>
    </xf>
    <xf numFmtId="1" fontId="34" fillId="8" borderId="0" xfId="0" applyNumberFormat="1" applyFont="1" applyFill="1" applyAlignment="1">
      <alignment horizontal="center" vertical="center"/>
    </xf>
    <xf numFmtId="0" fontId="33" fillId="0" borderId="0" xfId="0" applyFont="1" applyAlignment="1">
      <alignment horizontal="center" vertical="center"/>
    </xf>
    <xf numFmtId="0" fontId="5" fillId="0" borderId="0" xfId="0" applyNumberFormat="1" applyFont="1" applyAlignment="1">
      <alignment horizontal="left" vertical="center"/>
    </xf>
    <xf numFmtId="0" fontId="3" fillId="0" borderId="0" xfId="0" applyFont="1" applyAlignment="1">
      <alignment horizontal="left" vertical="center" shrinkToFit="1"/>
    </xf>
    <xf numFmtId="0" fontId="33" fillId="5" borderId="0" xfId="0" applyFont="1" applyFill="1" applyAlignment="1">
      <alignment horizontal="center" vertical="center"/>
    </xf>
    <xf numFmtId="0" fontId="4" fillId="10" borderId="0" xfId="0" applyFont="1" applyFill="1" applyAlignment="1">
      <alignment horizontal="right" vertical="center"/>
    </xf>
    <xf numFmtId="165" fontId="4" fillId="10" borderId="0" xfId="0" applyNumberFormat="1" applyFont="1" applyFill="1" applyAlignment="1">
      <alignment horizontal="center" vertical="center"/>
    </xf>
    <xf numFmtId="0" fontId="33" fillId="10" borderId="0" xfId="0" applyFont="1" applyFill="1" applyAlignment="1">
      <alignment horizontal="center" vertical="center"/>
    </xf>
    <xf numFmtId="1" fontId="12" fillId="10" borderId="0" xfId="0" applyNumberFormat="1" applyFont="1" applyFill="1" applyAlignment="1">
      <alignment horizontal="right" vertical="center"/>
    </xf>
    <xf numFmtId="0" fontId="33" fillId="7" borderId="0" xfId="0" applyFont="1" applyFill="1" applyAlignment="1">
      <alignment horizontal="center" vertical="center"/>
    </xf>
    <xf numFmtId="165" fontId="3" fillId="0" borderId="0" xfId="0" applyNumberFormat="1" applyFont="1"/>
    <xf numFmtId="165" fontId="6" fillId="10" borderId="0" xfId="0" applyNumberFormat="1" applyFont="1" applyFill="1" applyAlignment="1">
      <alignment horizontal="right" vertical="center"/>
    </xf>
    <xf numFmtId="1" fontId="33" fillId="10" borderId="0" xfId="0" applyNumberFormat="1" applyFont="1" applyFill="1" applyAlignment="1">
      <alignment horizontal="center" vertical="center"/>
    </xf>
    <xf numFmtId="1" fontId="11" fillId="10" borderId="0" xfId="0" applyNumberFormat="1" applyFont="1" applyFill="1" applyAlignment="1">
      <alignment horizontal="right" vertical="center"/>
    </xf>
    <xf numFmtId="165" fontId="4" fillId="10" borderId="0" xfId="0" applyNumberFormat="1" applyFont="1" applyFill="1" applyAlignment="1">
      <alignment horizontal="right" vertical="center"/>
    </xf>
    <xf numFmtId="0" fontId="33" fillId="0" borderId="0" xfId="0" applyFont="1"/>
    <xf numFmtId="214" fontId="3" fillId="10" borderId="0" xfId="0" applyNumberFormat="1" applyFont="1" applyFill="1" applyAlignment="1" applyProtection="1">
      <alignment horizontal="right" vertical="center"/>
      <protection locked="0"/>
    </xf>
    <xf numFmtId="0" fontId="4" fillId="0" borderId="0" xfId="0" applyFont="1" applyAlignment="1">
      <alignment horizontal="center" vertical="center"/>
    </xf>
    <xf numFmtId="194" fontId="6" fillId="7" borderId="0" xfId="0" applyNumberFormat="1" applyFont="1" applyFill="1" applyAlignment="1" applyProtection="1">
      <alignment horizontal="right" vertical="center"/>
    </xf>
    <xf numFmtId="194" fontId="6" fillId="6" borderId="0" xfId="0" applyNumberFormat="1" applyFont="1" applyFill="1" applyAlignment="1" applyProtection="1">
      <alignment horizontal="right" vertical="center"/>
    </xf>
    <xf numFmtId="194" fontId="6" fillId="5" borderId="0" xfId="0" applyNumberFormat="1" applyFont="1" applyFill="1" applyAlignment="1" applyProtection="1">
      <alignment horizontal="right" vertical="center"/>
    </xf>
    <xf numFmtId="0" fontId="9" fillId="12" borderId="0" xfId="0" applyFont="1" applyFill="1" applyAlignment="1">
      <alignment horizontal="left" vertical="center"/>
    </xf>
    <xf numFmtId="49" fontId="33" fillId="10" borderId="0" xfId="0" applyNumberFormat="1" applyFont="1" applyFill="1" applyAlignment="1">
      <alignment horizontal="center" vertical="center"/>
    </xf>
    <xf numFmtId="217" fontId="0" fillId="0" borderId="0" xfId="0" applyNumberFormat="1" applyAlignment="1">
      <alignment horizontal="right" vertical="center"/>
    </xf>
    <xf numFmtId="0" fontId="0" fillId="0" borderId="0" xfId="0" applyNumberFormat="1" applyAlignment="1">
      <alignment horizontal="center" vertical="center"/>
    </xf>
    <xf numFmtId="0" fontId="13" fillId="0" borderId="0" xfId="0" applyFont="1" applyAlignment="1">
      <alignment vertical="center"/>
    </xf>
    <xf numFmtId="213" fontId="35" fillId="0" borderId="0" xfId="1" applyNumberFormat="1" applyFont="1" applyAlignment="1" applyProtection="1">
      <alignment horizontal="center" vertical="center"/>
    </xf>
    <xf numFmtId="212" fontId="35" fillId="0" borderId="0" xfId="1" applyNumberFormat="1" applyFont="1" applyAlignment="1" applyProtection="1">
      <alignment horizontal="left" vertical="center"/>
    </xf>
    <xf numFmtId="1" fontId="13" fillId="0" borderId="0" xfId="0" applyNumberFormat="1" applyFont="1" applyAlignment="1">
      <alignment vertical="center"/>
    </xf>
    <xf numFmtId="167" fontId="13" fillId="0" borderId="0" xfId="0" applyNumberFormat="1" applyFont="1" applyAlignment="1">
      <alignment vertical="center"/>
    </xf>
    <xf numFmtId="183" fontId="12" fillId="0" borderId="0" xfId="0" applyNumberFormat="1" applyFont="1" applyAlignment="1">
      <alignment horizontal="center" vertical="center"/>
    </xf>
    <xf numFmtId="215" fontId="13" fillId="0" borderId="0" xfId="0" applyNumberFormat="1" applyFont="1" applyAlignment="1">
      <alignment vertical="center"/>
    </xf>
    <xf numFmtId="205" fontId="13" fillId="0" borderId="0" xfId="0" applyNumberFormat="1" applyFont="1" applyAlignment="1">
      <alignment horizontal="right" vertical="center"/>
    </xf>
    <xf numFmtId="206" fontId="13" fillId="0" borderId="0" xfId="0" applyNumberFormat="1" applyFont="1" applyAlignment="1">
      <alignment horizontal="right" vertical="center"/>
    </xf>
    <xf numFmtId="207" fontId="13" fillId="0" borderId="0" xfId="0" applyNumberFormat="1" applyFont="1" applyAlignment="1">
      <alignment vertical="center"/>
    </xf>
    <xf numFmtId="209" fontId="13" fillId="0" borderId="0" xfId="0" applyNumberFormat="1" applyFont="1" applyAlignment="1">
      <alignment horizontal="right" vertical="center"/>
    </xf>
    <xf numFmtId="208" fontId="13" fillId="0" borderId="0" xfId="0" applyNumberFormat="1" applyFont="1" applyAlignment="1">
      <alignment horizontal="right" vertical="center"/>
    </xf>
    <xf numFmtId="189" fontId="13" fillId="0" borderId="0" xfId="0" applyNumberFormat="1" applyFont="1" applyAlignment="1">
      <alignment vertical="center"/>
    </xf>
    <xf numFmtId="210" fontId="13" fillId="0" borderId="0" xfId="0" applyNumberFormat="1" applyFont="1" applyAlignment="1">
      <alignment horizontal="right" vertical="center"/>
    </xf>
    <xf numFmtId="211" fontId="35" fillId="0" borderId="0" xfId="1" applyNumberFormat="1" applyFont="1" applyAlignment="1" applyProtection="1">
      <alignment horizontal="right" vertical="center"/>
    </xf>
    <xf numFmtId="1" fontId="13" fillId="0" borderId="0" xfId="0" applyNumberFormat="1" applyFont="1" applyAlignment="1">
      <alignment horizontal="center" vertical="center"/>
    </xf>
    <xf numFmtId="189" fontId="13" fillId="0" borderId="0" xfId="0" applyNumberFormat="1" applyFont="1" applyAlignment="1">
      <alignment horizontal="center" vertical="center"/>
    </xf>
    <xf numFmtId="167" fontId="13" fillId="0" borderId="0" xfId="0" applyNumberFormat="1" applyFont="1" applyAlignment="1">
      <alignment horizontal="center" vertical="center"/>
    </xf>
    <xf numFmtId="215" fontId="13" fillId="0" borderId="0" xfId="0" applyNumberFormat="1" applyFont="1" applyAlignment="1">
      <alignment horizontal="center" vertical="center"/>
    </xf>
    <xf numFmtId="0" fontId="13" fillId="0" borderId="0" xfId="0" applyFont="1" applyAlignment="1">
      <alignment horizontal="center" vertical="center"/>
    </xf>
    <xf numFmtId="0" fontId="36" fillId="0" borderId="0" xfId="1" applyFont="1" applyAlignment="1" applyProtection="1">
      <alignment vertical="center"/>
    </xf>
    <xf numFmtId="0" fontId="35" fillId="0" borderId="0" xfId="1" applyFont="1" applyAlignment="1" applyProtection="1">
      <alignment horizontal="right" vertical="center"/>
    </xf>
    <xf numFmtId="189" fontId="35" fillId="0" borderId="0" xfId="1" applyNumberFormat="1" applyFont="1" applyAlignment="1" applyProtection="1">
      <alignment vertical="center"/>
    </xf>
    <xf numFmtId="1" fontId="35" fillId="0" borderId="0" xfId="1" applyNumberFormat="1" applyFont="1" applyAlignment="1" applyProtection="1">
      <alignment vertical="center"/>
    </xf>
    <xf numFmtId="0" fontId="13" fillId="0" borderId="0" xfId="0" applyFont="1" applyAlignment="1">
      <alignment horizontal="right" vertical="center"/>
    </xf>
    <xf numFmtId="0" fontId="35" fillId="0" borderId="0" xfId="1" applyFont="1" applyAlignment="1" applyProtection="1">
      <alignment vertical="center"/>
    </xf>
    <xf numFmtId="189" fontId="36" fillId="0" borderId="0" xfId="1" applyNumberFormat="1" applyFont="1" applyAlignment="1" applyProtection="1">
      <alignment vertical="center"/>
    </xf>
    <xf numFmtId="1" fontId="7" fillId="4" borderId="2" xfId="0" applyNumberFormat="1" applyFont="1" applyFill="1" applyBorder="1" applyAlignment="1" applyProtection="1">
      <alignment horizontal="right" vertical="center"/>
      <protection locked="0"/>
    </xf>
    <xf numFmtId="1" fontId="7" fillId="4" borderId="3" xfId="0" applyNumberFormat="1" applyFont="1" applyFill="1" applyBorder="1" applyAlignment="1" applyProtection="1">
      <alignment horizontal="right" vertical="center"/>
      <protection locked="0"/>
    </xf>
    <xf numFmtId="0" fontId="14" fillId="0" borderId="0" xfId="1" applyAlignment="1" applyProtection="1">
      <alignment vertical="center"/>
    </xf>
    <xf numFmtId="218" fontId="13" fillId="0" borderId="0" xfId="0" applyNumberFormat="1" applyFont="1" applyAlignment="1">
      <alignment horizontal="right" vertical="center"/>
    </xf>
    <xf numFmtId="219" fontId="35" fillId="0" borderId="0" xfId="1" applyNumberFormat="1" applyFont="1" applyAlignment="1" applyProtection="1">
      <alignment horizontal="right" vertical="center"/>
    </xf>
    <xf numFmtId="0" fontId="37" fillId="0" borderId="0" xfId="0" applyFont="1"/>
    <xf numFmtId="0" fontId="38" fillId="3" borderId="0" xfId="0" applyFont="1" applyFill="1" applyAlignment="1">
      <alignment horizontal="left" vertical="center"/>
    </xf>
    <xf numFmtId="194" fontId="37" fillId="3" borderId="0" xfId="0" applyNumberFormat="1" applyFont="1" applyFill="1" applyAlignment="1" applyProtection="1">
      <alignment horizontal="right" vertical="center"/>
      <protection locked="0"/>
    </xf>
    <xf numFmtId="191" fontId="37" fillId="3" borderId="0" xfId="0" applyNumberFormat="1" applyFont="1" applyFill="1" applyAlignment="1" applyProtection="1">
      <alignment horizontal="right" vertical="center"/>
      <protection locked="0"/>
    </xf>
    <xf numFmtId="0" fontId="0" fillId="29" borderId="0" xfId="0" applyFill="1" applyAlignment="1">
      <alignment horizontal="center" vertical="center"/>
    </xf>
    <xf numFmtId="1" fontId="0" fillId="29" borderId="0" xfId="0" applyNumberFormat="1" applyFill="1" applyAlignment="1">
      <alignment horizontal="center" vertical="center"/>
    </xf>
    <xf numFmtId="2" fontId="0" fillId="30" borderId="0" xfId="0" applyNumberFormat="1" applyFill="1" applyAlignment="1">
      <alignment horizontal="center" vertical="center"/>
    </xf>
    <xf numFmtId="0" fontId="0" fillId="24" borderId="0" xfId="0" applyFill="1" applyAlignment="1">
      <alignment horizontal="center" vertical="center"/>
    </xf>
    <xf numFmtId="165" fontId="0" fillId="24" borderId="0" xfId="0" applyNumberFormat="1" applyFill="1" applyAlignment="1">
      <alignment horizontal="center" vertical="center"/>
    </xf>
    <xf numFmtId="0" fontId="0" fillId="31" borderId="0" xfId="0" applyFill="1" applyAlignment="1">
      <alignment horizontal="center" vertical="center"/>
    </xf>
    <xf numFmtId="167" fontId="0" fillId="31" borderId="0" xfId="0" applyNumberFormat="1" applyFill="1" applyAlignment="1">
      <alignment horizontal="center" vertical="center"/>
    </xf>
    <xf numFmtId="203" fontId="0" fillId="31" borderId="0" xfId="0" applyNumberFormat="1" applyFill="1" applyAlignment="1">
      <alignment horizontal="center" vertical="center"/>
    </xf>
    <xf numFmtId="2" fontId="0" fillId="22" borderId="0" xfId="0" applyNumberFormat="1" applyFill="1" applyAlignment="1">
      <alignment horizontal="center" vertical="center"/>
    </xf>
    <xf numFmtId="164" fontId="0" fillId="22" borderId="0" xfId="0" applyNumberFormat="1" applyFill="1" applyAlignment="1">
      <alignment horizontal="center" vertical="center"/>
    </xf>
    <xf numFmtId="164" fontId="0" fillId="32" borderId="0" xfId="0" applyNumberFormat="1" applyFill="1" applyAlignment="1">
      <alignment horizontal="center" vertical="center"/>
    </xf>
    <xf numFmtId="0" fontId="0" fillId="32" borderId="0" xfId="0" applyFill="1" applyAlignment="1">
      <alignment horizontal="center" vertical="center"/>
    </xf>
    <xf numFmtId="1" fontId="0" fillId="0" borderId="0" xfId="0" applyNumberFormat="1" applyAlignment="1">
      <alignment vertical="center"/>
    </xf>
    <xf numFmtId="2" fontId="0" fillId="0" borderId="0" xfId="0" applyNumberFormat="1" applyAlignment="1">
      <alignment vertical="center"/>
    </xf>
    <xf numFmtId="165" fontId="0" fillId="0" borderId="0" xfId="0" applyNumberFormat="1" applyAlignment="1">
      <alignment vertical="center"/>
    </xf>
    <xf numFmtId="168" fontId="0" fillId="0" borderId="0" xfId="0" applyNumberFormat="1" applyAlignment="1">
      <alignment vertical="center"/>
    </xf>
    <xf numFmtId="203" fontId="0" fillId="0" borderId="0" xfId="0" applyNumberFormat="1" applyAlignment="1">
      <alignment vertical="center"/>
    </xf>
    <xf numFmtId="164" fontId="0" fillId="0" borderId="0" xfId="0" applyNumberFormat="1" applyAlignment="1">
      <alignment vertical="center"/>
    </xf>
    <xf numFmtId="0" fontId="0" fillId="0" borderId="0" xfId="0" applyAlignment="1">
      <alignment vertical="center"/>
    </xf>
    <xf numFmtId="0" fontId="41" fillId="0" borderId="0" xfId="0" applyFont="1" applyAlignment="1">
      <alignment horizontal="left" vertical="center"/>
    </xf>
    <xf numFmtId="220" fontId="41" fillId="0" borderId="0" xfId="0" applyNumberFormat="1" applyFont="1" applyAlignment="1">
      <alignment horizontal="left" vertical="center"/>
    </xf>
    <xf numFmtId="220" fontId="40" fillId="0" borderId="0" xfId="0" applyNumberFormat="1" applyFont="1" applyAlignment="1">
      <alignment horizontal="center" vertical="center"/>
    </xf>
    <xf numFmtId="0" fontId="40" fillId="0" borderId="0" xfId="0" applyFont="1" applyAlignment="1">
      <alignment vertical="center"/>
    </xf>
    <xf numFmtId="0" fontId="40" fillId="0" borderId="0" xfId="0" applyFont="1" applyAlignment="1">
      <alignment horizontal="left" vertical="center"/>
    </xf>
    <xf numFmtId="220" fontId="40" fillId="0" borderId="0" xfId="0" applyNumberFormat="1" applyFont="1" applyAlignment="1">
      <alignment vertical="center"/>
    </xf>
    <xf numFmtId="0" fontId="40" fillId="40" borderId="0" xfId="0" applyFont="1" applyFill="1" applyAlignment="1">
      <alignment vertical="center"/>
    </xf>
    <xf numFmtId="220" fontId="40" fillId="40" borderId="0" xfId="0" applyNumberFormat="1" applyFont="1" applyFill="1" applyAlignment="1">
      <alignment vertical="center"/>
    </xf>
    <xf numFmtId="0" fontId="41" fillId="0" borderId="0" xfId="0" applyFont="1" applyAlignment="1">
      <alignment horizontal="right" vertical="center"/>
    </xf>
    <xf numFmtId="0" fontId="40" fillId="0" borderId="0" xfId="0" applyFont="1" applyAlignment="1">
      <alignment horizontal="right" vertical="center"/>
    </xf>
    <xf numFmtId="220" fontId="41" fillId="0" borderId="0" xfId="0" applyNumberFormat="1" applyFont="1" applyAlignment="1">
      <alignment horizontal="center" vertical="center"/>
    </xf>
    <xf numFmtId="0" fontId="13" fillId="0" borderId="0" xfId="0" applyFont="1" applyAlignment="1">
      <alignment horizontal="left" vertical="center"/>
    </xf>
    <xf numFmtId="220" fontId="13" fillId="0" borderId="0" xfId="0" applyNumberFormat="1" applyFont="1" applyAlignment="1">
      <alignment horizontal="center" vertical="center"/>
    </xf>
    <xf numFmtId="220" fontId="13" fillId="0" borderId="0" xfId="0" applyNumberFormat="1" applyFont="1" applyAlignment="1">
      <alignment vertical="center"/>
    </xf>
    <xf numFmtId="220" fontId="13" fillId="40" borderId="0" xfId="0" applyNumberFormat="1" applyFont="1" applyFill="1" applyAlignment="1">
      <alignment vertical="center"/>
    </xf>
    <xf numFmtId="0" fontId="17" fillId="0" borderId="0" xfId="0" applyFont="1" applyProtection="1">
      <protection locked="0"/>
    </xf>
    <xf numFmtId="187" fontId="42" fillId="0" borderId="0" xfId="0" applyNumberFormat="1" applyFont="1" applyAlignment="1" applyProtection="1">
      <alignment horizontal="left" vertical="center"/>
      <protection locked="0"/>
    </xf>
    <xf numFmtId="0" fontId="42" fillId="0" borderId="0" xfId="0" applyFont="1" applyAlignment="1">
      <alignment horizontal="left" vertical="center"/>
    </xf>
    <xf numFmtId="49" fontId="43" fillId="0" borderId="0" xfId="0" applyNumberFormat="1" applyFont="1" applyAlignment="1">
      <alignment horizontal="left" vertical="center"/>
    </xf>
    <xf numFmtId="0" fontId="44" fillId="0" borderId="0" xfId="0" applyFont="1" applyAlignment="1">
      <alignment horizontal="center" vertical="center"/>
    </xf>
    <xf numFmtId="0" fontId="46" fillId="0" borderId="0" xfId="0" applyFont="1" applyAlignment="1">
      <alignment horizontal="center" vertical="center"/>
    </xf>
    <xf numFmtId="0" fontId="42" fillId="0" borderId="0" xfId="0" applyFont="1" applyAlignment="1" applyProtection="1">
      <alignment vertical="center"/>
      <protection locked="0"/>
    </xf>
    <xf numFmtId="0" fontId="42" fillId="0" borderId="0" xfId="0" applyFont="1" applyAlignment="1">
      <alignment vertical="center"/>
    </xf>
    <xf numFmtId="1" fontId="42" fillId="18" borderId="0" xfId="0" applyNumberFormat="1" applyFont="1" applyFill="1" applyAlignment="1">
      <alignment vertical="center"/>
    </xf>
    <xf numFmtId="0" fontId="44" fillId="0" borderId="0" xfId="0" applyFont="1" applyAlignment="1">
      <alignment vertical="center"/>
    </xf>
    <xf numFmtId="194" fontId="42" fillId="0" borderId="0" xfId="0" applyNumberFormat="1" applyFont="1" applyAlignment="1" applyProtection="1">
      <alignment vertical="center"/>
    </xf>
    <xf numFmtId="2" fontId="42" fillId="10" borderId="0" xfId="0" applyNumberFormat="1" applyFont="1" applyFill="1" applyAlignment="1">
      <alignment vertical="center"/>
    </xf>
    <xf numFmtId="194" fontId="42" fillId="22" borderId="0" xfId="0" applyNumberFormat="1" applyFont="1" applyFill="1" applyAlignment="1">
      <alignment vertical="center"/>
    </xf>
    <xf numFmtId="0" fontId="42" fillId="0" borderId="0" xfId="0" applyFont="1" applyAlignment="1" applyProtection="1">
      <alignment horizontal="right" vertical="center"/>
      <protection locked="0"/>
    </xf>
    <xf numFmtId="194" fontId="42" fillId="28" borderId="0" xfId="0" applyNumberFormat="1" applyFont="1" applyFill="1" applyAlignment="1">
      <alignment vertical="center"/>
    </xf>
    <xf numFmtId="0" fontId="42" fillId="0" borderId="0" xfId="0" applyFont="1" applyAlignment="1" applyProtection="1">
      <alignment horizontal="left" vertical="center"/>
      <protection locked="0"/>
    </xf>
    <xf numFmtId="0" fontId="38" fillId="41" borderId="0" xfId="0" applyFont="1" applyFill="1" applyAlignment="1">
      <alignment horizontal="left" vertical="center"/>
    </xf>
    <xf numFmtId="49" fontId="33" fillId="41" borderId="0" xfId="0" applyNumberFormat="1" applyFont="1" applyFill="1" applyAlignment="1">
      <alignment horizontal="center" vertical="center"/>
    </xf>
    <xf numFmtId="223" fontId="42" fillId="0" borderId="0" xfId="0" applyNumberFormat="1" applyFont="1" applyAlignment="1">
      <alignment vertical="center"/>
    </xf>
    <xf numFmtId="224" fontId="42" fillId="0" borderId="0" xfId="0" applyNumberFormat="1" applyFont="1" applyAlignment="1">
      <alignment vertical="center"/>
    </xf>
    <xf numFmtId="225" fontId="42" fillId="0" borderId="0" xfId="0" applyNumberFormat="1" applyFont="1" applyAlignment="1">
      <alignment vertical="center"/>
    </xf>
    <xf numFmtId="49" fontId="48" fillId="0" borderId="0" xfId="0" applyNumberFormat="1" applyFont="1"/>
    <xf numFmtId="222" fontId="42" fillId="10" borderId="0" xfId="0" applyNumberFormat="1" applyFont="1" applyFill="1" applyAlignment="1">
      <alignment horizontal="center" vertical="center"/>
    </xf>
    <xf numFmtId="1" fontId="42" fillId="10" borderId="0" xfId="0" applyNumberFormat="1" applyFont="1" applyFill="1" applyAlignment="1">
      <alignment horizontal="center" vertical="center"/>
    </xf>
    <xf numFmtId="1" fontId="42" fillId="0" borderId="0" xfId="0" applyNumberFormat="1" applyFont="1"/>
    <xf numFmtId="2" fontId="42" fillId="0" borderId="0" xfId="0" applyNumberFormat="1" applyFont="1"/>
    <xf numFmtId="1" fontId="40" fillId="0" borderId="0" xfId="0" applyNumberFormat="1" applyFont="1"/>
    <xf numFmtId="226" fontId="42" fillId="13" borderId="0" xfId="0" applyNumberFormat="1" applyFont="1" applyFill="1" applyAlignment="1">
      <alignment vertical="center"/>
    </xf>
    <xf numFmtId="227" fontId="42" fillId="13" borderId="0" xfId="0" applyNumberFormat="1" applyFont="1" applyFill="1" applyAlignment="1">
      <alignment vertical="center"/>
    </xf>
    <xf numFmtId="228" fontId="42" fillId="13" borderId="0" xfId="0" applyNumberFormat="1" applyFont="1" applyFill="1" applyAlignment="1">
      <alignment vertical="center"/>
    </xf>
    <xf numFmtId="226" fontId="42" fillId="16" borderId="0" xfId="0" applyNumberFormat="1" applyFont="1" applyFill="1" applyAlignment="1">
      <alignment vertical="center"/>
    </xf>
    <xf numFmtId="226" fontId="42" fillId="14" borderId="0" xfId="0" applyNumberFormat="1" applyFont="1" applyFill="1" applyAlignment="1">
      <alignment vertical="center"/>
    </xf>
    <xf numFmtId="226" fontId="42" fillId="17" borderId="0" xfId="0" applyNumberFormat="1" applyFont="1" applyFill="1" applyAlignment="1">
      <alignment vertical="center"/>
    </xf>
    <xf numFmtId="226" fontId="42" fillId="15" borderId="0" xfId="0" applyNumberFormat="1" applyFont="1" applyFill="1" applyAlignment="1">
      <alignment vertical="center"/>
    </xf>
    <xf numFmtId="227" fontId="42" fillId="16" borderId="0" xfId="0" applyNumberFormat="1" applyFont="1" applyFill="1" applyAlignment="1">
      <alignment vertical="center"/>
    </xf>
    <xf numFmtId="227" fontId="42" fillId="14" borderId="0" xfId="0" applyNumberFormat="1" applyFont="1" applyFill="1" applyAlignment="1">
      <alignment vertical="center"/>
    </xf>
    <xf numFmtId="227" fontId="42" fillId="17" borderId="0" xfId="0" applyNumberFormat="1" applyFont="1" applyFill="1" applyAlignment="1">
      <alignment vertical="center"/>
    </xf>
    <xf numFmtId="227" fontId="42" fillId="15" borderId="0" xfId="0" applyNumberFormat="1" applyFont="1" applyFill="1" applyAlignment="1">
      <alignment vertical="center"/>
    </xf>
    <xf numFmtId="228" fontId="42" fillId="16" borderId="0" xfId="0" applyNumberFormat="1" applyFont="1" applyFill="1" applyAlignment="1">
      <alignment vertical="center"/>
    </xf>
    <xf numFmtId="228" fontId="42" fillId="14" borderId="0" xfId="0" applyNumberFormat="1" applyFont="1" applyFill="1" applyAlignment="1">
      <alignment vertical="center"/>
    </xf>
    <xf numFmtId="228" fontId="42" fillId="17" borderId="0" xfId="0" applyNumberFormat="1" applyFont="1" applyFill="1" applyAlignment="1">
      <alignment vertical="center"/>
    </xf>
    <xf numFmtId="228" fontId="42" fillId="15" borderId="0" xfId="0" applyNumberFormat="1" applyFont="1" applyFill="1" applyAlignment="1">
      <alignment vertical="center"/>
    </xf>
    <xf numFmtId="1" fontId="3" fillId="4" borderId="0" xfId="0" applyNumberFormat="1" applyFont="1" applyFill="1" applyAlignment="1">
      <alignment horizontal="right" vertical="center"/>
    </xf>
    <xf numFmtId="174" fontId="4" fillId="10" borderId="0" xfId="0" applyNumberFormat="1" applyFont="1" applyFill="1" applyAlignment="1">
      <alignment horizontal="right" vertical="center"/>
    </xf>
    <xf numFmtId="229" fontId="4" fillId="3" borderId="0" xfId="0" applyNumberFormat="1" applyFont="1" applyFill="1" applyAlignment="1">
      <alignment horizontal="right" vertical="center"/>
    </xf>
    <xf numFmtId="230" fontId="4" fillId="3" borderId="0" xfId="0" applyNumberFormat="1" applyFont="1" applyFill="1" applyAlignment="1">
      <alignment horizontal="right" vertical="center"/>
    </xf>
    <xf numFmtId="231" fontId="4" fillId="3" borderId="0" xfId="0" applyNumberFormat="1" applyFont="1" applyFill="1" applyAlignment="1">
      <alignment horizontal="right" vertical="center"/>
    </xf>
    <xf numFmtId="0" fontId="8" fillId="42" borderId="0" xfId="0" applyFont="1" applyFill="1" applyAlignment="1">
      <alignment horizontal="left" vertical="center"/>
    </xf>
    <xf numFmtId="214" fontId="3" fillId="42" borderId="0" xfId="0" quotePrefix="1" applyNumberFormat="1" applyFont="1" applyFill="1" applyAlignment="1" applyProtection="1">
      <alignment horizontal="right" vertical="center"/>
    </xf>
    <xf numFmtId="214" fontId="37" fillId="42" borderId="2" xfId="0" applyNumberFormat="1" applyFont="1" applyFill="1" applyBorder="1" applyAlignment="1" applyProtection="1">
      <alignment horizontal="right" vertical="center"/>
      <protection locked="0"/>
    </xf>
    <xf numFmtId="0" fontId="3" fillId="42" borderId="0" xfId="0" applyFont="1" applyFill="1" applyAlignment="1">
      <alignment horizontal="center" vertical="center" shrinkToFit="1"/>
    </xf>
    <xf numFmtId="182" fontId="3" fillId="42" borderId="0" xfId="0" quotePrefix="1" applyNumberFormat="1" applyFont="1" applyFill="1" applyAlignment="1" applyProtection="1">
      <alignment horizontal="center" vertical="center"/>
    </xf>
    <xf numFmtId="188" fontId="3" fillId="42" borderId="0" xfId="0" quotePrefix="1" applyNumberFormat="1" applyFont="1" applyFill="1" applyAlignment="1" applyProtection="1">
      <alignment horizontal="right" vertical="center"/>
    </xf>
    <xf numFmtId="167" fontId="3" fillId="42" borderId="0" xfId="0" applyNumberFormat="1" applyFont="1" applyFill="1" applyAlignment="1" applyProtection="1">
      <alignment horizontal="right" vertical="center"/>
    </xf>
    <xf numFmtId="179" fontId="39" fillId="42" borderId="0" xfId="0" applyNumberFormat="1" applyFont="1" applyFill="1" applyAlignment="1" applyProtection="1">
      <alignment horizontal="right" vertical="center"/>
      <protection locked="0"/>
    </xf>
    <xf numFmtId="200" fontId="39" fillId="42" borderId="0" xfId="0" applyNumberFormat="1" applyFont="1" applyFill="1" applyAlignment="1" applyProtection="1">
      <alignment horizontal="right" vertical="center"/>
      <protection locked="0"/>
    </xf>
    <xf numFmtId="197" fontId="39" fillId="42" borderId="0" xfId="0" applyNumberFormat="1" applyFont="1" applyFill="1" applyAlignment="1" applyProtection="1">
      <alignment horizontal="right" vertical="center"/>
      <protection locked="0"/>
    </xf>
    <xf numFmtId="201" fontId="39" fillId="42" borderId="0" xfId="0" applyNumberFormat="1" applyFont="1" applyFill="1" applyAlignment="1" applyProtection="1">
      <alignment horizontal="right" vertical="center"/>
      <protection locked="0"/>
    </xf>
    <xf numFmtId="196" fontId="3" fillId="42" borderId="0" xfId="0" applyNumberFormat="1" applyFont="1" applyFill="1" applyAlignment="1" applyProtection="1">
      <alignment horizontal="right" vertical="center"/>
    </xf>
    <xf numFmtId="190" fontId="39" fillId="42" borderId="0" xfId="0" applyNumberFormat="1" applyFont="1" applyFill="1" applyAlignment="1" applyProtection="1">
      <alignment horizontal="right" vertical="center"/>
      <protection locked="0"/>
    </xf>
    <xf numFmtId="202" fontId="3" fillId="42" borderId="0" xfId="0" applyNumberFormat="1" applyFont="1" applyFill="1" applyAlignment="1">
      <alignment horizontal="center" vertical="center"/>
    </xf>
    <xf numFmtId="199" fontId="39" fillId="42" borderId="0" xfId="0" applyNumberFormat="1" applyFont="1" applyFill="1" applyAlignment="1" applyProtection="1">
      <alignment horizontal="right" vertical="center"/>
      <protection locked="0"/>
    </xf>
    <xf numFmtId="0" fontId="9" fillId="43" borderId="0" xfId="0" applyFont="1" applyFill="1" applyAlignment="1">
      <alignment horizontal="left" vertical="center"/>
    </xf>
    <xf numFmtId="0" fontId="4" fillId="43" borderId="0" xfId="0" applyFont="1" applyFill="1" applyAlignment="1">
      <alignment horizontal="right" vertical="center"/>
    </xf>
    <xf numFmtId="0" fontId="8" fillId="43" borderId="0" xfId="0" applyFont="1" applyFill="1" applyAlignment="1">
      <alignment horizontal="left" vertical="center"/>
    </xf>
    <xf numFmtId="0" fontId="37" fillId="43" borderId="0" xfId="0" applyFont="1" applyFill="1" applyAlignment="1">
      <alignment horizontal="right" vertical="center"/>
    </xf>
    <xf numFmtId="0" fontId="4" fillId="43" borderId="0" xfId="0" applyFont="1" applyFill="1" applyAlignment="1">
      <alignment vertical="center"/>
    </xf>
    <xf numFmtId="0" fontId="10" fillId="43" borderId="0" xfId="0" applyFont="1" applyFill="1" applyAlignment="1" applyProtection="1">
      <alignment horizontal="left" vertical="center"/>
    </xf>
    <xf numFmtId="0" fontId="6" fillId="43" borderId="0" xfId="0" applyFont="1" applyFill="1" applyAlignment="1" applyProtection="1">
      <alignment horizontal="right" vertical="center"/>
    </xf>
    <xf numFmtId="0" fontId="38" fillId="43" borderId="0" xfId="0" applyFont="1" applyFill="1" applyAlignment="1">
      <alignment horizontal="left" vertical="center"/>
    </xf>
    <xf numFmtId="0" fontId="8" fillId="43" borderId="0" xfId="0" applyFont="1" applyFill="1" applyAlignment="1" applyProtection="1">
      <alignment horizontal="left" vertical="center"/>
    </xf>
    <xf numFmtId="194" fontId="6" fillId="43" borderId="0" xfId="0" applyNumberFormat="1" applyFont="1" applyFill="1" applyAlignment="1" applyProtection="1">
      <alignment horizontal="right" vertical="center"/>
    </xf>
    <xf numFmtId="194" fontId="37" fillId="43" borderId="0" xfId="0" applyNumberFormat="1" applyFont="1" applyFill="1" applyAlignment="1" applyProtection="1">
      <alignment horizontal="right" vertical="center"/>
      <protection locked="0"/>
    </xf>
    <xf numFmtId="49" fontId="33" fillId="43" borderId="0" xfId="0" applyNumberFormat="1" applyFont="1" applyFill="1" applyAlignment="1">
      <alignment horizontal="center" vertical="center"/>
    </xf>
    <xf numFmtId="49" fontId="33" fillId="42" borderId="0" xfId="0" applyNumberFormat="1" applyFont="1" applyFill="1" applyAlignment="1">
      <alignment horizontal="center" vertical="center"/>
    </xf>
    <xf numFmtId="174" fontId="3" fillId="4" borderId="4" xfId="0" applyNumberFormat="1" applyFont="1" applyFill="1" applyBorder="1" applyAlignment="1" applyProtection="1">
      <alignment horizontal="right" vertical="center"/>
      <protection locked="0"/>
    </xf>
    <xf numFmtId="176" fontId="3" fillId="4" borderId="4" xfId="0" applyNumberFormat="1" applyFont="1" applyFill="1" applyBorder="1" applyAlignment="1" applyProtection="1">
      <alignment horizontal="right" vertical="center"/>
      <protection locked="0"/>
    </xf>
    <xf numFmtId="165" fontId="3" fillId="42" borderId="1" xfId="0" applyNumberFormat="1" applyFont="1" applyFill="1" applyBorder="1" applyAlignment="1">
      <alignment horizontal="right" vertical="center"/>
    </xf>
    <xf numFmtId="165" fontId="3" fillId="42" borderId="2" xfId="0" applyNumberFormat="1" applyFont="1" applyFill="1" applyBorder="1" applyAlignment="1">
      <alignment horizontal="right" vertical="center"/>
    </xf>
    <xf numFmtId="214" fontId="3" fillId="42" borderId="2" xfId="0" applyNumberFormat="1" applyFont="1" applyFill="1" applyBorder="1" applyAlignment="1">
      <alignment horizontal="right" vertical="center"/>
    </xf>
    <xf numFmtId="49" fontId="7" fillId="42" borderId="0" xfId="0" applyNumberFormat="1" applyFont="1" applyFill="1" applyAlignment="1">
      <alignment horizontal="left" vertical="center"/>
    </xf>
    <xf numFmtId="232" fontId="0" fillId="0" borderId="0" xfId="0" applyNumberFormat="1" applyAlignment="1">
      <alignment horizontal="left" vertical="center"/>
    </xf>
    <xf numFmtId="2" fontId="14" fillId="0" borderId="0" xfId="1" applyNumberFormat="1" applyAlignment="1" applyProtection="1">
      <alignment horizontal="center" vertical="center"/>
    </xf>
    <xf numFmtId="0" fontId="13" fillId="0" borderId="0" xfId="0" applyNumberFormat="1" applyFont="1" applyAlignment="1">
      <alignment vertical="center"/>
    </xf>
    <xf numFmtId="220" fontId="40" fillId="40" borderId="2" xfId="0" applyNumberFormat="1" applyFont="1" applyFill="1" applyBorder="1" applyAlignment="1">
      <alignment horizontal="center" vertical="center"/>
    </xf>
    <xf numFmtId="221" fontId="40" fillId="40" borderId="2" xfId="0" applyNumberFormat="1" applyFont="1" applyFill="1" applyBorder="1" applyAlignment="1">
      <alignment vertical="center"/>
    </xf>
    <xf numFmtId="9" fontId="40" fillId="40" borderId="3" xfId="0" applyNumberFormat="1" applyFont="1" applyFill="1" applyBorder="1" applyAlignment="1">
      <alignment horizontal="center" vertical="center"/>
    </xf>
    <xf numFmtId="220" fontId="40" fillId="9" borderId="1" xfId="0" applyNumberFormat="1" applyFont="1" applyFill="1" applyBorder="1" applyAlignment="1">
      <alignment horizontal="center" vertical="center"/>
    </xf>
    <xf numFmtId="220" fontId="40" fillId="9" borderId="1" xfId="0" applyNumberFormat="1" applyFont="1" applyFill="1" applyBorder="1" applyAlignment="1">
      <alignment vertical="center"/>
    </xf>
    <xf numFmtId="0" fontId="40" fillId="9" borderId="1" xfId="0" applyFont="1" applyFill="1" applyBorder="1" applyAlignment="1">
      <alignment vertical="center"/>
    </xf>
    <xf numFmtId="221" fontId="40" fillId="40" borderId="2" xfId="0" applyNumberFormat="1" applyFont="1" applyFill="1" applyBorder="1" applyAlignment="1">
      <alignment horizontal="center" vertical="center"/>
    </xf>
    <xf numFmtId="233" fontId="3" fillId="42" borderId="0" xfId="0" applyNumberFormat="1" applyFont="1" applyFill="1" applyAlignment="1" applyProtection="1">
      <alignment horizontal="right" vertical="center"/>
    </xf>
    <xf numFmtId="0" fontId="0" fillId="0" borderId="0" xfId="0" applyNumberFormat="1" applyAlignment="1">
      <alignment horizontal="center" vertical="center" shrinkToFit="1"/>
    </xf>
    <xf numFmtId="49" fontId="0" fillId="0" borderId="0" xfId="0" applyNumberFormat="1" applyAlignment="1" applyProtection="1">
      <alignment horizontal="left" vertical="center"/>
      <protection locked="0"/>
    </xf>
    <xf numFmtId="204" fontId="3" fillId="2" borderId="0" xfId="0" applyNumberFormat="1" applyFont="1" applyFill="1" applyAlignment="1" applyProtection="1">
      <alignment horizontal="right" vertical="center"/>
    </xf>
    <xf numFmtId="49" fontId="39" fillId="9" borderId="5" xfId="0" applyNumberFormat="1" applyFont="1" applyFill="1" applyBorder="1" applyAlignment="1" applyProtection="1">
      <alignment horizontal="right" vertical="center"/>
      <protection locked="0"/>
    </xf>
    <xf numFmtId="49" fontId="39" fillId="9" borderId="6" xfId="0" applyNumberFormat="1" applyFont="1" applyFill="1" applyBorder="1" applyAlignment="1" applyProtection="1">
      <alignment horizontal="right" vertical="center"/>
    </xf>
    <xf numFmtId="49" fontId="39" fillId="9" borderId="4" xfId="0" applyNumberFormat="1" applyFont="1" applyFill="1" applyBorder="1" applyAlignment="1" applyProtection="1">
      <alignment horizontal="center" vertical="center"/>
      <protection locked="0"/>
    </xf>
    <xf numFmtId="0" fontId="0" fillId="2" borderId="0" xfId="0" applyFill="1" applyAlignment="1">
      <alignment horizontal="left" vertical="center"/>
    </xf>
    <xf numFmtId="0" fontId="3" fillId="9" borderId="4" xfId="0" applyFont="1" applyFill="1" applyBorder="1" applyAlignment="1">
      <alignment horizontal="center" vertical="center"/>
    </xf>
    <xf numFmtId="49" fontId="0" fillId="0" borderId="0" xfId="0" applyNumberFormat="1" applyAlignment="1">
      <alignment horizontal="right" vertical="center" shrinkToFit="1"/>
    </xf>
    <xf numFmtId="235" fontId="42" fillId="0" borderId="0" xfId="0" applyNumberFormat="1" applyFont="1" applyAlignment="1">
      <alignment vertical="center"/>
    </xf>
    <xf numFmtId="0" fontId="0" fillId="0" borderId="0" xfId="0" applyBorder="1" applyAlignment="1">
      <alignment horizontal="left" vertical="center"/>
    </xf>
    <xf numFmtId="0" fontId="0" fillId="0" borderId="0" xfId="0" applyBorder="1"/>
    <xf numFmtId="204" fontId="0" fillId="0" borderId="0" xfId="0" applyNumberFormat="1" applyBorder="1" applyAlignment="1">
      <alignment horizontal="right" vertical="center"/>
    </xf>
    <xf numFmtId="1" fontId="13" fillId="0" borderId="0" xfId="0" applyNumberFormat="1" applyFont="1" applyBorder="1"/>
    <xf numFmtId="236" fontId="3" fillId="42" borderId="0" xfId="0" applyNumberFormat="1" applyFont="1" applyFill="1" applyAlignment="1" applyProtection="1">
      <alignment horizontal="right" vertical="center"/>
    </xf>
    <xf numFmtId="237" fontId="39" fillId="42" borderId="0" xfId="0" applyNumberFormat="1" applyFont="1" applyFill="1" applyAlignment="1" applyProtection="1">
      <alignment horizontal="right" vertical="center"/>
      <protection locked="0"/>
    </xf>
    <xf numFmtId="198" fontId="13" fillId="10" borderId="0" xfId="0" applyNumberFormat="1" applyFont="1" applyFill="1" applyAlignment="1" applyProtection="1">
      <alignment horizontal="right" vertical="center"/>
    </xf>
    <xf numFmtId="194" fontId="46" fillId="41" borderId="4" xfId="0" applyNumberFormat="1" applyFont="1" applyFill="1" applyBorder="1" applyAlignment="1" applyProtection="1">
      <alignment vertical="center"/>
      <protection locked="0"/>
    </xf>
    <xf numFmtId="194" fontId="47" fillId="27" borderId="4" xfId="0" applyNumberFormat="1" applyFont="1" applyFill="1" applyBorder="1" applyAlignment="1" applyProtection="1">
      <alignment vertical="center"/>
      <protection locked="0"/>
    </xf>
    <xf numFmtId="0" fontId="50" fillId="0" borderId="0" xfId="0" applyFont="1"/>
    <xf numFmtId="166" fontId="51" fillId="0" borderId="0" xfId="1" applyNumberFormat="1" applyFont="1" applyAlignment="1" applyProtection="1"/>
    <xf numFmtId="0" fontId="51" fillId="0" borderId="0" xfId="1" applyFont="1" applyAlignment="1" applyProtection="1"/>
    <xf numFmtId="166" fontId="50" fillId="0" borderId="0" xfId="0" applyNumberFormat="1" applyFont="1" applyAlignment="1">
      <alignment horizontal="right"/>
    </xf>
    <xf numFmtId="166" fontId="52" fillId="0" borderId="0" xfId="0" applyNumberFormat="1" applyFont="1" applyAlignment="1">
      <alignment horizontal="right"/>
    </xf>
    <xf numFmtId="2" fontId="52" fillId="0" borderId="0" xfId="0" applyNumberFormat="1" applyFont="1" applyAlignment="1">
      <alignment horizontal="right"/>
    </xf>
    <xf numFmtId="2" fontId="50" fillId="0" borderId="0" xfId="0" applyNumberFormat="1" applyFont="1"/>
    <xf numFmtId="165" fontId="52" fillId="0" borderId="0" xfId="0" applyNumberFormat="1" applyFont="1"/>
    <xf numFmtId="164" fontId="52" fillId="0" borderId="0" xfId="0" applyNumberFormat="1" applyFont="1"/>
    <xf numFmtId="165" fontId="50" fillId="0" borderId="0" xfId="0" applyNumberFormat="1" applyFont="1"/>
    <xf numFmtId="49" fontId="50" fillId="0" borderId="0" xfId="0" applyNumberFormat="1" applyFont="1"/>
    <xf numFmtId="241" fontId="50" fillId="0" borderId="0" xfId="0" applyNumberFormat="1" applyFont="1"/>
    <xf numFmtId="183" fontId="50" fillId="0" borderId="0" xfId="0" applyNumberFormat="1" applyFont="1"/>
    <xf numFmtId="246" fontId="50" fillId="0" borderId="0" xfId="0" applyNumberFormat="1" applyFont="1"/>
    <xf numFmtId="242" fontId="50" fillId="0" borderId="0" xfId="0" applyNumberFormat="1" applyFont="1"/>
    <xf numFmtId="245" fontId="50" fillId="0" borderId="0" xfId="0" applyNumberFormat="1" applyFont="1"/>
    <xf numFmtId="243" fontId="50" fillId="0" borderId="0" xfId="0" applyNumberFormat="1" applyFont="1"/>
    <xf numFmtId="216" fontId="50" fillId="0" borderId="0" xfId="0" applyNumberFormat="1" applyFont="1"/>
    <xf numFmtId="244" fontId="50" fillId="0" borderId="0" xfId="0" applyNumberFormat="1" applyFont="1"/>
    <xf numFmtId="247" fontId="50" fillId="0" borderId="0" xfId="0" applyNumberFormat="1" applyFont="1"/>
    <xf numFmtId="0" fontId="50" fillId="0" borderId="0" xfId="0" applyNumberFormat="1" applyFont="1"/>
    <xf numFmtId="49" fontId="51" fillId="0" borderId="0" xfId="1" applyNumberFormat="1" applyFont="1" applyAlignment="1" applyProtection="1"/>
    <xf numFmtId="248" fontId="50" fillId="0" borderId="0" xfId="0" applyNumberFormat="1" applyFont="1"/>
    <xf numFmtId="165" fontId="50" fillId="0" borderId="0" xfId="0" applyNumberFormat="1" applyFont="1" applyAlignment="1">
      <alignment horizontal="right"/>
    </xf>
    <xf numFmtId="0" fontId="50" fillId="0" borderId="0" xfId="0" applyFont="1" applyAlignment="1">
      <alignment horizontal="right"/>
    </xf>
    <xf numFmtId="0" fontId="50" fillId="0" borderId="0" xfId="0" applyFont="1" applyAlignment="1">
      <alignment horizontal="left"/>
    </xf>
    <xf numFmtId="0" fontId="50" fillId="0" borderId="0" xfId="0" applyNumberFormat="1" applyFont="1" applyAlignment="1"/>
    <xf numFmtId="0" fontId="50" fillId="44" borderId="0" xfId="0" applyNumberFormat="1" applyFont="1" applyFill="1" applyAlignment="1">
      <alignment horizontal="right"/>
    </xf>
    <xf numFmtId="0" fontId="50" fillId="0" borderId="0" xfId="0" applyNumberFormat="1" applyFont="1" applyAlignment="1">
      <alignment horizontal="right"/>
    </xf>
    <xf numFmtId="0" fontId="50" fillId="10" borderId="0" xfId="0" applyNumberFormat="1" applyFont="1" applyFill="1" applyAlignment="1">
      <alignment horizontal="right"/>
    </xf>
    <xf numFmtId="2" fontId="50" fillId="0" borderId="0" xfId="0" applyNumberFormat="1" applyFont="1" applyAlignment="1">
      <alignment horizontal="right"/>
    </xf>
    <xf numFmtId="0" fontId="50" fillId="0" borderId="0" xfId="0" applyFont="1" applyAlignment="1">
      <alignment horizontal="center"/>
    </xf>
    <xf numFmtId="249" fontId="50" fillId="0" borderId="0" xfId="0" applyNumberFormat="1" applyFont="1"/>
    <xf numFmtId="250" fontId="50" fillId="0" borderId="0" xfId="0" applyNumberFormat="1" applyFont="1"/>
    <xf numFmtId="183" fontId="50" fillId="0" borderId="0" xfId="0" applyNumberFormat="1" applyFont="1" applyBorder="1"/>
    <xf numFmtId="246" fontId="50" fillId="0" borderId="0" xfId="0" applyNumberFormat="1" applyFont="1" applyBorder="1"/>
    <xf numFmtId="0" fontId="55" fillId="0" borderId="0" xfId="0" applyFont="1" applyAlignment="1">
      <alignment horizontal="left" vertical="center"/>
    </xf>
    <xf numFmtId="183" fontId="15" fillId="15" borderId="0" xfId="0" applyNumberFormat="1" applyFont="1" applyFill="1" applyAlignment="1">
      <alignment horizontal="left" vertical="center"/>
    </xf>
    <xf numFmtId="167" fontId="13" fillId="0" borderId="0" xfId="0" applyNumberFormat="1" applyFont="1" applyAlignment="1">
      <alignment horizontal="right" vertical="center"/>
    </xf>
    <xf numFmtId="194" fontId="47" fillId="41" borderId="6" xfId="0" applyNumberFormat="1" applyFont="1" applyFill="1" applyBorder="1" applyAlignment="1" applyProtection="1">
      <alignment vertical="center"/>
      <protection locked="0"/>
    </xf>
    <xf numFmtId="194" fontId="42" fillId="41" borderId="0" xfId="0" applyNumberFormat="1" applyFont="1" applyFill="1" applyBorder="1" applyAlignment="1" applyProtection="1">
      <alignment vertical="center"/>
    </xf>
    <xf numFmtId="49" fontId="50" fillId="0" borderId="0" xfId="0" applyNumberFormat="1" applyFont="1" applyAlignment="1">
      <alignment horizontal="center" vertical="center"/>
    </xf>
    <xf numFmtId="49" fontId="50" fillId="0" borderId="0" xfId="0" applyNumberFormat="1" applyFont="1" applyAlignment="1">
      <alignment horizontal="left" vertical="center"/>
    </xf>
    <xf numFmtId="0" fontId="50" fillId="0" borderId="0" xfId="0" applyFont="1" applyAlignment="1">
      <alignment vertical="center"/>
    </xf>
    <xf numFmtId="0" fontId="50" fillId="0" borderId="0" xfId="0" applyNumberFormat="1" applyFont="1" applyAlignment="1">
      <alignment vertical="center"/>
    </xf>
    <xf numFmtId="184" fontId="50" fillId="0" borderId="0" xfId="0" applyNumberFormat="1" applyFont="1" applyAlignment="1">
      <alignment vertical="center"/>
    </xf>
    <xf numFmtId="178" fontId="50" fillId="0" borderId="0" xfId="0" applyNumberFormat="1" applyFont="1" applyAlignment="1">
      <alignment horizontal="right" vertical="center"/>
    </xf>
    <xf numFmtId="183" fontId="50" fillId="0" borderId="0" xfId="0" applyNumberFormat="1" applyFont="1" applyAlignment="1">
      <alignment horizontal="right" vertical="center"/>
    </xf>
    <xf numFmtId="185" fontId="50" fillId="0" borderId="0" xfId="0" applyNumberFormat="1" applyFont="1" applyAlignment="1">
      <alignment horizontal="right" vertical="center"/>
    </xf>
    <xf numFmtId="186" fontId="50" fillId="0" borderId="0" xfId="0" applyNumberFormat="1" applyFont="1" applyAlignment="1">
      <alignment horizontal="right" vertical="center"/>
    </xf>
    <xf numFmtId="234" fontId="50" fillId="0" borderId="0" xfId="0" applyNumberFormat="1" applyFont="1" applyAlignment="1">
      <alignment horizontal="right" vertical="center"/>
    </xf>
    <xf numFmtId="0" fontId="50" fillId="0" borderId="0" xfId="0" applyNumberFormat="1" applyFont="1" applyAlignment="1">
      <alignment horizontal="right" vertical="center"/>
    </xf>
    <xf numFmtId="0" fontId="50" fillId="0" borderId="0" xfId="0" applyFont="1" applyAlignment="1">
      <alignment horizontal="right" vertical="center"/>
    </xf>
    <xf numFmtId="251" fontId="50" fillId="31" borderId="4" xfId="0" applyNumberFormat="1" applyFont="1" applyFill="1" applyBorder="1" applyAlignment="1">
      <alignment horizontal="right" vertical="center"/>
    </xf>
    <xf numFmtId="0" fontId="51" fillId="0" borderId="0" xfId="1" applyNumberFormat="1" applyFont="1" applyAlignment="1" applyProtection="1">
      <alignment vertical="center"/>
    </xf>
    <xf numFmtId="164" fontId="14" fillId="0" borderId="0" xfId="1" applyNumberFormat="1" applyAlignment="1" applyProtection="1">
      <alignment horizontal="center" vertical="center"/>
    </xf>
    <xf numFmtId="252" fontId="50" fillId="0" borderId="0" xfId="0" applyNumberFormat="1" applyFont="1"/>
    <xf numFmtId="0" fontId="42" fillId="0" borderId="0" xfId="0" applyFont="1" applyAlignment="1">
      <alignment horizontal="right" vertical="center"/>
    </xf>
    <xf numFmtId="253" fontId="46" fillId="0" borderId="0" xfId="0" applyNumberFormat="1" applyFont="1" applyAlignment="1" applyProtection="1">
      <alignment vertical="center"/>
      <protection locked="0"/>
    </xf>
    <xf numFmtId="0" fontId="42" fillId="0" borderId="0" xfId="0" applyFont="1" applyAlignment="1">
      <alignment horizontal="center" vertical="center"/>
    </xf>
    <xf numFmtId="256" fontId="3" fillId="42" borderId="0" xfId="0" applyNumberFormat="1" applyFont="1" applyFill="1" applyAlignment="1" applyProtection="1">
      <alignment horizontal="right" vertical="center"/>
    </xf>
    <xf numFmtId="183" fontId="3" fillId="42" borderId="0" xfId="0" applyNumberFormat="1" applyFont="1" applyFill="1" applyAlignment="1" applyProtection="1">
      <alignment horizontal="right" vertical="center"/>
    </xf>
    <xf numFmtId="177" fontId="3" fillId="42" borderId="0" xfId="0" applyNumberFormat="1" applyFont="1" applyFill="1" applyAlignment="1" applyProtection="1">
      <alignment horizontal="center" vertical="center"/>
    </xf>
    <xf numFmtId="257" fontId="3" fillId="42" borderId="0" xfId="0" applyNumberFormat="1" applyFont="1" applyFill="1" applyAlignment="1" applyProtection="1">
      <alignment horizontal="right" vertical="center"/>
    </xf>
    <xf numFmtId="0" fontId="33" fillId="9" borderId="0" xfId="0" applyFont="1" applyFill="1" applyAlignment="1">
      <alignment horizontal="center" vertical="center"/>
    </xf>
    <xf numFmtId="49" fontId="3" fillId="0" borderId="0" xfId="0" applyNumberFormat="1" applyFont="1" applyAlignment="1">
      <alignment horizontal="left" vertical="center"/>
    </xf>
    <xf numFmtId="0" fontId="3" fillId="0" borderId="0" xfId="0" applyFont="1" applyAlignment="1">
      <alignment horizontal="left" vertical="center"/>
    </xf>
    <xf numFmtId="1" fontId="3" fillId="0" borderId="0" xfId="0" applyNumberFormat="1" applyFont="1" applyAlignment="1" applyProtection="1">
      <alignment horizontal="center" vertical="center"/>
    </xf>
    <xf numFmtId="164" fontId="5" fillId="0" borderId="0" xfId="0" applyNumberFormat="1" applyFont="1" applyAlignment="1" applyProtection="1">
      <alignment horizontal="left" vertical="center"/>
    </xf>
    <xf numFmtId="0" fontId="3" fillId="0" borderId="0" xfId="0" applyFont="1" applyAlignment="1" applyProtection="1">
      <alignment horizontal="left" vertical="center"/>
    </xf>
    <xf numFmtId="1" fontId="3" fillId="0" borderId="0" xfId="0" applyNumberFormat="1" applyFont="1" applyAlignment="1">
      <alignment horizontal="center" vertical="center"/>
    </xf>
    <xf numFmtId="0" fontId="57" fillId="0" borderId="0" xfId="1" applyFont="1" applyAlignment="1" applyProtection="1">
      <alignment horizontal="left" vertical="center"/>
    </xf>
    <xf numFmtId="0" fontId="3" fillId="0" borderId="0" xfId="0" applyNumberFormat="1" applyFont="1" applyAlignment="1" applyProtection="1">
      <alignment horizontal="left" vertical="center"/>
    </xf>
    <xf numFmtId="0" fontId="3" fillId="0" borderId="0" xfId="0" applyNumberFormat="1" applyFont="1" applyAlignment="1">
      <alignment horizontal="left" vertical="center"/>
    </xf>
    <xf numFmtId="258" fontId="3" fillId="24" borderId="0" xfId="0" applyNumberFormat="1" applyFont="1" applyFill="1" applyAlignment="1" applyProtection="1">
      <alignment horizontal="center" vertical="center"/>
      <protection locked="0"/>
    </xf>
    <xf numFmtId="259" fontId="3" fillId="24" borderId="0" xfId="0" applyNumberFormat="1" applyFont="1" applyFill="1" applyAlignment="1" applyProtection="1">
      <alignment horizontal="center" vertical="center"/>
      <protection locked="0"/>
    </xf>
    <xf numFmtId="260" fontId="3" fillId="24" borderId="0" xfId="0" applyNumberFormat="1" applyFont="1" applyFill="1" applyAlignment="1" applyProtection="1">
      <alignment horizontal="center" vertical="center"/>
      <protection locked="0"/>
    </xf>
    <xf numFmtId="261" fontId="3" fillId="24" borderId="0" xfId="0" applyNumberFormat="1" applyFont="1" applyFill="1" applyAlignment="1" applyProtection="1">
      <alignment horizontal="center" vertical="center"/>
      <protection locked="0"/>
    </xf>
    <xf numFmtId="0" fontId="1" fillId="0" borderId="0" xfId="0" applyFont="1" applyAlignment="1">
      <alignment horizontal="left" vertical="center"/>
    </xf>
    <xf numFmtId="0" fontId="0" fillId="0" borderId="0" xfId="0" applyAlignment="1" applyProtection="1">
      <alignment horizontal="center" vertical="center"/>
      <protection locked="0"/>
    </xf>
    <xf numFmtId="0" fontId="50" fillId="0" borderId="0" xfId="0" applyFont="1" applyProtection="1">
      <protection locked="0"/>
    </xf>
    <xf numFmtId="166" fontId="51" fillId="0" borderId="0" xfId="1" applyNumberFormat="1" applyFont="1" applyAlignment="1" applyProtection="1">
      <protection locked="0"/>
    </xf>
    <xf numFmtId="166" fontId="50" fillId="0" borderId="0" xfId="0" applyNumberFormat="1" applyFont="1" applyAlignment="1" applyProtection="1">
      <alignment horizontal="right"/>
      <protection locked="0"/>
    </xf>
    <xf numFmtId="2" fontId="50" fillId="0" borderId="0" xfId="0" applyNumberFormat="1" applyFont="1" applyProtection="1">
      <protection locked="0"/>
    </xf>
    <xf numFmtId="49" fontId="50" fillId="0" borderId="0" xfId="0" applyNumberFormat="1" applyFont="1" applyProtection="1">
      <protection locked="0"/>
    </xf>
    <xf numFmtId="49" fontId="51" fillId="0" borderId="0" xfId="1" applyNumberFormat="1" applyFont="1" applyAlignment="1" applyProtection="1">
      <protection locked="0"/>
    </xf>
    <xf numFmtId="49" fontId="54" fillId="0" borderId="0" xfId="1" applyNumberFormat="1" applyFont="1" applyAlignment="1" applyProtection="1">
      <protection locked="0"/>
    </xf>
    <xf numFmtId="49" fontId="56" fillId="15" borderId="0" xfId="0" applyNumberFormat="1" applyFont="1" applyFill="1" applyProtection="1">
      <protection locked="0"/>
    </xf>
    <xf numFmtId="0" fontId="50" fillId="0" borderId="0" xfId="0" applyFont="1" applyAlignment="1" applyProtection="1">
      <alignment vertical="center"/>
      <protection locked="0"/>
    </xf>
    <xf numFmtId="184" fontId="50" fillId="0" borderId="0" xfId="0" applyNumberFormat="1" applyFont="1" applyAlignment="1" applyProtection="1">
      <alignment vertical="center"/>
      <protection locked="0"/>
    </xf>
    <xf numFmtId="0" fontId="0" fillId="0" borderId="0" xfId="0" applyProtection="1">
      <protection locked="0"/>
    </xf>
    <xf numFmtId="263" fontId="46" fillId="23" borderId="4" xfId="0" applyNumberFormat="1" applyFont="1" applyFill="1" applyBorder="1" applyAlignment="1" applyProtection="1">
      <alignment vertical="center"/>
      <protection locked="0"/>
    </xf>
    <xf numFmtId="264" fontId="46" fillId="23" borderId="6" xfId="0" applyNumberFormat="1" applyFont="1" applyFill="1" applyBorder="1" applyAlignment="1" applyProtection="1">
      <alignment vertical="center"/>
      <protection locked="0"/>
    </xf>
    <xf numFmtId="0" fontId="42" fillId="0" borderId="0" xfId="0" applyFont="1" applyAlignment="1" applyProtection="1">
      <alignment horizontal="center" vertical="center"/>
      <protection locked="0"/>
    </xf>
    <xf numFmtId="0" fontId="42" fillId="0" borderId="0" xfId="0" applyNumberFormat="1" applyFont="1" applyAlignment="1">
      <alignment horizontal="center" vertical="center"/>
    </xf>
    <xf numFmtId="265" fontId="39" fillId="42" borderId="0" xfId="0" applyNumberFormat="1" applyFont="1" applyFill="1" applyAlignment="1" applyProtection="1">
      <alignment horizontal="right" vertical="center"/>
      <protection locked="0"/>
    </xf>
    <xf numFmtId="0" fontId="4" fillId="0" borderId="0" xfId="0" applyNumberFormat="1" applyFont="1"/>
    <xf numFmtId="167" fontId="3" fillId="42" borderId="0" xfId="0" quotePrefix="1" applyNumberFormat="1" applyFont="1" applyFill="1" applyAlignment="1" applyProtection="1">
      <alignment horizontal="right" vertical="center"/>
    </xf>
    <xf numFmtId="0" fontId="59" fillId="0" borderId="0" xfId="1" applyFont="1" applyAlignment="1" applyProtection="1">
      <alignment horizontal="left" vertical="center"/>
    </xf>
    <xf numFmtId="0" fontId="12" fillId="0" borderId="0" xfId="0" applyFont="1" applyAlignment="1">
      <alignment horizontal="left" vertical="center"/>
    </xf>
    <xf numFmtId="0" fontId="0" fillId="22" borderId="0" xfId="0" applyFill="1" applyAlignment="1">
      <alignment horizontal="center" vertical="center"/>
    </xf>
    <xf numFmtId="0" fontId="0" fillId="22" borderId="0" xfId="0" applyFill="1" applyAlignment="1">
      <alignment horizontal="right" vertical="center"/>
    </xf>
    <xf numFmtId="267" fontId="3" fillId="42" borderId="0" xfId="0" applyNumberFormat="1" applyFont="1" applyFill="1" applyAlignment="1" applyProtection="1">
      <alignment horizontal="right" vertical="center"/>
    </xf>
    <xf numFmtId="2" fontId="12" fillId="0" borderId="0" xfId="0" applyNumberFormat="1" applyFont="1"/>
    <xf numFmtId="2" fontId="3" fillId="0" borderId="0" xfId="0" applyNumberFormat="1" applyFont="1"/>
    <xf numFmtId="0" fontId="12" fillId="0" borderId="0" xfId="0" applyFont="1"/>
    <xf numFmtId="165" fontId="12" fillId="0" borderId="0" xfId="0" applyNumberFormat="1" applyFont="1"/>
    <xf numFmtId="1" fontId="12" fillId="0" borderId="0" xfId="0" applyNumberFormat="1" applyFont="1"/>
    <xf numFmtId="194" fontId="61" fillId="0" borderId="0" xfId="0" applyNumberFormat="1" applyFont="1" applyAlignment="1" applyProtection="1">
      <alignment vertical="center"/>
    </xf>
    <xf numFmtId="0" fontId="61" fillId="0" borderId="0" xfId="0" applyFont="1" applyAlignment="1" applyProtection="1">
      <alignment horizontal="center" vertical="center"/>
    </xf>
    <xf numFmtId="253" fontId="61" fillId="0" borderId="0" xfId="0" applyNumberFormat="1" applyFont="1" applyAlignment="1" applyProtection="1">
      <alignment vertical="center"/>
    </xf>
    <xf numFmtId="180" fontId="12" fillId="0" borderId="0" xfId="0" applyNumberFormat="1" applyFont="1"/>
    <xf numFmtId="2" fontId="3" fillId="0" borderId="0" xfId="0" applyNumberFormat="1" applyFont="1" applyAlignment="1">
      <alignment horizontal="center" vertical="center"/>
    </xf>
    <xf numFmtId="2" fontId="60" fillId="0" borderId="0" xfId="0" applyNumberFormat="1" applyFont="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49" fontId="12" fillId="44" borderId="0" xfId="0" applyNumberFormat="1" applyFont="1" applyFill="1" applyAlignment="1">
      <alignment horizontal="left" vertical="center"/>
    </xf>
    <xf numFmtId="49" fontId="12" fillId="30" borderId="0" xfId="0" applyNumberFormat="1" applyFont="1" applyFill="1" applyAlignment="1">
      <alignment horizontal="center" vertical="center"/>
    </xf>
    <xf numFmtId="165" fontId="12" fillId="0" borderId="0" xfId="0" applyNumberFormat="1" applyFont="1" applyAlignment="1">
      <alignment horizontal="center" vertical="center"/>
    </xf>
    <xf numFmtId="0" fontId="12" fillId="0" borderId="0" xfId="0" applyFont="1" applyAlignment="1">
      <alignment vertical="center"/>
    </xf>
    <xf numFmtId="165" fontId="12" fillId="0" borderId="0" xfId="0" applyNumberFormat="1" applyFont="1" applyAlignment="1">
      <alignment vertical="center"/>
    </xf>
    <xf numFmtId="194" fontId="12" fillId="0" borderId="0" xfId="0" applyNumberFormat="1" applyFont="1" applyAlignment="1">
      <alignment vertical="center"/>
    </xf>
    <xf numFmtId="194" fontId="12" fillId="44" borderId="16" xfId="0" applyNumberFormat="1" applyFont="1" applyFill="1" applyBorder="1" applyAlignment="1">
      <alignment vertical="center"/>
    </xf>
    <xf numFmtId="194" fontId="12" fillId="30" borderId="15" xfId="0" applyNumberFormat="1" applyFont="1" applyFill="1" applyBorder="1" applyAlignment="1">
      <alignment vertical="center"/>
    </xf>
    <xf numFmtId="0" fontId="12" fillId="30" borderId="0" xfId="0" applyFont="1" applyFill="1" applyAlignment="1">
      <alignment horizontal="right" vertical="center"/>
    </xf>
    <xf numFmtId="0" fontId="12" fillId="30" borderId="0" xfId="0" applyFont="1" applyFill="1" applyAlignment="1">
      <alignment vertical="center"/>
    </xf>
    <xf numFmtId="194" fontId="12" fillId="29" borderId="0" xfId="0" applyNumberFormat="1" applyFont="1" applyFill="1" applyAlignment="1">
      <alignment vertical="center"/>
    </xf>
    <xf numFmtId="0" fontId="12" fillId="29" borderId="0" xfId="0" applyFont="1" applyFill="1" applyAlignment="1">
      <alignment horizontal="center" vertical="center"/>
    </xf>
    <xf numFmtId="194" fontId="12" fillId="29" borderId="17" xfId="0" applyNumberFormat="1" applyFont="1" applyFill="1" applyBorder="1" applyAlignment="1">
      <alignment vertical="center"/>
    </xf>
    <xf numFmtId="165" fontId="62" fillId="0" borderId="0" xfId="0" applyNumberFormat="1" applyFont="1" applyAlignment="1" applyProtection="1">
      <alignment vertical="center"/>
      <protection locked="0"/>
    </xf>
    <xf numFmtId="168" fontId="62" fillId="0" borderId="0" xfId="0" applyNumberFormat="1" applyFont="1" applyAlignment="1" applyProtection="1">
      <alignment vertical="center"/>
      <protection locked="0"/>
    </xf>
    <xf numFmtId="165" fontId="62" fillId="44" borderId="0" xfId="0" applyNumberFormat="1" applyFont="1" applyFill="1" applyBorder="1" applyAlignment="1" applyProtection="1">
      <alignment vertical="center"/>
      <protection locked="0"/>
    </xf>
    <xf numFmtId="0" fontId="62" fillId="0" borderId="0" xfId="0" applyFont="1" applyAlignment="1" applyProtection="1">
      <alignment vertical="center"/>
      <protection locked="0"/>
    </xf>
    <xf numFmtId="165" fontId="62" fillId="44" borderId="16" xfId="0" applyNumberFormat="1" applyFont="1" applyFill="1" applyBorder="1" applyAlignment="1" applyProtection="1">
      <alignment vertical="center"/>
      <protection locked="0"/>
    </xf>
    <xf numFmtId="165" fontId="62" fillId="30" borderId="15" xfId="0" applyNumberFormat="1" applyFont="1" applyFill="1" applyBorder="1" applyAlignment="1" applyProtection="1">
      <alignment vertical="center"/>
      <protection locked="0"/>
    </xf>
    <xf numFmtId="194" fontId="62" fillId="29" borderId="17" xfId="0" applyNumberFormat="1" applyFont="1" applyFill="1" applyBorder="1" applyAlignment="1" applyProtection="1">
      <alignment vertical="center"/>
      <protection locked="0"/>
    </xf>
    <xf numFmtId="194" fontId="62" fillId="0" borderId="0" xfId="0" applyNumberFormat="1" applyFont="1" applyAlignment="1" applyProtection="1">
      <alignment vertical="center"/>
      <protection locked="0"/>
    </xf>
    <xf numFmtId="0" fontId="62" fillId="0" borderId="0" xfId="0" applyFont="1" applyAlignment="1" applyProtection="1">
      <alignment horizontal="center" vertical="center"/>
      <protection locked="0"/>
    </xf>
    <xf numFmtId="1" fontId="3" fillId="0" borderId="0" xfId="0" applyNumberFormat="1" applyFont="1" applyAlignment="1">
      <alignment horizontal="right" vertical="center"/>
    </xf>
    <xf numFmtId="164" fontId="3" fillId="0" borderId="0" xfId="0" applyNumberFormat="1" applyFont="1" applyAlignment="1">
      <alignment horizontal="right" vertical="center"/>
    </xf>
    <xf numFmtId="164" fontId="12" fillId="0" borderId="0" xfId="0" applyNumberFormat="1" applyFont="1" applyAlignment="1">
      <alignment horizontal="right" vertical="center"/>
    </xf>
    <xf numFmtId="268" fontId="3" fillId="0" borderId="0" xfId="0" applyNumberFormat="1" applyFont="1" applyAlignment="1">
      <alignment horizontal="right" vertical="center"/>
    </xf>
    <xf numFmtId="268" fontId="12" fillId="0" borderId="0" xfId="0" applyNumberFormat="1" applyFont="1" applyAlignment="1">
      <alignment horizontal="right" vertical="center"/>
    </xf>
    <xf numFmtId="0" fontId="3" fillId="0" borderId="0" xfId="0" applyFont="1" applyAlignment="1">
      <alignment horizontal="center" vertical="center"/>
    </xf>
    <xf numFmtId="1" fontId="62" fillId="0" borderId="0" xfId="0" applyNumberFormat="1" applyFont="1" applyAlignment="1" applyProtection="1">
      <alignment horizontal="center" vertical="center"/>
      <protection locked="0"/>
    </xf>
    <xf numFmtId="0" fontId="3" fillId="0" borderId="0" xfId="0" applyFont="1" applyAlignment="1">
      <alignment vertical="center"/>
    </xf>
    <xf numFmtId="165" fontId="3" fillId="0" borderId="0" xfId="0" applyNumberFormat="1" applyFont="1" applyAlignment="1">
      <alignment vertical="center"/>
    </xf>
    <xf numFmtId="2" fontId="3" fillId="0" borderId="0" xfId="0" applyNumberFormat="1" applyFont="1" applyAlignment="1">
      <alignment vertical="center"/>
    </xf>
    <xf numFmtId="0" fontId="63" fillId="0" borderId="0" xfId="0" applyFont="1" applyAlignment="1">
      <alignment horizontal="left" vertical="center"/>
    </xf>
    <xf numFmtId="2" fontId="13" fillId="0" borderId="0" xfId="0" applyNumberFormat="1" applyFont="1" applyAlignment="1">
      <alignment horizontal="right" vertical="center"/>
    </xf>
    <xf numFmtId="2" fontId="12" fillId="0" borderId="0" xfId="0" applyNumberFormat="1" applyFont="1" applyAlignment="1">
      <alignment horizontal="right" vertical="center"/>
    </xf>
    <xf numFmtId="194" fontId="65" fillId="0" borderId="0" xfId="0" applyNumberFormat="1" applyFont="1" applyAlignment="1">
      <alignment vertical="center"/>
    </xf>
    <xf numFmtId="194" fontId="66" fillId="44" borderId="0" xfId="0" applyNumberFormat="1" applyFont="1" applyFill="1" applyAlignment="1" applyProtection="1">
      <alignment vertical="center"/>
    </xf>
    <xf numFmtId="194" fontId="66" fillId="30" borderId="0" xfId="0" applyNumberFormat="1" applyFont="1" applyFill="1" applyAlignment="1" applyProtection="1">
      <alignment vertical="center"/>
    </xf>
    <xf numFmtId="194" fontId="68" fillId="26" borderId="0" xfId="0" applyNumberFormat="1" applyFont="1" applyFill="1" applyAlignment="1">
      <alignment vertical="center"/>
    </xf>
    <xf numFmtId="167" fontId="69" fillId="31" borderId="4" xfId="0" applyNumberFormat="1" applyFont="1" applyFill="1" applyBorder="1" applyAlignment="1">
      <alignment vertical="center"/>
    </xf>
    <xf numFmtId="9" fontId="39" fillId="42" borderId="0" xfId="0" quotePrefix="1" applyNumberFormat="1" applyFont="1" applyFill="1" applyAlignment="1" applyProtection="1">
      <alignment horizontal="right" vertical="center"/>
      <protection locked="0"/>
    </xf>
    <xf numFmtId="0" fontId="12" fillId="10" borderId="0" xfId="0" applyFont="1" applyFill="1" applyAlignment="1">
      <alignment horizontal="right" vertical="center"/>
    </xf>
    <xf numFmtId="0" fontId="12" fillId="10" borderId="0" xfId="0" applyFont="1" applyFill="1" applyAlignment="1">
      <alignment horizontal="left" vertical="center"/>
    </xf>
    <xf numFmtId="2" fontId="12" fillId="10" borderId="0" xfId="0" applyNumberFormat="1" applyFont="1" applyFill="1" applyAlignment="1">
      <alignment horizontal="right" vertical="center"/>
    </xf>
    <xf numFmtId="240" fontId="70" fillId="42" borderId="0" xfId="0" applyNumberFormat="1" applyFont="1" applyFill="1" applyAlignment="1" applyProtection="1">
      <alignment horizontal="right" vertical="center"/>
    </xf>
    <xf numFmtId="239" fontId="70" fillId="42" borderId="0" xfId="0" applyNumberFormat="1" applyFont="1" applyFill="1" applyAlignment="1" applyProtection="1">
      <alignment horizontal="right" vertical="center"/>
    </xf>
    <xf numFmtId="238" fontId="70" fillId="42" borderId="0" xfId="0" applyNumberFormat="1" applyFont="1" applyFill="1" applyAlignment="1" applyProtection="1">
      <alignment horizontal="right" vertical="center"/>
    </xf>
    <xf numFmtId="266" fontId="70" fillId="42" borderId="0" xfId="0" applyNumberFormat="1" applyFont="1" applyFill="1" applyAlignment="1" applyProtection="1">
      <alignment horizontal="right" vertical="center"/>
    </xf>
    <xf numFmtId="2" fontId="45" fillId="0" borderId="0" xfId="0" applyNumberFormat="1" applyFont="1" applyAlignment="1">
      <alignment horizontal="right" vertical="center"/>
    </xf>
    <xf numFmtId="165" fontId="72" fillId="45" borderId="0" xfId="0" applyNumberFormat="1" applyFont="1" applyFill="1" applyAlignment="1" applyProtection="1">
      <alignment horizontal="right" vertical="center"/>
      <protection locked="0"/>
    </xf>
    <xf numFmtId="165" fontId="72" fillId="31" borderId="0" xfId="0" applyNumberFormat="1" applyFont="1" applyFill="1" applyAlignment="1" applyProtection="1">
      <alignment horizontal="right" vertical="center"/>
      <protection locked="0"/>
    </xf>
    <xf numFmtId="165" fontId="45" fillId="0" borderId="0" xfId="0" applyNumberFormat="1" applyFont="1" applyAlignment="1">
      <alignment horizontal="right" vertical="center"/>
    </xf>
    <xf numFmtId="180" fontId="72" fillId="0" borderId="0" xfId="0" applyNumberFormat="1" applyFont="1" applyAlignment="1" applyProtection="1">
      <alignment horizontal="right" vertical="center"/>
      <protection locked="0"/>
    </xf>
    <xf numFmtId="180" fontId="45" fillId="0" borderId="0" xfId="0" applyNumberFormat="1" applyFont="1" applyAlignment="1">
      <alignment horizontal="right" vertical="center"/>
    </xf>
    <xf numFmtId="1" fontId="72" fillId="0" borderId="0" xfId="0" applyNumberFormat="1" applyFont="1" applyAlignment="1" applyProtection="1">
      <alignment horizontal="center" vertical="center"/>
      <protection locked="0"/>
    </xf>
    <xf numFmtId="269" fontId="73" fillId="0" borderId="0" xfId="0" applyNumberFormat="1" applyFont="1" applyAlignment="1" applyProtection="1">
      <alignment horizontal="right" vertical="center"/>
      <protection locked="0"/>
    </xf>
    <xf numFmtId="2" fontId="74" fillId="0" borderId="0" xfId="0" applyNumberFormat="1" applyFont="1" applyAlignment="1">
      <alignment horizontal="right" vertical="center"/>
    </xf>
    <xf numFmtId="180" fontId="67" fillId="0" borderId="0" xfId="0" applyNumberFormat="1" applyFont="1" applyAlignment="1">
      <alignment horizontal="right" vertical="center"/>
    </xf>
    <xf numFmtId="231" fontId="74" fillId="0" borderId="0" xfId="0" applyNumberFormat="1" applyFont="1" applyAlignment="1" applyProtection="1">
      <alignment horizontal="right" vertical="center"/>
    </xf>
    <xf numFmtId="2" fontId="75" fillId="0" borderId="0" xfId="0" applyNumberFormat="1" applyFont="1" applyAlignment="1">
      <alignment horizontal="center" vertical="center"/>
    </xf>
    <xf numFmtId="269" fontId="76" fillId="0" borderId="0" xfId="0" applyNumberFormat="1" applyFont="1" applyAlignment="1">
      <alignment horizontal="right" vertical="center"/>
    </xf>
    <xf numFmtId="2" fontId="45" fillId="0" borderId="0" xfId="0" applyNumberFormat="1" applyFont="1" applyAlignment="1">
      <alignment horizontal="center" vertical="center"/>
    </xf>
    <xf numFmtId="184" fontId="77" fillId="0" borderId="0" xfId="0" applyNumberFormat="1" applyFont="1" applyAlignment="1">
      <alignment vertical="center"/>
    </xf>
    <xf numFmtId="0" fontId="77" fillId="0" borderId="0" xfId="0" applyNumberFormat="1" applyFont="1" applyAlignment="1">
      <alignment vertical="center"/>
    </xf>
    <xf numFmtId="242" fontId="50" fillId="0" borderId="0" xfId="0" applyNumberFormat="1" applyFont="1" applyAlignment="1">
      <alignment vertical="center"/>
    </xf>
    <xf numFmtId="270" fontId="50" fillId="0" borderId="0" xfId="0" applyNumberFormat="1" applyFont="1"/>
    <xf numFmtId="0" fontId="50" fillId="0" borderId="0" xfId="0" applyNumberFormat="1" applyFont="1" applyAlignment="1">
      <alignment horizontal="center" vertical="center"/>
    </xf>
    <xf numFmtId="0" fontId="50" fillId="0" borderId="0" xfId="0" applyNumberFormat="1" applyFont="1" applyAlignment="1">
      <alignment wrapText="1"/>
    </xf>
    <xf numFmtId="271" fontId="12" fillId="0" borderId="0" xfId="0" applyNumberFormat="1" applyFont="1" applyAlignment="1">
      <alignment horizontal="right" vertical="center"/>
    </xf>
    <xf numFmtId="229" fontId="71" fillId="0" borderId="0" xfId="0" applyNumberFormat="1" applyFont="1" applyAlignment="1">
      <alignment horizontal="right" vertical="center"/>
    </xf>
    <xf numFmtId="2" fontId="50" fillId="0" borderId="0" xfId="0" applyNumberFormat="1" applyFont="1" applyAlignment="1">
      <alignment horizontal="right" vertical="center"/>
    </xf>
    <xf numFmtId="164" fontId="50" fillId="0" borderId="0" xfId="0" applyNumberFormat="1" applyFont="1" applyAlignment="1">
      <alignment horizontal="right" vertical="center"/>
    </xf>
    <xf numFmtId="0" fontId="50" fillId="0" borderId="0" xfId="0" applyFont="1" applyAlignment="1">
      <alignment horizontal="left" vertical="center"/>
    </xf>
    <xf numFmtId="0" fontId="33" fillId="0" borderId="0" xfId="0" applyNumberFormat="1" applyFont="1" applyAlignment="1">
      <alignment horizontal="right" vertical="center"/>
    </xf>
    <xf numFmtId="0" fontId="33" fillId="0" borderId="0" xfId="0" applyFont="1" applyAlignment="1">
      <alignment horizontal="left" vertical="center"/>
    </xf>
    <xf numFmtId="0" fontId="33" fillId="47" borderId="25" xfId="0" applyFont="1" applyFill="1" applyBorder="1" applyAlignment="1">
      <alignment horizontal="left" vertical="center"/>
    </xf>
    <xf numFmtId="0" fontId="33" fillId="47" borderId="34" xfId="0" applyFont="1" applyFill="1" applyBorder="1" applyAlignment="1">
      <alignment horizontal="left" vertical="center"/>
    </xf>
    <xf numFmtId="0" fontId="33" fillId="47" borderId="34" xfId="0" applyFont="1" applyFill="1" applyBorder="1" applyAlignment="1">
      <alignment horizontal="right" vertical="center"/>
    </xf>
    <xf numFmtId="0" fontId="33" fillId="47" borderId="20" xfId="0" applyFont="1" applyFill="1" applyBorder="1" applyAlignment="1">
      <alignment horizontal="right" vertical="center"/>
    </xf>
    <xf numFmtId="0" fontId="33" fillId="10" borderId="0" xfId="0" applyFont="1" applyFill="1" applyBorder="1" applyAlignment="1">
      <alignment horizontal="right" vertical="center"/>
    </xf>
    <xf numFmtId="0" fontId="33" fillId="0" borderId="0" xfId="0" applyFont="1" applyBorder="1" applyAlignment="1">
      <alignment horizontal="left" vertical="center"/>
    </xf>
    <xf numFmtId="164" fontId="33" fillId="24" borderId="25" xfId="0" applyNumberFormat="1" applyFont="1" applyFill="1" applyBorder="1" applyAlignment="1">
      <alignment horizontal="right" vertical="center"/>
    </xf>
    <xf numFmtId="164" fontId="33" fillId="24" borderId="23" xfId="0" applyNumberFormat="1" applyFont="1" applyFill="1" applyBorder="1" applyAlignment="1">
      <alignment horizontal="right" vertical="center"/>
    </xf>
    <xf numFmtId="0" fontId="33" fillId="24" borderId="20" xfId="0" applyFont="1" applyFill="1" applyBorder="1" applyAlignment="1">
      <alignment horizontal="right" vertical="center"/>
    </xf>
    <xf numFmtId="0" fontId="33" fillId="47" borderId="24" xfId="0" applyFont="1" applyFill="1" applyBorder="1" applyAlignment="1">
      <alignment horizontal="center" vertical="center"/>
    </xf>
    <xf numFmtId="2" fontId="33" fillId="45" borderId="19" xfId="0" applyNumberFormat="1" applyFont="1" applyFill="1" applyBorder="1" applyAlignment="1">
      <alignment horizontal="center" vertical="center"/>
    </xf>
    <xf numFmtId="2" fontId="33" fillId="31" borderId="0" xfId="0" applyNumberFormat="1" applyFont="1" applyFill="1" applyBorder="1" applyAlignment="1">
      <alignment horizontal="center" vertical="center"/>
    </xf>
    <xf numFmtId="0" fontId="33" fillId="47" borderId="18" xfId="0" applyFont="1" applyFill="1" applyBorder="1" applyAlignment="1">
      <alignment horizontal="center" vertical="center"/>
    </xf>
    <xf numFmtId="0" fontId="33" fillId="49" borderId="21" xfId="0" applyFont="1" applyFill="1" applyBorder="1" applyAlignment="1">
      <alignment horizontal="left" vertical="center"/>
    </xf>
    <xf numFmtId="0" fontId="33" fillId="49" borderId="20" xfId="0" applyFont="1" applyFill="1" applyBorder="1" applyAlignment="1">
      <alignment horizontal="center" vertical="center"/>
    </xf>
    <xf numFmtId="2" fontId="33" fillId="47" borderId="21" xfId="0" applyNumberFormat="1" applyFont="1" applyFill="1" applyBorder="1" applyAlignment="1">
      <alignment horizontal="left" vertical="center"/>
    </xf>
    <xf numFmtId="2" fontId="33" fillId="47" borderId="34" xfId="0" applyNumberFormat="1" applyFont="1" applyFill="1" applyBorder="1" applyAlignment="1">
      <alignment horizontal="right" vertical="center"/>
    </xf>
    <xf numFmtId="0" fontId="33" fillId="47" borderId="23" xfId="0" applyFont="1" applyFill="1" applyBorder="1" applyAlignment="1">
      <alignment horizontal="left" vertical="center"/>
    </xf>
    <xf numFmtId="0" fontId="33" fillId="47" borderId="35" xfId="0" applyFont="1" applyFill="1" applyBorder="1" applyAlignment="1">
      <alignment horizontal="left" vertical="center"/>
    </xf>
    <xf numFmtId="0" fontId="33" fillId="0" borderId="0" xfId="0" applyFont="1" applyAlignment="1">
      <alignment horizontal="right" vertical="center"/>
    </xf>
    <xf numFmtId="0" fontId="33" fillId="24" borderId="22" xfId="0" applyFont="1" applyFill="1" applyBorder="1" applyAlignment="1">
      <alignment horizontal="right" vertical="center"/>
    </xf>
    <xf numFmtId="0" fontId="33" fillId="45" borderId="22" xfId="0" applyFont="1" applyFill="1" applyBorder="1" applyAlignment="1">
      <alignment horizontal="center" vertical="center"/>
    </xf>
    <xf numFmtId="2" fontId="33" fillId="45" borderId="19" xfId="0" applyNumberFormat="1" applyFont="1" applyFill="1" applyBorder="1" applyAlignment="1">
      <alignment horizontal="right" vertical="center"/>
    </xf>
    <xf numFmtId="2" fontId="33" fillId="31" borderId="0" xfId="0" applyNumberFormat="1" applyFont="1" applyFill="1" applyBorder="1" applyAlignment="1">
      <alignment horizontal="right" vertical="center"/>
    </xf>
    <xf numFmtId="2" fontId="33" fillId="49" borderId="18" xfId="0" applyNumberFormat="1" applyFont="1" applyFill="1" applyBorder="1" applyAlignment="1">
      <alignment horizontal="left" vertical="center"/>
    </xf>
    <xf numFmtId="2" fontId="33" fillId="49" borderId="0" xfId="0" applyNumberFormat="1" applyFont="1" applyFill="1" applyBorder="1" applyAlignment="1">
      <alignment horizontal="left" vertical="center"/>
    </xf>
    <xf numFmtId="2" fontId="33" fillId="49" borderId="0" xfId="0" applyNumberFormat="1" applyFont="1" applyFill="1" applyBorder="1" applyAlignment="1">
      <alignment horizontal="right" vertical="center"/>
    </xf>
    <xf numFmtId="2" fontId="33" fillId="31" borderId="18" xfId="0" applyNumberFormat="1" applyFont="1" applyFill="1" applyBorder="1" applyAlignment="1">
      <alignment horizontal="right" vertical="center"/>
    </xf>
    <xf numFmtId="2" fontId="33" fillId="46" borderId="25" xfId="0" applyNumberFormat="1" applyFont="1" applyFill="1" applyBorder="1" applyAlignment="1">
      <alignment horizontal="left" vertical="center"/>
    </xf>
    <xf numFmtId="2" fontId="33" fillId="46" borderId="23" xfId="0" applyNumberFormat="1" applyFont="1" applyFill="1" applyBorder="1" applyAlignment="1">
      <alignment horizontal="left" vertical="center"/>
    </xf>
    <xf numFmtId="0" fontId="33" fillId="46" borderId="23" xfId="0" applyFont="1" applyFill="1" applyBorder="1" applyAlignment="1">
      <alignment horizontal="left" vertical="center"/>
    </xf>
    <xf numFmtId="164" fontId="33" fillId="46" borderId="23" xfId="0" applyNumberFormat="1" applyFont="1" applyFill="1" applyBorder="1" applyAlignment="1">
      <alignment horizontal="left" vertical="center"/>
    </xf>
    <xf numFmtId="1" fontId="33" fillId="46" borderId="23" xfId="0" applyNumberFormat="1" applyFont="1" applyFill="1" applyBorder="1" applyAlignment="1">
      <alignment horizontal="left" vertical="center"/>
    </xf>
    <xf numFmtId="0" fontId="33" fillId="46" borderId="35" xfId="0" applyFont="1" applyFill="1" applyBorder="1" applyAlignment="1">
      <alignment horizontal="left" vertical="center"/>
    </xf>
    <xf numFmtId="0" fontId="33" fillId="48" borderId="25" xfId="0" applyFont="1" applyFill="1" applyBorder="1" applyAlignment="1">
      <alignment horizontal="left" vertical="center"/>
    </xf>
    <xf numFmtId="0" fontId="33" fillId="48" borderId="35" xfId="0" applyFont="1" applyFill="1" applyBorder="1" applyAlignment="1">
      <alignment horizontal="center" vertical="center"/>
    </xf>
    <xf numFmtId="1" fontId="33" fillId="0" borderId="40" xfId="0" applyNumberFormat="1" applyFont="1" applyBorder="1" applyAlignment="1">
      <alignment horizontal="center" vertical="center"/>
    </xf>
    <xf numFmtId="164" fontId="33" fillId="24" borderId="37" xfId="0" applyNumberFormat="1" applyFont="1" applyFill="1" applyBorder="1" applyAlignment="1">
      <alignment horizontal="center" vertical="center"/>
    </xf>
    <xf numFmtId="164" fontId="33" fillId="24" borderId="22" xfId="0" applyNumberFormat="1" applyFont="1" applyFill="1" applyBorder="1" applyAlignment="1">
      <alignment horizontal="center" vertical="center"/>
    </xf>
    <xf numFmtId="0" fontId="33" fillId="31" borderId="41" xfId="0" applyFont="1" applyFill="1" applyBorder="1" applyAlignment="1">
      <alignment horizontal="center" vertical="center"/>
    </xf>
    <xf numFmtId="2" fontId="33" fillId="49" borderId="0" xfId="0" applyNumberFormat="1" applyFont="1" applyFill="1" applyBorder="1" applyAlignment="1">
      <alignment horizontal="center" vertical="center"/>
    </xf>
    <xf numFmtId="2" fontId="33" fillId="31" borderId="36" xfId="0" applyNumberFormat="1" applyFont="1" applyFill="1" applyBorder="1" applyAlignment="1">
      <alignment horizontal="right" vertical="center"/>
    </xf>
    <xf numFmtId="0" fontId="33" fillId="46" borderId="38" xfId="0" applyFont="1" applyFill="1" applyBorder="1" applyAlignment="1">
      <alignment horizontal="right" vertical="center"/>
    </xf>
    <xf numFmtId="0" fontId="33" fillId="46" borderId="39" xfId="0" applyFont="1" applyFill="1" applyBorder="1" applyAlignment="1">
      <alignment horizontal="right" vertical="center"/>
    </xf>
    <xf numFmtId="0" fontId="33" fillId="48" borderId="38" xfId="0" applyFont="1" applyFill="1" applyBorder="1" applyAlignment="1">
      <alignment horizontal="center" vertical="center"/>
    </xf>
    <xf numFmtId="0" fontId="33" fillId="48" borderId="39" xfId="0" applyFont="1" applyFill="1" applyBorder="1" applyAlignment="1">
      <alignment horizontal="center" vertical="center"/>
    </xf>
    <xf numFmtId="1" fontId="33" fillId="10" borderId="26" xfId="0" applyNumberFormat="1" applyFont="1" applyFill="1" applyBorder="1" applyAlignment="1">
      <alignment horizontal="center" vertical="center"/>
    </xf>
    <xf numFmtId="164" fontId="33" fillId="24" borderId="27" xfId="0" applyNumberFormat="1" applyFont="1" applyFill="1" applyBorder="1" applyAlignment="1">
      <alignment horizontal="right" vertical="center"/>
    </xf>
    <xf numFmtId="2" fontId="33" fillId="45" borderId="27" xfId="0" applyNumberFormat="1" applyFont="1" applyFill="1" applyBorder="1" applyAlignment="1">
      <alignment horizontal="right" vertical="center"/>
    </xf>
    <xf numFmtId="2" fontId="33" fillId="24" borderId="27" xfId="0" applyNumberFormat="1" applyFont="1" applyFill="1" applyBorder="1" applyAlignment="1">
      <alignment horizontal="right" vertical="center"/>
    </xf>
    <xf numFmtId="2" fontId="33" fillId="24" borderId="28" xfId="0" applyNumberFormat="1" applyFont="1" applyFill="1" applyBorder="1" applyAlignment="1">
      <alignment horizontal="right" vertical="center"/>
    </xf>
    <xf numFmtId="180" fontId="33" fillId="45" borderId="29" xfId="0" applyNumberFormat="1" applyFont="1" applyFill="1" applyBorder="1" applyAlignment="1">
      <alignment horizontal="right" vertical="center"/>
    </xf>
    <xf numFmtId="2" fontId="33" fillId="10" borderId="27" xfId="0" applyNumberFormat="1" applyFont="1" applyFill="1" applyBorder="1" applyAlignment="1">
      <alignment horizontal="right" vertical="center"/>
    </xf>
    <xf numFmtId="2" fontId="33" fillId="49" borderId="27" xfId="0" applyNumberFormat="1" applyFont="1" applyFill="1" applyBorder="1" applyAlignment="1">
      <alignment horizontal="left" vertical="center"/>
    </xf>
    <xf numFmtId="2" fontId="33" fillId="49" borderId="26" xfId="0" applyNumberFormat="1" applyFont="1" applyFill="1" applyBorder="1" applyAlignment="1">
      <alignment horizontal="right" vertical="center"/>
    </xf>
    <xf numFmtId="2" fontId="33" fillId="49" borderId="27" xfId="0" applyNumberFormat="1" applyFont="1" applyFill="1" applyBorder="1" applyAlignment="1">
      <alignment horizontal="right" vertical="center"/>
    </xf>
    <xf numFmtId="2" fontId="33" fillId="45" borderId="26" xfId="0" applyNumberFormat="1" applyFont="1" applyFill="1" applyBorder="1" applyAlignment="1">
      <alignment horizontal="right" vertical="center"/>
    </xf>
    <xf numFmtId="2" fontId="33" fillId="31" borderId="28" xfId="0" applyNumberFormat="1" applyFont="1" applyFill="1" applyBorder="1" applyAlignment="1">
      <alignment horizontal="right" vertical="center"/>
    </xf>
    <xf numFmtId="2" fontId="50" fillId="48" borderId="26" xfId="0" applyNumberFormat="1" applyFont="1" applyFill="1" applyBorder="1" applyAlignment="1">
      <alignment horizontal="right" vertical="center"/>
    </xf>
    <xf numFmtId="2" fontId="50" fillId="48" borderId="28" xfId="0" applyNumberFormat="1" applyFont="1" applyFill="1" applyBorder="1" applyAlignment="1">
      <alignment horizontal="right" vertical="center"/>
    </xf>
    <xf numFmtId="268" fontId="33" fillId="10" borderId="29" xfId="0" applyNumberFormat="1" applyFont="1" applyFill="1" applyBorder="1" applyAlignment="1">
      <alignment horizontal="right" vertical="center"/>
    </xf>
    <xf numFmtId="164" fontId="33" fillId="24" borderId="0" xfId="0" applyNumberFormat="1" applyFont="1" applyFill="1" applyBorder="1" applyAlignment="1">
      <alignment horizontal="right" vertical="center"/>
    </xf>
    <xf numFmtId="2" fontId="33" fillId="45" borderId="0" xfId="0" applyNumberFormat="1" applyFont="1" applyFill="1" applyBorder="1" applyAlignment="1">
      <alignment horizontal="right" vertical="center"/>
    </xf>
    <xf numFmtId="2" fontId="33" fillId="24" borderId="0" xfId="0" applyNumberFormat="1" applyFont="1" applyFill="1" applyBorder="1" applyAlignment="1">
      <alignment horizontal="right" vertical="center"/>
    </xf>
    <xf numFmtId="2" fontId="33" fillId="24" borderId="30" xfId="0" applyNumberFormat="1" applyFont="1" applyFill="1" applyBorder="1" applyAlignment="1">
      <alignment horizontal="right" vertical="center"/>
    </xf>
    <xf numFmtId="180" fontId="33" fillId="31" borderId="29" xfId="0" applyNumberFormat="1" applyFont="1" applyFill="1" applyBorder="1" applyAlignment="1">
      <alignment horizontal="right" vertical="center"/>
    </xf>
    <xf numFmtId="2" fontId="33" fillId="10" borderId="0" xfId="0" applyNumberFormat="1" applyFont="1" applyFill="1" applyBorder="1" applyAlignment="1">
      <alignment horizontal="right" vertical="center"/>
    </xf>
    <xf numFmtId="0" fontId="33" fillId="10" borderId="0" xfId="0" applyFont="1" applyFill="1" applyBorder="1" applyAlignment="1">
      <alignment horizontal="left" vertical="center"/>
    </xf>
    <xf numFmtId="2" fontId="33" fillId="49" borderId="29" xfId="0" applyNumberFormat="1" applyFont="1" applyFill="1" applyBorder="1" applyAlignment="1">
      <alignment horizontal="right" vertical="center"/>
    </xf>
    <xf numFmtId="2" fontId="33" fillId="10" borderId="29" xfId="0" applyNumberFormat="1" applyFont="1" applyFill="1" applyBorder="1" applyAlignment="1">
      <alignment horizontal="right" vertical="center"/>
    </xf>
    <xf numFmtId="2" fontId="33" fillId="10" borderId="30" xfId="0" applyNumberFormat="1" applyFont="1" applyFill="1" applyBorder="1" applyAlignment="1">
      <alignment horizontal="right" vertical="center"/>
    </xf>
    <xf numFmtId="2" fontId="50" fillId="48" borderId="29" xfId="0" applyNumberFormat="1" applyFont="1" applyFill="1" applyBorder="1" applyAlignment="1">
      <alignment horizontal="right" vertical="center"/>
    </xf>
    <xf numFmtId="2" fontId="50" fillId="48" borderId="30" xfId="0" applyNumberFormat="1" applyFont="1" applyFill="1" applyBorder="1" applyAlignment="1">
      <alignment horizontal="right" vertical="center"/>
    </xf>
    <xf numFmtId="0" fontId="33" fillId="10" borderId="29" xfId="0" applyFont="1" applyFill="1" applyBorder="1" applyAlignment="1">
      <alignment horizontal="right" vertical="center"/>
    </xf>
    <xf numFmtId="268" fontId="33" fillId="10" borderId="31" xfId="0" applyNumberFormat="1" applyFont="1" applyFill="1" applyBorder="1" applyAlignment="1">
      <alignment horizontal="right" vertical="center"/>
    </xf>
    <xf numFmtId="164" fontId="33" fillId="10" borderId="32" xfId="0" applyNumberFormat="1" applyFont="1" applyFill="1" applyBorder="1" applyAlignment="1">
      <alignment horizontal="right" vertical="center"/>
    </xf>
    <xf numFmtId="2" fontId="33" fillId="10" borderId="33" xfId="0" applyNumberFormat="1" applyFont="1" applyFill="1" applyBorder="1" applyAlignment="1">
      <alignment horizontal="right" vertical="center"/>
    </xf>
    <xf numFmtId="2" fontId="33" fillId="10" borderId="31" xfId="0" applyNumberFormat="1" applyFont="1" applyFill="1" applyBorder="1" applyAlignment="1">
      <alignment horizontal="right" vertical="center"/>
    </xf>
    <xf numFmtId="2" fontId="33" fillId="10" borderId="32" xfId="0" applyNumberFormat="1" applyFont="1" applyFill="1" applyBorder="1" applyAlignment="1">
      <alignment horizontal="right" vertical="center"/>
    </xf>
    <xf numFmtId="0" fontId="33" fillId="10" borderId="32" xfId="0" applyFont="1" applyFill="1" applyBorder="1" applyAlignment="1">
      <alignment horizontal="left" vertical="center"/>
    </xf>
    <xf numFmtId="0" fontId="33" fillId="10" borderId="31" xfId="0" applyFont="1" applyFill="1" applyBorder="1" applyAlignment="1">
      <alignment horizontal="right" vertical="center"/>
    </xf>
    <xf numFmtId="0" fontId="33" fillId="10" borderId="32" xfId="0" applyFont="1" applyFill="1" applyBorder="1" applyAlignment="1">
      <alignment horizontal="right" vertical="center"/>
    </xf>
    <xf numFmtId="2" fontId="50" fillId="48" borderId="31" xfId="0" applyNumberFormat="1" applyFont="1" applyFill="1" applyBorder="1" applyAlignment="1">
      <alignment horizontal="right" vertical="center"/>
    </xf>
    <xf numFmtId="2" fontId="50" fillId="48" borderId="33" xfId="0" applyNumberFormat="1" applyFont="1" applyFill="1" applyBorder="1" applyAlignment="1">
      <alignment horizontal="right" vertical="center"/>
    </xf>
    <xf numFmtId="268" fontId="33" fillId="0" borderId="29" xfId="0" applyNumberFormat="1" applyFont="1" applyFill="1" applyBorder="1" applyAlignment="1">
      <alignment horizontal="right" vertical="center"/>
    </xf>
    <xf numFmtId="164" fontId="33" fillId="0" borderId="0" xfId="0" applyNumberFormat="1" applyFont="1" applyFill="1" applyBorder="1" applyAlignment="1">
      <alignment horizontal="right" vertical="center"/>
    </xf>
    <xf numFmtId="0" fontId="33" fillId="42" borderId="0" xfId="0" applyFont="1" applyFill="1" applyAlignment="1">
      <alignment horizontal="center" vertical="center" wrapText="1" shrinkToFit="1"/>
    </xf>
    <xf numFmtId="0" fontId="78" fillId="0" borderId="0" xfId="0" applyNumberFormat="1" applyFont="1" applyAlignment="1">
      <alignment horizontal="center" vertical="center"/>
    </xf>
    <xf numFmtId="272" fontId="50" fillId="0" borderId="0" xfId="0" applyNumberFormat="1" applyFont="1" applyAlignment="1">
      <alignment horizontal="right" vertical="center"/>
    </xf>
    <xf numFmtId="242" fontId="76" fillId="0" borderId="0" xfId="0" applyNumberFormat="1" applyFont="1" applyAlignment="1">
      <alignment horizontal="right" vertical="center"/>
    </xf>
    <xf numFmtId="0" fontId="45" fillId="0" borderId="0" xfId="0" applyNumberFormat="1" applyFont="1" applyAlignment="1">
      <alignment horizontal="right" vertical="center"/>
    </xf>
    <xf numFmtId="220" fontId="40" fillId="9" borderId="42" xfId="0" applyNumberFormat="1" applyFont="1" applyFill="1" applyBorder="1" applyAlignment="1">
      <alignment horizontal="center" vertical="center"/>
    </xf>
    <xf numFmtId="221" fontId="40" fillId="40" borderId="43" xfId="0" applyNumberFormat="1" applyFont="1" applyFill="1" applyBorder="1" applyAlignment="1">
      <alignment horizontal="center" vertical="center"/>
    </xf>
    <xf numFmtId="9" fontId="40" fillId="40" borderId="44" xfId="0" applyNumberFormat="1" applyFont="1" applyFill="1" applyBorder="1" applyAlignment="1">
      <alignment horizontal="center" vertical="center"/>
    </xf>
    <xf numFmtId="181" fontId="40" fillId="0" borderId="26" xfId="0" applyNumberFormat="1" applyFont="1" applyBorder="1" applyAlignment="1">
      <alignment horizontal="left" vertical="center"/>
    </xf>
    <xf numFmtId="0" fontId="40" fillId="0" borderId="27" xfId="0" applyFont="1" applyBorder="1" applyAlignment="1">
      <alignment horizontal="left" vertical="center"/>
    </xf>
    <xf numFmtId="0" fontId="40" fillId="40" borderId="27" xfId="0" applyFont="1" applyFill="1" applyBorder="1" applyAlignment="1">
      <alignment horizontal="right" vertical="center"/>
    </xf>
    <xf numFmtId="0" fontId="40" fillId="40" borderId="28" xfId="0" applyFont="1" applyFill="1" applyBorder="1" applyAlignment="1">
      <alignment horizontal="right" vertical="center"/>
    </xf>
    <xf numFmtId="0" fontId="40" fillId="0" borderId="0" xfId="0" applyFont="1" applyBorder="1" applyAlignment="1">
      <alignment horizontal="left" vertical="center"/>
    </xf>
    <xf numFmtId="0" fontId="40" fillId="0" borderId="32" xfId="0" applyFont="1" applyBorder="1" applyAlignment="1">
      <alignment horizontal="left" vertical="center"/>
    </xf>
    <xf numFmtId="221" fontId="40" fillId="38" borderId="43" xfId="0" applyNumberFormat="1" applyFont="1" applyFill="1" applyBorder="1" applyAlignment="1">
      <alignment horizontal="center" vertical="center"/>
    </xf>
    <xf numFmtId="9" fontId="40" fillId="38" borderId="44" xfId="0" applyNumberFormat="1" applyFont="1" applyFill="1" applyBorder="1" applyAlignment="1">
      <alignment horizontal="center" vertical="center"/>
    </xf>
    <xf numFmtId="221" fontId="40" fillId="39" borderId="43" xfId="0" applyNumberFormat="1" applyFont="1" applyFill="1" applyBorder="1" applyAlignment="1">
      <alignment horizontal="center" vertical="center"/>
    </xf>
    <xf numFmtId="9" fontId="40" fillId="39" borderId="44" xfId="0" applyNumberFormat="1" applyFont="1" applyFill="1" applyBorder="1" applyAlignment="1">
      <alignment horizontal="center" vertical="center"/>
    </xf>
    <xf numFmtId="220" fontId="40" fillId="0" borderId="45" xfId="0" applyNumberFormat="1" applyFont="1" applyBorder="1" applyAlignment="1">
      <alignment horizontal="center" vertical="center"/>
    </xf>
    <xf numFmtId="221" fontId="40" fillId="0" borderId="46" xfId="0" applyNumberFormat="1" applyFont="1" applyBorder="1" applyAlignment="1">
      <alignment horizontal="center" vertical="center"/>
    </xf>
    <xf numFmtId="9" fontId="40" fillId="0" borderId="47" xfId="0" applyNumberFormat="1" applyFont="1" applyBorder="1" applyAlignment="1">
      <alignment horizontal="center" vertical="center"/>
    </xf>
    <xf numFmtId="273" fontId="0" fillId="0" borderId="0" xfId="0" applyNumberFormat="1" applyAlignment="1">
      <alignment horizontal="right" vertical="center"/>
    </xf>
    <xf numFmtId="164" fontId="33" fillId="46" borderId="26" xfId="0" applyNumberFormat="1" applyFont="1" applyFill="1" applyBorder="1" applyAlignment="1">
      <alignment horizontal="right" vertical="center"/>
    </xf>
    <xf numFmtId="164" fontId="33" fillId="46" borderId="27" xfId="0" applyNumberFormat="1" applyFont="1" applyFill="1" applyBorder="1" applyAlignment="1">
      <alignment horizontal="right" vertical="center"/>
    </xf>
    <xf numFmtId="164" fontId="33" fillId="46" borderId="28" xfId="0" applyNumberFormat="1" applyFont="1" applyFill="1" applyBorder="1" applyAlignment="1">
      <alignment horizontal="right" vertical="center"/>
    </xf>
    <xf numFmtId="164" fontId="33" fillId="46" borderId="29" xfId="0" applyNumberFormat="1" applyFont="1" applyFill="1" applyBorder="1" applyAlignment="1">
      <alignment horizontal="right" vertical="center"/>
    </xf>
    <xf numFmtId="164" fontId="33" fillId="46" borderId="0" xfId="0" applyNumberFormat="1" applyFont="1" applyFill="1" applyBorder="1" applyAlignment="1">
      <alignment horizontal="right" vertical="center"/>
    </xf>
    <xf numFmtId="164" fontId="33" fillId="46" borderId="30" xfId="0" applyNumberFormat="1" applyFont="1" applyFill="1" applyBorder="1" applyAlignment="1">
      <alignment horizontal="right" vertical="center"/>
    </xf>
    <xf numFmtId="164" fontId="33" fillId="10" borderId="29" xfId="0" applyNumberFormat="1" applyFont="1" applyFill="1" applyBorder="1" applyAlignment="1">
      <alignment horizontal="right" vertical="center"/>
    </xf>
    <xf numFmtId="164" fontId="33" fillId="10" borderId="0" xfId="0" applyNumberFormat="1" applyFont="1" applyFill="1" applyBorder="1" applyAlignment="1">
      <alignment horizontal="right" vertical="center"/>
    </xf>
    <xf numFmtId="164" fontId="33" fillId="10" borderId="30" xfId="0" applyNumberFormat="1" applyFont="1" applyFill="1" applyBorder="1" applyAlignment="1">
      <alignment horizontal="right" vertical="center"/>
    </xf>
    <xf numFmtId="164" fontId="33" fillId="10" borderId="31" xfId="0" applyNumberFormat="1" applyFont="1" applyFill="1" applyBorder="1" applyAlignment="1">
      <alignment horizontal="right" vertical="center"/>
    </xf>
    <xf numFmtId="164" fontId="33" fillId="10" borderId="33" xfId="0" applyNumberFormat="1" applyFont="1" applyFill="1" applyBorder="1" applyAlignment="1">
      <alignment horizontal="right" vertical="center"/>
    </xf>
    <xf numFmtId="164" fontId="0" fillId="32" borderId="0" xfId="0" applyNumberFormat="1" applyFill="1" applyAlignment="1">
      <alignment horizontal="left" vertical="center"/>
    </xf>
    <xf numFmtId="266" fontId="70" fillId="42" borderId="0" xfId="0" applyNumberFormat="1" applyFont="1" applyFill="1" applyAlignment="1" applyProtection="1">
      <alignment horizontal="center" vertical="center"/>
    </xf>
    <xf numFmtId="0" fontId="13" fillId="0" borderId="0" xfId="0" applyNumberFormat="1" applyFont="1" applyAlignment="1">
      <alignment horizontal="right" vertical="center"/>
    </xf>
    <xf numFmtId="164" fontId="33" fillId="45" borderId="23" xfId="0" applyNumberFormat="1" applyFont="1" applyFill="1" applyBorder="1" applyAlignment="1">
      <alignment horizontal="right" vertical="center"/>
    </xf>
    <xf numFmtId="164" fontId="33" fillId="31" borderId="23" xfId="0" applyNumberFormat="1" applyFont="1" applyFill="1" applyBorder="1" applyAlignment="1">
      <alignment horizontal="right" vertical="center"/>
    </xf>
    <xf numFmtId="164" fontId="33" fillId="31" borderId="35" xfId="0" applyNumberFormat="1" applyFont="1" applyFill="1" applyBorder="1" applyAlignment="1">
      <alignment horizontal="right" vertical="center"/>
    </xf>
    <xf numFmtId="0" fontId="12" fillId="10" borderId="0" xfId="0" applyNumberFormat="1" applyFont="1" applyFill="1" applyAlignment="1">
      <alignment horizontal="left" vertical="center"/>
    </xf>
    <xf numFmtId="164" fontId="40" fillId="40" borderId="27" xfId="0" applyNumberFormat="1" applyFont="1" applyFill="1" applyBorder="1" applyAlignment="1">
      <alignment horizontal="right" vertical="center"/>
    </xf>
    <xf numFmtId="164" fontId="40" fillId="40" borderId="28" xfId="0" applyNumberFormat="1" applyFont="1" applyFill="1" applyBorder="1" applyAlignment="1">
      <alignment horizontal="right" vertical="center"/>
    </xf>
    <xf numFmtId="164" fontId="40" fillId="0" borderId="0" xfId="0" applyNumberFormat="1" applyFont="1" applyBorder="1" applyAlignment="1">
      <alignment horizontal="right" vertical="center"/>
    </xf>
    <xf numFmtId="164" fontId="40" fillId="0" borderId="30" xfId="0" applyNumberFormat="1" applyFont="1" applyBorder="1" applyAlignment="1">
      <alignment horizontal="right" vertical="center"/>
    </xf>
    <xf numFmtId="164" fontId="40" fillId="0" borderId="32" xfId="0" applyNumberFormat="1" applyFont="1" applyBorder="1" applyAlignment="1">
      <alignment horizontal="right" vertical="center"/>
    </xf>
    <xf numFmtId="164" fontId="40" fillId="0" borderId="33" xfId="0" applyNumberFormat="1" applyFont="1" applyBorder="1" applyAlignment="1">
      <alignment horizontal="right" vertical="center"/>
    </xf>
    <xf numFmtId="164" fontId="40" fillId="38" borderId="27" xfId="0" applyNumberFormat="1" applyFont="1" applyFill="1" applyBorder="1" applyAlignment="1">
      <alignment horizontal="right" vertical="center"/>
    </xf>
    <xf numFmtId="164" fontId="40" fillId="34" borderId="27" xfId="0" applyNumberFormat="1" applyFont="1" applyFill="1" applyBorder="1" applyAlignment="1">
      <alignment horizontal="right" vertical="center"/>
    </xf>
    <xf numFmtId="164" fontId="40" fillId="37" borderId="27" xfId="0" applyNumberFormat="1" applyFont="1" applyFill="1" applyBorder="1" applyAlignment="1">
      <alignment horizontal="right" vertical="center"/>
    </xf>
    <xf numFmtId="164" fontId="40" fillId="38" borderId="28" xfId="0" applyNumberFormat="1" applyFont="1" applyFill="1" applyBorder="1" applyAlignment="1">
      <alignment horizontal="right" vertical="center"/>
    </xf>
    <xf numFmtId="164" fontId="40" fillId="36" borderId="27" xfId="0" applyNumberFormat="1" applyFont="1" applyFill="1" applyBorder="1" applyAlignment="1">
      <alignment horizontal="right" vertical="center"/>
    </xf>
    <xf numFmtId="164" fontId="40" fillId="0" borderId="28" xfId="0" applyNumberFormat="1" applyFont="1" applyBorder="1" applyAlignment="1">
      <alignment horizontal="right" vertical="center"/>
    </xf>
    <xf numFmtId="164" fontId="40" fillId="35" borderId="27" xfId="0" applyNumberFormat="1" applyFont="1" applyFill="1" applyBorder="1" applyAlignment="1">
      <alignment horizontal="right" vertical="center"/>
    </xf>
    <xf numFmtId="164" fontId="40" fillId="33" borderId="27" xfId="0" applyNumberFormat="1" applyFont="1" applyFill="1" applyBorder="1" applyAlignment="1">
      <alignment horizontal="right" vertical="center"/>
    </xf>
    <xf numFmtId="164" fontId="40" fillId="39" borderId="27" xfId="0" applyNumberFormat="1" applyFont="1" applyFill="1" applyBorder="1" applyAlignment="1">
      <alignment horizontal="right" vertical="center"/>
    </xf>
    <xf numFmtId="164" fontId="40" fillId="39" borderId="28" xfId="0" applyNumberFormat="1" applyFont="1" applyFill="1" applyBorder="1" applyAlignment="1">
      <alignment horizontal="right" vertical="center"/>
    </xf>
    <xf numFmtId="164" fontId="40" fillId="0" borderId="27" xfId="0" applyNumberFormat="1" applyFont="1" applyBorder="1" applyAlignment="1">
      <alignment horizontal="right" vertical="center"/>
    </xf>
    <xf numFmtId="164" fontId="40" fillId="0" borderId="0" xfId="0" applyNumberFormat="1" applyFont="1" applyAlignment="1">
      <alignment horizontal="right" vertical="center"/>
    </xf>
    <xf numFmtId="1" fontId="40" fillId="0" borderId="0" xfId="0" applyNumberFormat="1" applyFont="1" applyAlignment="1">
      <alignment horizontal="right" vertical="center"/>
    </xf>
    <xf numFmtId="0" fontId="40" fillId="0" borderId="0" xfId="0" applyFont="1" applyAlignment="1">
      <alignment horizontal="center" vertical="center"/>
    </xf>
    <xf numFmtId="180" fontId="40" fillId="0" borderId="0" xfId="0" applyNumberFormat="1" applyFont="1" applyAlignment="1">
      <alignment horizontal="center" vertical="center"/>
    </xf>
    <xf numFmtId="0" fontId="40" fillId="0" borderId="26" xfId="0" applyNumberFormat="1" applyFont="1" applyBorder="1" applyAlignment="1">
      <alignment horizontal="center" vertical="center"/>
    </xf>
    <xf numFmtId="0" fontId="40" fillId="0" borderId="29" xfId="0" applyNumberFormat="1" applyFont="1" applyBorder="1" applyAlignment="1">
      <alignment horizontal="center" vertical="center"/>
    </xf>
    <xf numFmtId="0" fontId="40" fillId="0" borderId="31" xfId="0" applyNumberFormat="1" applyFont="1" applyBorder="1" applyAlignment="1">
      <alignment horizontal="center" vertical="center"/>
    </xf>
    <xf numFmtId="214" fontId="40" fillId="0" borderId="26" xfId="0" applyNumberFormat="1" applyFont="1" applyBorder="1" applyAlignment="1">
      <alignment horizontal="center" vertical="center"/>
    </xf>
    <xf numFmtId="49" fontId="79" fillId="9" borderId="4" xfId="0" applyNumberFormat="1" applyFont="1" applyFill="1" applyBorder="1" applyAlignment="1" applyProtection="1">
      <alignment horizontal="center" vertical="center"/>
    </xf>
    <xf numFmtId="274" fontId="79" fillId="42" borderId="0" xfId="0" applyNumberFormat="1" applyFont="1" applyFill="1" applyAlignment="1" applyProtection="1">
      <alignment horizontal="center" vertical="center"/>
    </xf>
    <xf numFmtId="253" fontId="39" fillId="0" borderId="4" xfId="0" applyNumberFormat="1" applyFont="1" applyBorder="1" applyAlignment="1" applyProtection="1">
      <alignment horizontal="center" vertical="center"/>
      <protection locked="0"/>
    </xf>
    <xf numFmtId="0" fontId="39" fillId="0" borderId="0" xfId="0" applyNumberFormat="1" applyFont="1" applyAlignment="1" applyProtection="1">
      <alignment horizontal="center" vertical="center"/>
      <protection locked="0"/>
    </xf>
    <xf numFmtId="276" fontId="42" fillId="0" borderId="48" xfId="0" applyNumberFormat="1" applyFont="1" applyBorder="1" applyAlignment="1">
      <alignment vertical="center"/>
    </xf>
    <xf numFmtId="277" fontId="42" fillId="0" borderId="49" xfId="0" applyNumberFormat="1" applyFont="1" applyBorder="1" applyAlignment="1">
      <alignment vertical="center"/>
    </xf>
    <xf numFmtId="279" fontId="42" fillId="0" borderId="49" xfId="0" applyNumberFormat="1" applyFont="1" applyBorder="1" applyAlignment="1">
      <alignment vertical="center"/>
    </xf>
    <xf numFmtId="276" fontId="42" fillId="0" borderId="50" xfId="0" applyNumberFormat="1" applyFont="1" applyBorder="1" applyAlignment="1">
      <alignment vertical="center"/>
    </xf>
    <xf numFmtId="277" fontId="42" fillId="0" borderId="0" xfId="0" applyNumberFormat="1" applyFont="1" applyBorder="1" applyAlignment="1">
      <alignment vertical="center"/>
    </xf>
    <xf numFmtId="279" fontId="42" fillId="0" borderId="0" xfId="0" applyNumberFormat="1" applyFont="1" applyBorder="1" applyAlignment="1">
      <alignment vertical="center"/>
    </xf>
    <xf numFmtId="280" fontId="42" fillId="0" borderId="43" xfId="0" applyNumberFormat="1" applyFont="1" applyBorder="1" applyAlignment="1">
      <alignment vertical="center"/>
    </xf>
    <xf numFmtId="276" fontId="42" fillId="0" borderId="51" xfId="0" applyNumberFormat="1" applyFont="1" applyBorder="1" applyAlignment="1">
      <alignment vertical="center"/>
    </xf>
    <xf numFmtId="277" fontId="42" fillId="0" borderId="52" xfId="0" applyNumberFormat="1" applyFont="1" applyBorder="1" applyAlignment="1">
      <alignment vertical="center"/>
    </xf>
    <xf numFmtId="279" fontId="42" fillId="0" borderId="52" xfId="0" applyNumberFormat="1" applyFont="1" applyBorder="1" applyAlignment="1">
      <alignment vertical="center"/>
    </xf>
    <xf numFmtId="280" fontId="42" fillId="0" borderId="44" xfId="0" applyNumberFormat="1" applyFont="1" applyBorder="1" applyAlignment="1">
      <alignment vertical="center"/>
    </xf>
    <xf numFmtId="278" fontId="42" fillId="0" borderId="42" xfId="0" applyNumberFormat="1" applyFont="1" applyBorder="1" applyAlignment="1">
      <alignment vertical="center"/>
    </xf>
    <xf numFmtId="0" fontId="0" fillId="10" borderId="0" xfId="0" applyFill="1" applyAlignment="1">
      <alignment horizontal="center" vertical="center"/>
    </xf>
    <xf numFmtId="164" fontId="0" fillId="10" borderId="0" xfId="0" applyNumberFormat="1" applyFill="1" applyAlignment="1">
      <alignment horizontal="center" vertical="center"/>
    </xf>
    <xf numFmtId="164" fontId="0" fillId="10" borderId="0" xfId="0" applyNumberFormat="1" applyFill="1" applyAlignment="1">
      <alignment horizontal="right" vertical="center"/>
    </xf>
    <xf numFmtId="1" fontId="0" fillId="32" borderId="0" xfId="0" applyNumberFormat="1" applyFill="1" applyAlignment="1">
      <alignment horizontal="right" vertical="center"/>
    </xf>
    <xf numFmtId="166" fontId="42" fillId="0" borderId="43" xfId="0" applyNumberFormat="1" applyFont="1" applyBorder="1" applyAlignment="1">
      <alignment horizontal="left" vertical="center"/>
    </xf>
    <xf numFmtId="281" fontId="42" fillId="0" borderId="53" xfId="0" applyNumberFormat="1" applyFont="1" applyBorder="1" applyAlignment="1">
      <alignment vertical="center"/>
    </xf>
    <xf numFmtId="275" fontId="42" fillId="0" borderId="54" xfId="0" applyNumberFormat="1" applyFont="1" applyBorder="1" applyAlignment="1">
      <alignment vertical="center"/>
    </xf>
    <xf numFmtId="280" fontId="42" fillId="0" borderId="42" xfId="0" applyNumberFormat="1" applyFont="1" applyBorder="1" applyAlignment="1">
      <alignment vertical="center"/>
    </xf>
    <xf numFmtId="166" fontId="42" fillId="0" borderId="42" xfId="0" applyNumberFormat="1" applyFont="1" applyBorder="1" applyAlignment="1">
      <alignment horizontal="left" vertical="center"/>
    </xf>
    <xf numFmtId="282" fontId="42" fillId="0" borderId="42" xfId="0" applyNumberFormat="1" applyFont="1" applyBorder="1" applyAlignment="1">
      <alignment horizontal="left" vertical="center"/>
    </xf>
    <xf numFmtId="282" fontId="42" fillId="0" borderId="43" xfId="0" applyNumberFormat="1" applyFont="1" applyBorder="1" applyAlignment="1">
      <alignment horizontal="left" vertical="center"/>
    </xf>
    <xf numFmtId="166" fontId="42" fillId="0" borderId="44" xfId="0" applyNumberFormat="1" applyFont="1" applyBorder="1" applyAlignment="1">
      <alignment horizontal="left" vertical="center"/>
    </xf>
    <xf numFmtId="282" fontId="42" fillId="0" borderId="44" xfId="0" applyNumberFormat="1" applyFont="1" applyBorder="1" applyAlignment="1">
      <alignment horizontal="left" vertical="center"/>
    </xf>
    <xf numFmtId="280" fontId="42" fillId="0" borderId="51" xfId="0" applyNumberFormat="1" applyFont="1" applyBorder="1" applyAlignment="1">
      <alignment vertical="center"/>
    </xf>
    <xf numFmtId="0" fontId="42" fillId="0" borderId="55" xfId="0" applyFont="1" applyBorder="1" applyAlignment="1">
      <alignment vertical="center"/>
    </xf>
    <xf numFmtId="0" fontId="0" fillId="8" borderId="0" xfId="0" applyFill="1" applyAlignment="1">
      <alignment horizontal="center" vertical="center"/>
    </xf>
    <xf numFmtId="0" fontId="0" fillId="0" borderId="0" xfId="0" applyNumberFormat="1" applyAlignment="1">
      <alignment horizontal="right" vertical="center"/>
    </xf>
    <xf numFmtId="2" fontId="0" fillId="24" borderId="0" xfId="0" applyNumberFormat="1" applyFill="1" applyAlignment="1">
      <alignment horizontal="center" vertical="center"/>
    </xf>
    <xf numFmtId="164" fontId="0" fillId="30" borderId="0" xfId="0" applyNumberFormat="1" applyFill="1" applyAlignment="1">
      <alignment horizontal="center" vertical="center"/>
    </xf>
    <xf numFmtId="183" fontId="15" fillId="15" borderId="0" xfId="0" applyNumberFormat="1" applyFont="1" applyFill="1" applyAlignment="1" applyProtection="1">
      <alignment horizontal="right" vertical="center"/>
      <protection locked="0"/>
    </xf>
    <xf numFmtId="183" fontId="15" fillId="15" borderId="0" xfId="0" applyNumberFormat="1" applyFont="1" applyFill="1" applyAlignment="1" applyProtection="1">
      <alignment horizontal="center" vertical="center"/>
      <protection locked="0"/>
    </xf>
    <xf numFmtId="283" fontId="3" fillId="42" borderId="0" xfId="0" applyNumberFormat="1" applyFont="1" applyFill="1" applyAlignment="1" applyProtection="1">
      <alignment horizontal="right" vertical="center"/>
    </xf>
    <xf numFmtId="284" fontId="3" fillId="4" borderId="0" xfId="0" applyNumberFormat="1" applyFont="1" applyFill="1" applyAlignment="1" applyProtection="1">
      <alignment horizontal="right" vertical="center"/>
      <protection locked="0"/>
    </xf>
    <xf numFmtId="0" fontId="42" fillId="0" borderId="0" xfId="0" applyNumberFormat="1" applyFont="1" applyAlignment="1" applyProtection="1">
      <alignment horizontal="right" vertical="center"/>
      <protection locked="0"/>
    </xf>
    <xf numFmtId="10" fontId="33" fillId="42" borderId="0" xfId="0" quotePrefix="1" applyNumberFormat="1" applyFont="1" applyFill="1" applyAlignment="1" applyProtection="1">
      <alignment horizontal="right" vertical="center"/>
    </xf>
    <xf numFmtId="285" fontId="39" fillId="42" borderId="0" xfId="0" applyNumberFormat="1" applyFont="1" applyFill="1" applyAlignment="1" applyProtection="1">
      <alignment horizontal="right" vertical="center"/>
      <protection locked="0"/>
    </xf>
    <xf numFmtId="0" fontId="0" fillId="50" borderId="0" xfId="0" applyFill="1" applyBorder="1"/>
    <xf numFmtId="181" fontId="50" fillId="0" borderId="0" xfId="0" applyNumberFormat="1" applyFont="1"/>
    <xf numFmtId="287" fontId="50" fillId="31" borderId="0" xfId="0" applyNumberFormat="1" applyFont="1" applyFill="1" applyAlignment="1">
      <alignment horizontal="right" vertical="center"/>
    </xf>
    <xf numFmtId="287" fontId="50" fillId="24" borderId="0" xfId="0" applyNumberFormat="1" applyFont="1" applyFill="1" applyAlignment="1">
      <alignment horizontal="right" vertical="center"/>
    </xf>
    <xf numFmtId="287" fontId="50" fillId="0" borderId="0" xfId="0" applyNumberFormat="1" applyFont="1" applyAlignment="1">
      <alignment horizontal="right" vertical="center"/>
    </xf>
    <xf numFmtId="287" fontId="50" fillId="44" borderId="0" xfId="0" applyNumberFormat="1" applyFont="1" applyFill="1" applyAlignment="1">
      <alignment horizontal="right" vertical="center"/>
    </xf>
    <xf numFmtId="287" fontId="50" fillId="44" borderId="0" xfId="0" applyNumberFormat="1" applyFont="1" applyFill="1" applyBorder="1" applyAlignment="1">
      <alignment horizontal="right" vertical="center"/>
    </xf>
    <xf numFmtId="288" fontId="42" fillId="27" borderId="0" xfId="0" applyNumberFormat="1" applyFont="1" applyFill="1" applyAlignment="1">
      <alignment vertical="center"/>
    </xf>
    <xf numFmtId="288" fontId="42" fillId="25" borderId="0" xfId="0" applyNumberFormat="1" applyFont="1" applyFill="1" applyAlignment="1">
      <alignment vertical="center"/>
    </xf>
    <xf numFmtId="288" fontId="42" fillId="22" borderId="0" xfId="0" applyNumberFormat="1" applyFont="1" applyFill="1" applyAlignment="1">
      <alignment vertical="center"/>
    </xf>
    <xf numFmtId="288" fontId="42" fillId="28" borderId="0" xfId="0" applyNumberFormat="1" applyFont="1" applyFill="1" applyAlignment="1">
      <alignment vertical="center"/>
    </xf>
    <xf numFmtId="288" fontId="42" fillId="24" borderId="0" xfId="0" applyNumberFormat="1" applyFont="1" applyFill="1" applyAlignment="1">
      <alignment vertical="center"/>
    </xf>
    <xf numFmtId="288" fontId="42" fillId="0" borderId="0" xfId="0" applyNumberFormat="1" applyFont="1" applyAlignment="1">
      <alignment vertical="center"/>
    </xf>
    <xf numFmtId="292" fontId="42" fillId="24" borderId="0" xfId="0" applyNumberFormat="1" applyFont="1" applyFill="1" applyAlignment="1">
      <alignment horizontal="right" vertical="center"/>
    </xf>
    <xf numFmtId="292" fontId="42" fillId="23" borderId="0" xfId="0" applyNumberFormat="1" applyFont="1" applyFill="1" applyAlignment="1">
      <alignment vertical="center"/>
    </xf>
    <xf numFmtId="292" fontId="42" fillId="27" borderId="0" xfId="0" applyNumberFormat="1" applyFont="1" applyFill="1" applyAlignment="1" applyProtection="1">
      <alignment vertical="center"/>
    </xf>
    <xf numFmtId="292" fontId="42" fillId="25" borderId="0" xfId="0" applyNumberFormat="1" applyFont="1" applyFill="1" applyAlignment="1">
      <alignment horizontal="right" vertical="center"/>
    </xf>
    <xf numFmtId="292" fontId="42" fillId="22" borderId="0" xfId="0" applyNumberFormat="1" applyFont="1" applyFill="1" applyAlignment="1">
      <alignment horizontal="right" vertical="center"/>
    </xf>
    <xf numFmtId="292" fontId="42" fillId="28" borderId="0" xfId="0" applyNumberFormat="1" applyFont="1" applyFill="1" applyAlignment="1">
      <alignment horizontal="right" vertical="center"/>
    </xf>
    <xf numFmtId="286" fontId="50" fillId="0" borderId="0" xfId="0" applyNumberFormat="1" applyFont="1"/>
    <xf numFmtId="286" fontId="50" fillId="0" borderId="0" xfId="0" applyNumberFormat="1" applyFont="1" applyBorder="1"/>
    <xf numFmtId="294" fontId="50" fillId="0" borderId="0" xfId="0" applyNumberFormat="1" applyFont="1"/>
    <xf numFmtId="295" fontId="50" fillId="0" borderId="0" xfId="0" applyNumberFormat="1" applyFont="1"/>
    <xf numFmtId="296" fontId="50" fillId="0" borderId="0" xfId="0" applyNumberFormat="1" applyFont="1"/>
    <xf numFmtId="297" fontId="50" fillId="0" borderId="0" xfId="0" applyNumberFormat="1" applyFont="1"/>
    <xf numFmtId="297" fontId="50" fillId="0" borderId="0" xfId="0" applyNumberFormat="1" applyFont="1" applyBorder="1"/>
    <xf numFmtId="298" fontId="50" fillId="0" borderId="0" xfId="0" applyNumberFormat="1" applyFont="1"/>
    <xf numFmtId="293" fontId="50" fillId="0" borderId="0" xfId="0" applyNumberFormat="1" applyFont="1"/>
    <xf numFmtId="299" fontId="50" fillId="0" borderId="0" xfId="0" applyNumberFormat="1" applyFont="1"/>
    <xf numFmtId="299" fontId="50" fillId="0" borderId="0" xfId="0" applyNumberFormat="1" applyFont="1" applyBorder="1"/>
    <xf numFmtId="165" fontId="0" fillId="10" borderId="0" xfId="0" applyNumberFormat="1" applyFill="1" applyAlignment="1">
      <alignment horizontal="right" vertical="center"/>
    </xf>
    <xf numFmtId="286" fontId="79" fillId="10" borderId="0" xfId="0" applyNumberFormat="1" applyFont="1" applyFill="1" applyAlignment="1" applyProtection="1">
      <alignment horizontal="right" vertical="center"/>
    </xf>
    <xf numFmtId="286" fontId="39" fillId="10" borderId="0" xfId="0" applyNumberFormat="1" applyFont="1" applyFill="1" applyAlignment="1" applyProtection="1">
      <alignment horizontal="right" vertical="center"/>
      <protection locked="0"/>
    </xf>
    <xf numFmtId="286" fontId="3" fillId="10" borderId="0" xfId="0" applyNumberFormat="1" applyFont="1" applyFill="1" applyAlignment="1">
      <alignment horizontal="right" vertical="center"/>
    </xf>
    <xf numFmtId="288" fontId="3" fillId="10" borderId="0" xfId="0" applyNumberFormat="1" applyFont="1" applyFill="1" applyAlignment="1">
      <alignment horizontal="right" vertical="center"/>
    </xf>
    <xf numFmtId="301" fontId="39" fillId="10" borderId="0" xfId="0" applyNumberFormat="1" applyFont="1" applyFill="1" applyAlignment="1" applyProtection="1">
      <alignment horizontal="right" vertical="center"/>
      <protection locked="0"/>
    </xf>
    <xf numFmtId="293" fontId="79" fillId="10" borderId="0" xfId="0" applyNumberFormat="1" applyFont="1" applyFill="1" applyAlignment="1" applyProtection="1">
      <alignment horizontal="right" vertical="center"/>
    </xf>
    <xf numFmtId="300" fontId="3" fillId="10" borderId="0" xfId="0" applyNumberFormat="1" applyFont="1" applyFill="1" applyAlignment="1">
      <alignment horizontal="right" vertical="center"/>
    </xf>
    <xf numFmtId="181" fontId="50" fillId="0" borderId="0" xfId="0" applyNumberFormat="1" applyFont="1" applyAlignment="1">
      <alignment horizontal="right" vertical="center"/>
    </xf>
    <xf numFmtId="287" fontId="50" fillId="45" borderId="0" xfId="0" applyNumberFormat="1" applyFont="1" applyFill="1" applyAlignment="1">
      <alignment horizontal="right" vertical="center"/>
    </xf>
    <xf numFmtId="302" fontId="50" fillId="0" borderId="0" xfId="0" applyNumberFormat="1" applyFont="1"/>
    <xf numFmtId="303" fontId="50" fillId="0" borderId="0" xfId="0" applyNumberFormat="1" applyFont="1"/>
    <xf numFmtId="304" fontId="50" fillId="0" borderId="0" xfId="0" applyNumberFormat="1" applyFont="1"/>
    <xf numFmtId="305" fontId="3" fillId="10" borderId="0" xfId="0" applyNumberFormat="1" applyFont="1" applyFill="1" applyAlignment="1">
      <alignment horizontal="right" vertical="center"/>
    </xf>
    <xf numFmtId="306" fontId="50" fillId="0" borderId="0" xfId="0" applyNumberFormat="1" applyFont="1"/>
    <xf numFmtId="307" fontId="50" fillId="0" borderId="0" xfId="0" applyNumberFormat="1" applyFont="1"/>
    <xf numFmtId="286" fontId="78" fillId="0" borderId="0" xfId="0" applyNumberFormat="1" applyFont="1"/>
    <xf numFmtId="293" fontId="78" fillId="0" borderId="0" xfId="0" applyNumberFormat="1" applyFont="1"/>
    <xf numFmtId="308" fontId="50" fillId="0" borderId="0" xfId="0" applyNumberFormat="1" applyFont="1"/>
    <xf numFmtId="309" fontId="78" fillId="0" borderId="0" xfId="0" applyNumberFormat="1" applyFont="1"/>
    <xf numFmtId="310" fontId="50" fillId="0" borderId="0" xfId="0" applyNumberFormat="1" applyFont="1"/>
    <xf numFmtId="311" fontId="50" fillId="0" borderId="0" xfId="0" applyNumberFormat="1" applyFont="1"/>
    <xf numFmtId="291" fontId="3" fillId="10" borderId="0" xfId="0" applyNumberFormat="1" applyFont="1" applyFill="1" applyAlignment="1">
      <alignment horizontal="right" vertical="center"/>
    </xf>
    <xf numFmtId="0" fontId="0" fillId="10" borderId="0" xfId="0" applyFill="1" applyBorder="1" applyAlignment="1">
      <alignment horizontal="right" vertical="center"/>
    </xf>
    <xf numFmtId="0" fontId="0" fillId="10" borderId="0" xfId="0" applyFill="1" applyAlignment="1">
      <alignment horizontal="right" vertical="center"/>
    </xf>
    <xf numFmtId="268" fontId="3" fillId="10" borderId="0" xfId="0" applyNumberFormat="1" applyFont="1" applyFill="1" applyAlignment="1">
      <alignment horizontal="right" vertical="center"/>
    </xf>
    <xf numFmtId="0" fontId="42" fillId="10" borderId="7" xfId="0" applyFont="1" applyFill="1" applyBorder="1" applyAlignment="1" applyProtection="1">
      <alignment horizontal="left" vertical="center"/>
    </xf>
    <xf numFmtId="49" fontId="16" fillId="10" borderId="8" xfId="0" applyNumberFormat="1" applyFont="1" applyFill="1" applyBorder="1"/>
    <xf numFmtId="49" fontId="16" fillId="10" borderId="8" xfId="0" applyNumberFormat="1" applyFont="1" applyFill="1" applyBorder="1" applyProtection="1">
      <protection locked="0"/>
    </xf>
    <xf numFmtId="49" fontId="16" fillId="10" borderId="9" xfId="0" applyNumberFormat="1" applyFont="1" applyFill="1" applyBorder="1"/>
    <xf numFmtId="0" fontId="42" fillId="10" borderId="10" xfId="0" applyFont="1" applyFill="1" applyBorder="1" applyAlignment="1">
      <alignment vertical="center"/>
    </xf>
    <xf numFmtId="0" fontId="42" fillId="10" borderId="0" xfId="0" applyFont="1" applyFill="1" applyBorder="1" applyAlignment="1" applyProtection="1">
      <alignment horizontal="center" vertical="center"/>
    </xf>
    <xf numFmtId="0" fontId="42" fillId="10" borderId="0" xfId="0" applyFont="1" applyFill="1" applyBorder="1" applyAlignment="1" applyProtection="1">
      <alignment vertical="center"/>
      <protection locked="0"/>
    </xf>
    <xf numFmtId="0" fontId="42" fillId="10" borderId="0" xfId="0" applyFont="1" applyFill="1" applyBorder="1" applyAlignment="1">
      <alignment vertical="center"/>
    </xf>
    <xf numFmtId="0" fontId="42" fillId="10" borderId="11" xfId="0" applyFont="1" applyFill="1" applyBorder="1" applyAlignment="1">
      <alignment vertical="center"/>
    </xf>
    <xf numFmtId="288" fontId="46" fillId="10" borderId="0" xfId="0" applyNumberFormat="1" applyFont="1" applyFill="1" applyBorder="1" applyAlignment="1" applyProtection="1">
      <alignment vertical="center"/>
      <protection locked="0"/>
    </xf>
    <xf numFmtId="0" fontId="42" fillId="10" borderId="0" xfId="0" applyFont="1" applyFill="1" applyAlignment="1">
      <alignment vertical="center"/>
    </xf>
    <xf numFmtId="164" fontId="42" fillId="10" borderId="0" xfId="0" applyNumberFormat="1" applyFont="1" applyFill="1" applyBorder="1" applyAlignment="1" applyProtection="1">
      <alignment vertical="center"/>
      <protection locked="0"/>
    </xf>
    <xf numFmtId="164" fontId="42" fillId="10" borderId="0" xfId="0" applyNumberFormat="1" applyFont="1" applyFill="1" applyBorder="1" applyAlignment="1">
      <alignment vertical="center"/>
    </xf>
    <xf numFmtId="0" fontId="42" fillId="10" borderId="11" xfId="0" applyFont="1" applyFill="1" applyBorder="1" applyAlignment="1" applyProtection="1">
      <alignment horizontal="right" vertical="center"/>
    </xf>
    <xf numFmtId="288" fontId="42" fillId="10" borderId="0" xfId="0" applyNumberFormat="1" applyFont="1" applyFill="1" applyBorder="1" applyAlignment="1" applyProtection="1">
      <alignment vertical="center"/>
    </xf>
    <xf numFmtId="0" fontId="42" fillId="10" borderId="0" xfId="0" applyFont="1" applyFill="1" applyBorder="1" applyAlignment="1" applyProtection="1">
      <alignment horizontal="right" vertical="center"/>
    </xf>
    <xf numFmtId="0" fontId="42" fillId="10" borderId="0" xfId="0" applyFont="1" applyFill="1" applyBorder="1" applyAlignment="1" applyProtection="1">
      <alignment horizontal="left" vertical="center"/>
    </xf>
    <xf numFmtId="293" fontId="42" fillId="10" borderId="0" xfId="0" applyNumberFormat="1" applyFont="1" applyFill="1" applyBorder="1" applyAlignment="1" applyProtection="1">
      <alignment vertical="center"/>
    </xf>
    <xf numFmtId="195" fontId="42" fillId="10" borderId="0" xfId="0" applyNumberFormat="1" applyFont="1" applyFill="1" applyBorder="1" applyAlignment="1" applyProtection="1">
      <alignment vertical="center"/>
      <protection locked="0"/>
    </xf>
    <xf numFmtId="195" fontId="42" fillId="10" borderId="0" xfId="0" applyNumberFormat="1" applyFont="1" applyFill="1" applyBorder="1" applyAlignment="1" applyProtection="1">
      <alignment vertical="center"/>
    </xf>
    <xf numFmtId="195" fontId="42" fillId="10" borderId="11" xfId="0" applyNumberFormat="1" applyFont="1" applyFill="1" applyBorder="1" applyAlignment="1" applyProtection="1">
      <alignment vertical="center"/>
    </xf>
    <xf numFmtId="0" fontId="42" fillId="10" borderId="8" xfId="0" applyFont="1" applyFill="1" applyBorder="1" applyAlignment="1" applyProtection="1">
      <alignment horizontal="right" vertical="center"/>
    </xf>
    <xf numFmtId="195" fontId="42" fillId="10" borderId="8" xfId="0" applyNumberFormat="1" applyFont="1" applyFill="1" applyBorder="1" applyAlignment="1" applyProtection="1">
      <alignment horizontal="left" vertical="center"/>
    </xf>
    <xf numFmtId="195" fontId="42" fillId="10" borderId="8" xfId="0" applyNumberFormat="1" applyFont="1" applyFill="1" applyBorder="1" applyAlignment="1" applyProtection="1">
      <alignment vertical="center"/>
      <protection locked="0"/>
    </xf>
    <xf numFmtId="195" fontId="42" fillId="10" borderId="8" xfId="0" applyNumberFormat="1" applyFont="1" applyFill="1" applyBorder="1" applyAlignment="1" applyProtection="1">
      <alignment vertical="center"/>
    </xf>
    <xf numFmtId="195" fontId="42" fillId="10" borderId="9" xfId="0" applyNumberFormat="1" applyFont="1" applyFill="1" applyBorder="1" applyAlignment="1" applyProtection="1">
      <alignment vertical="center"/>
    </xf>
    <xf numFmtId="262" fontId="46" fillId="10" borderId="0" xfId="0" applyNumberFormat="1" applyFont="1" applyFill="1" applyBorder="1" applyAlignment="1" applyProtection="1">
      <alignment horizontal="center" vertical="center"/>
      <protection locked="0"/>
    </xf>
    <xf numFmtId="255" fontId="46" fillId="10" borderId="0" xfId="0" applyNumberFormat="1" applyFont="1" applyFill="1" applyBorder="1" applyAlignment="1" applyProtection="1">
      <alignment horizontal="center" vertical="center"/>
      <protection locked="0"/>
    </xf>
    <xf numFmtId="254" fontId="42" fillId="10" borderId="0" xfId="0" applyNumberFormat="1" applyFont="1" applyFill="1" applyBorder="1" applyAlignment="1" applyProtection="1">
      <alignment horizontal="left" vertical="center"/>
    </xf>
    <xf numFmtId="0" fontId="42" fillId="10" borderId="0" xfId="0" applyNumberFormat="1" applyFont="1" applyFill="1" applyBorder="1" applyAlignment="1" applyProtection="1">
      <alignment horizontal="right" vertical="center"/>
    </xf>
    <xf numFmtId="0" fontId="42" fillId="10" borderId="0" xfId="0" applyFont="1" applyFill="1" applyBorder="1" applyAlignment="1">
      <alignment horizontal="left" vertical="center"/>
    </xf>
    <xf numFmtId="195" fontId="42" fillId="10" borderId="0" xfId="0" applyNumberFormat="1" applyFont="1" applyFill="1" applyBorder="1" applyAlignment="1" applyProtection="1">
      <alignment horizontal="right" vertical="center"/>
      <protection locked="0"/>
    </xf>
    <xf numFmtId="195" fontId="42" fillId="10" borderId="0" xfId="0" applyNumberFormat="1" applyFont="1" applyFill="1" applyBorder="1" applyAlignment="1">
      <alignment horizontal="right" vertical="center"/>
    </xf>
    <xf numFmtId="195" fontId="42" fillId="10" borderId="11" xfId="0" applyNumberFormat="1" applyFont="1" applyFill="1" applyBorder="1" applyAlignment="1">
      <alignment horizontal="right" vertical="center"/>
    </xf>
    <xf numFmtId="291" fontId="42" fillId="10" borderId="0" xfId="0" applyNumberFormat="1" applyFont="1" applyFill="1" applyBorder="1" applyAlignment="1" applyProtection="1">
      <alignment vertical="center"/>
    </xf>
    <xf numFmtId="290" fontId="42" fillId="10" borderId="0" xfId="0" applyNumberFormat="1" applyFont="1" applyFill="1" applyBorder="1" applyAlignment="1" applyProtection="1">
      <alignment vertical="center"/>
    </xf>
    <xf numFmtId="0" fontId="42" fillId="10" borderId="12" xfId="0" applyFont="1" applyFill="1" applyBorder="1" applyAlignment="1">
      <alignment vertical="center"/>
    </xf>
    <xf numFmtId="289" fontId="42" fillId="10" borderId="13" xfId="0" applyNumberFormat="1" applyFont="1" applyFill="1" applyBorder="1" applyAlignment="1" applyProtection="1">
      <alignment vertical="center"/>
    </xf>
    <xf numFmtId="0" fontId="42" fillId="10" borderId="13" xfId="0" applyFont="1" applyFill="1" applyBorder="1" applyAlignment="1" applyProtection="1">
      <alignment vertical="center"/>
      <protection locked="0"/>
    </xf>
    <xf numFmtId="0" fontId="42" fillId="10" borderId="13" xfId="0" applyFont="1" applyFill="1" applyBorder="1" applyAlignment="1">
      <alignment vertical="center"/>
    </xf>
    <xf numFmtId="0" fontId="42" fillId="10" borderId="14" xfId="0" applyFont="1" applyFill="1" applyBorder="1" applyAlignment="1">
      <alignment vertical="center"/>
    </xf>
    <xf numFmtId="293" fontId="42" fillId="10" borderId="13" xfId="0" applyNumberFormat="1" applyFont="1" applyFill="1" applyBorder="1" applyAlignment="1" applyProtection="1">
      <alignment vertical="center"/>
    </xf>
    <xf numFmtId="312" fontId="4" fillId="3" borderId="0" xfId="0" applyNumberFormat="1" applyFont="1" applyFill="1" applyAlignment="1" applyProtection="1">
      <alignment horizontal="right" vertical="center"/>
    </xf>
    <xf numFmtId="287" fontId="50" fillId="22" borderId="0" xfId="0" applyNumberFormat="1" applyFont="1" applyFill="1" applyAlignment="1">
      <alignment horizontal="right" vertical="center"/>
    </xf>
    <xf numFmtId="181" fontId="50" fillId="44" borderId="0" xfId="0" applyNumberFormat="1" applyFont="1" applyFill="1" applyAlignment="1">
      <alignment horizontal="right" vertical="center"/>
    </xf>
    <xf numFmtId="181" fontId="50" fillId="22" borderId="0" xfId="0" applyNumberFormat="1" applyFont="1" applyFill="1" applyAlignment="1">
      <alignment horizontal="right" vertical="center"/>
    </xf>
    <xf numFmtId="287" fontId="50" fillId="24" borderId="0" xfId="0" applyNumberFormat="1" applyFont="1" applyFill="1" applyBorder="1" applyAlignment="1">
      <alignment horizontal="right" vertical="center"/>
    </xf>
    <xf numFmtId="2" fontId="50" fillId="0" borderId="52" xfId="0" applyNumberFormat="1" applyFont="1" applyBorder="1" applyAlignment="1">
      <alignment horizontal="right" vertical="center"/>
    </xf>
    <xf numFmtId="2" fontId="50" fillId="0" borderId="44" xfId="0" applyNumberFormat="1" applyFont="1" applyBorder="1"/>
    <xf numFmtId="1" fontId="50" fillId="0" borderId="0" xfId="0" applyNumberFormat="1" applyFont="1" applyAlignment="1">
      <alignment horizontal="center" vertical="center"/>
    </xf>
    <xf numFmtId="1" fontId="50" fillId="0" borderId="48" xfId="0" applyNumberFormat="1" applyFont="1" applyBorder="1" applyAlignment="1">
      <alignment horizontal="center" vertical="center"/>
    </xf>
    <xf numFmtId="1" fontId="50" fillId="0" borderId="50" xfId="0" applyNumberFormat="1" applyFont="1" applyBorder="1" applyAlignment="1">
      <alignment horizontal="center" vertical="center"/>
    </xf>
    <xf numFmtId="1" fontId="50" fillId="0" borderId="51" xfId="0" applyNumberFormat="1" applyFont="1" applyBorder="1" applyAlignment="1">
      <alignment horizontal="center" vertical="center"/>
    </xf>
    <xf numFmtId="287" fontId="50" fillId="0" borderId="0" xfId="0" applyNumberFormat="1" applyFont="1" applyAlignment="1">
      <alignment horizontal="center" vertical="center"/>
    </xf>
    <xf numFmtId="164" fontId="0" fillId="32" borderId="0" xfId="0" applyNumberFormat="1" applyFill="1" applyAlignment="1">
      <alignment horizontal="right" vertical="center"/>
    </xf>
    <xf numFmtId="165" fontId="0" fillId="0" borderId="0" xfId="0" applyNumberFormat="1" applyAlignment="1">
      <alignment horizontal="right" vertical="center"/>
    </xf>
    <xf numFmtId="2" fontId="0" fillId="22" borderId="0" xfId="0" applyNumberFormat="1" applyFill="1" applyAlignment="1">
      <alignment horizontal="right" vertical="center"/>
    </xf>
    <xf numFmtId="287" fontId="33" fillId="0" borderId="0" xfId="0" applyNumberFormat="1" applyFont="1" applyAlignment="1">
      <alignment horizontal="right" vertical="center"/>
    </xf>
    <xf numFmtId="287" fontId="50" fillId="51" borderId="0" xfId="0" applyNumberFormat="1" applyFont="1" applyFill="1" applyAlignment="1">
      <alignment horizontal="right" vertical="center"/>
    </xf>
    <xf numFmtId="287" fontId="50" fillId="24" borderId="4" xfId="0" applyNumberFormat="1" applyFont="1" applyFill="1" applyBorder="1" applyAlignment="1">
      <alignment horizontal="right" vertical="center"/>
    </xf>
    <xf numFmtId="0" fontId="0" fillId="10" borderId="0" xfId="0" applyNumberFormat="1" applyFill="1" applyBorder="1" applyAlignment="1">
      <alignment horizontal="right" vertical="center"/>
    </xf>
    <xf numFmtId="287" fontId="50" fillId="31" borderId="49" xfId="0" applyNumberFormat="1" applyFont="1" applyFill="1" applyBorder="1" applyAlignment="1">
      <alignment horizontal="right" vertical="center"/>
    </xf>
    <xf numFmtId="287" fontId="50" fillId="31" borderId="42" xfId="0" applyNumberFormat="1" applyFont="1" applyFill="1" applyBorder="1" applyAlignment="1">
      <alignment horizontal="right" vertical="center"/>
    </xf>
    <xf numFmtId="287" fontId="50" fillId="31" borderId="0" xfId="0" applyNumberFormat="1" applyFont="1" applyFill="1" applyBorder="1" applyAlignment="1">
      <alignment horizontal="right" vertical="center"/>
    </xf>
    <xf numFmtId="287" fontId="50" fillId="31" borderId="43" xfId="0" applyNumberFormat="1" applyFont="1" applyFill="1" applyBorder="1" applyAlignment="1">
      <alignment horizontal="right" vertical="center"/>
    </xf>
    <xf numFmtId="286" fontId="39" fillId="10" borderId="4" xfId="0" applyNumberFormat="1" applyFont="1" applyFill="1" applyBorder="1" applyAlignment="1" applyProtection="1">
      <alignment horizontal="right" vertical="center"/>
      <protection locked="0"/>
    </xf>
    <xf numFmtId="291" fontId="3" fillId="10" borderId="0" xfId="0" applyNumberFormat="1" applyFont="1" applyFill="1" applyBorder="1" applyAlignment="1">
      <alignment horizontal="right" vertical="center"/>
    </xf>
    <xf numFmtId="165" fontId="3" fillId="10" borderId="4" xfId="0" applyNumberFormat="1" applyFont="1" applyFill="1" applyBorder="1" applyAlignment="1">
      <alignment horizontal="right" vertical="center"/>
    </xf>
    <xf numFmtId="0" fontId="40" fillId="0" borderId="0" xfId="0" applyNumberFormat="1" applyFont="1" applyAlignment="1">
      <alignment vertical="center"/>
    </xf>
    <xf numFmtId="0" fontId="0" fillId="0" borderId="0" xfId="0" applyNumberFormat="1" applyFont="1" applyAlignment="1">
      <alignment vertical="center"/>
    </xf>
    <xf numFmtId="313" fontId="3" fillId="42" borderId="0" xfId="0" quotePrefix="1" applyNumberFormat="1" applyFont="1" applyFill="1" applyAlignment="1" applyProtection="1">
      <alignment horizontal="right" vertical="center"/>
    </xf>
    <xf numFmtId="314" fontId="3" fillId="42" borderId="0" xfId="0" quotePrefix="1" applyNumberFormat="1" applyFont="1" applyFill="1" applyAlignment="1" applyProtection="1">
      <alignment horizontal="right" vertical="center"/>
    </xf>
    <xf numFmtId="315" fontId="3" fillId="42" borderId="0" xfId="0" quotePrefix="1" applyNumberFormat="1" applyFont="1" applyFill="1" applyAlignment="1" applyProtection="1">
      <alignment horizontal="right" vertical="center"/>
    </xf>
    <xf numFmtId="316" fontId="3" fillId="42" borderId="0" xfId="0" quotePrefix="1" applyNumberFormat="1" applyFont="1" applyFill="1" applyAlignment="1" applyProtection="1">
      <alignment horizontal="right" vertical="center"/>
    </xf>
    <xf numFmtId="317" fontId="3" fillId="42" borderId="0" xfId="0" quotePrefix="1" applyNumberFormat="1" applyFont="1" applyFill="1" applyAlignment="1" applyProtection="1">
      <alignment horizontal="right" vertical="center"/>
    </xf>
    <xf numFmtId="318" fontId="3" fillId="42" borderId="0" xfId="0" quotePrefix="1" applyNumberFormat="1" applyFont="1" applyFill="1" applyAlignment="1" applyProtection="1">
      <alignment horizontal="right" vertical="center"/>
    </xf>
    <xf numFmtId="319" fontId="3" fillId="42" borderId="0" xfId="0" applyNumberFormat="1" applyFont="1" applyFill="1" applyAlignment="1" applyProtection="1">
      <alignment horizontal="right" vertical="center"/>
    </xf>
    <xf numFmtId="320" fontId="3" fillId="42" borderId="0" xfId="0" applyNumberFormat="1" applyFont="1" applyFill="1" applyAlignment="1" applyProtection="1">
      <alignment horizontal="right" vertical="center"/>
    </xf>
    <xf numFmtId="312" fontId="4" fillId="43" borderId="0" xfId="0" applyNumberFormat="1" applyFont="1" applyFill="1" applyAlignment="1">
      <alignment horizontal="right" vertical="center"/>
    </xf>
    <xf numFmtId="312" fontId="37" fillId="43" borderId="0" xfId="0" applyNumberFormat="1" applyFont="1" applyFill="1" applyAlignment="1" applyProtection="1">
      <alignment horizontal="right" vertical="center"/>
      <protection locked="0"/>
    </xf>
    <xf numFmtId="312" fontId="37" fillId="41" borderId="0" xfId="0" applyNumberFormat="1" applyFont="1" applyFill="1" applyAlignment="1" applyProtection="1">
      <alignment horizontal="right" vertical="center"/>
      <protection locked="0"/>
    </xf>
    <xf numFmtId="194" fontId="6" fillId="20" borderId="0" xfId="0" applyNumberFormat="1" applyFont="1" applyFill="1" applyAlignment="1" applyProtection="1">
      <alignment horizontal="center" vertical="center"/>
    </xf>
    <xf numFmtId="194" fontId="4" fillId="19" borderId="0" xfId="0" applyNumberFormat="1" applyFont="1" applyFill="1" applyAlignment="1" applyProtection="1">
      <alignment horizontal="center" vertical="center"/>
    </xf>
    <xf numFmtId="194" fontId="6" fillId="21" borderId="0" xfId="0" applyNumberFormat="1" applyFont="1" applyFill="1" applyAlignment="1" applyProtection="1">
      <alignment horizontal="center" vertical="center"/>
    </xf>
    <xf numFmtId="321" fontId="3" fillId="42" borderId="0" xfId="0" quotePrefix="1" applyNumberFormat="1" applyFont="1" applyFill="1" applyAlignment="1" applyProtection="1">
      <alignment horizontal="right" vertical="center"/>
    </xf>
    <xf numFmtId="321" fontId="37" fillId="42" borderId="1" xfId="0" applyNumberFormat="1" applyFont="1" applyFill="1" applyBorder="1" applyAlignment="1" applyProtection="1">
      <alignment horizontal="right" vertical="center"/>
      <protection locked="0"/>
    </xf>
    <xf numFmtId="321" fontId="37" fillId="42" borderId="2" xfId="0" applyNumberFormat="1" applyFont="1" applyFill="1" applyBorder="1" applyAlignment="1" applyProtection="1">
      <alignment horizontal="right" vertical="center"/>
      <protection locked="0"/>
    </xf>
    <xf numFmtId="319" fontId="67" fillId="11" borderId="0" xfId="0" applyNumberFormat="1" applyFont="1" applyFill="1" applyAlignment="1" applyProtection="1">
      <alignment horizontal="right" vertical="center"/>
    </xf>
    <xf numFmtId="322" fontId="42" fillId="10" borderId="0" xfId="0" applyNumberFormat="1" applyFont="1" applyFill="1" applyBorder="1" applyAlignment="1" applyProtection="1">
      <alignment vertical="center"/>
    </xf>
    <xf numFmtId="323" fontId="42" fillId="10" borderId="0" xfId="0" applyNumberFormat="1" applyFont="1" applyFill="1" applyBorder="1" applyAlignment="1" applyProtection="1">
      <alignment vertical="center"/>
    </xf>
    <xf numFmtId="324" fontId="13" fillId="0" borderId="0" xfId="0" applyNumberFormat="1" applyFont="1" applyAlignment="1">
      <alignment vertical="center"/>
    </xf>
    <xf numFmtId="325" fontId="13" fillId="0" borderId="0" xfId="0" applyNumberFormat="1" applyFont="1" applyAlignment="1">
      <alignment vertical="center"/>
    </xf>
    <xf numFmtId="168" fontId="13" fillId="0" borderId="0" xfId="0" applyNumberFormat="1" applyFont="1" applyAlignment="1">
      <alignment vertical="center"/>
    </xf>
    <xf numFmtId="49" fontId="13" fillId="0" borderId="0" xfId="0" quotePrefix="1" applyNumberFormat="1" applyFont="1" applyAlignment="1">
      <alignment horizontal="left" vertical="center"/>
    </xf>
    <xf numFmtId="164" fontId="33" fillId="24" borderId="34" xfId="0" applyNumberFormat="1" applyFont="1" applyFill="1" applyBorder="1" applyAlignment="1">
      <alignment horizontal="center" vertical="center"/>
    </xf>
    <xf numFmtId="164" fontId="33" fillId="24" borderId="4" xfId="0" applyNumberFormat="1" applyFont="1" applyFill="1" applyBorder="1" applyAlignment="1">
      <alignment horizontal="right" vertical="center"/>
    </xf>
    <xf numFmtId="1" fontId="80" fillId="0" borderId="0" xfId="0" applyNumberFormat="1" applyFont="1" applyAlignment="1" applyProtection="1">
      <alignment horizontal="center" vertical="center"/>
      <protection locked="0"/>
    </xf>
    <xf numFmtId="326" fontId="50" fillId="0" borderId="0" xfId="0" applyNumberFormat="1" applyFont="1"/>
    <xf numFmtId="49" fontId="45" fillId="0" borderId="0" xfId="0" applyNumberFormat="1" applyFont="1"/>
    <xf numFmtId="0" fontId="50" fillId="0" borderId="0" xfId="0" applyNumberFormat="1" applyFont="1" applyAlignment="1" applyProtection="1">
      <alignment horizontal="center" vertical="center"/>
      <protection locked="0"/>
    </xf>
    <xf numFmtId="49" fontId="53" fillId="0" borderId="57" xfId="1" applyNumberFormat="1" applyFont="1" applyBorder="1" applyAlignment="1" applyProtection="1">
      <alignment horizontal="left" vertical="center"/>
    </xf>
    <xf numFmtId="183" fontId="50" fillId="0" borderId="57" xfId="0" applyNumberFormat="1" applyFont="1" applyBorder="1"/>
    <xf numFmtId="246" fontId="50" fillId="0" borderId="57" xfId="0" applyNumberFormat="1" applyFont="1" applyBorder="1"/>
    <xf numFmtId="299" fontId="50" fillId="0" borderId="57" xfId="0" applyNumberFormat="1" applyFont="1" applyBorder="1"/>
    <xf numFmtId="293" fontId="50" fillId="0" borderId="57" xfId="0" applyNumberFormat="1" applyFont="1" applyBorder="1"/>
    <xf numFmtId="298" fontId="50" fillId="0" borderId="57" xfId="0" applyNumberFormat="1" applyFont="1" applyBorder="1"/>
    <xf numFmtId="286" fontId="50" fillId="0" borderId="57" xfId="0" applyNumberFormat="1" applyFont="1" applyBorder="1"/>
    <xf numFmtId="297" fontId="50" fillId="0" borderId="57" xfId="0" applyNumberFormat="1" applyFont="1" applyBorder="1"/>
    <xf numFmtId="296" fontId="50" fillId="0" borderId="57" xfId="0" applyNumberFormat="1" applyFont="1" applyBorder="1"/>
    <xf numFmtId="304" fontId="50" fillId="0" borderId="57" xfId="0" applyNumberFormat="1" applyFont="1" applyBorder="1"/>
    <xf numFmtId="295" fontId="50" fillId="0" borderId="57" xfId="0" applyNumberFormat="1" applyFont="1" applyBorder="1"/>
    <xf numFmtId="286" fontId="50" fillId="31" borderId="57" xfId="0" applyNumberFormat="1" applyFont="1" applyFill="1" applyBorder="1"/>
    <xf numFmtId="286" fontId="50" fillId="0" borderId="58" xfId="0" applyNumberFormat="1" applyFont="1" applyBorder="1"/>
    <xf numFmtId="0" fontId="81" fillId="8" borderId="56" xfId="0" applyNumberFormat="1" applyFont="1" applyFill="1" applyBorder="1" applyAlignment="1" applyProtection="1">
      <alignment horizontal="center" vertical="center"/>
      <protection locked="0"/>
    </xf>
    <xf numFmtId="49" fontId="50" fillId="0" borderId="57" xfId="0" applyNumberFormat="1" applyFont="1" applyBorder="1"/>
    <xf numFmtId="0" fontId="0" fillId="0" borderId="56" xfId="0" applyBorder="1" applyAlignment="1">
      <alignment horizontal="left" vertical="center"/>
    </xf>
    <xf numFmtId="183" fontId="15" fillId="15" borderId="57" xfId="0" applyNumberFormat="1" applyFont="1" applyFill="1" applyBorder="1" applyAlignment="1" applyProtection="1">
      <alignment horizontal="center" vertical="center"/>
      <protection locked="0"/>
    </xf>
    <xf numFmtId="0" fontId="0" fillId="0" borderId="57" xfId="0" applyBorder="1" applyAlignment="1">
      <alignment horizontal="center" vertical="center"/>
    </xf>
    <xf numFmtId="1" fontId="0" fillId="0" borderId="57" xfId="0" applyNumberFormat="1" applyBorder="1" applyAlignment="1">
      <alignment horizontal="center" vertical="center"/>
    </xf>
    <xf numFmtId="1" fontId="0" fillId="29" borderId="57" xfId="0" applyNumberFormat="1" applyFill="1" applyBorder="1" applyAlignment="1">
      <alignment horizontal="center" vertical="center"/>
    </xf>
    <xf numFmtId="2" fontId="0" fillId="30" borderId="57" xfId="0" applyNumberFormat="1" applyFill="1" applyBorder="1" applyAlignment="1">
      <alignment horizontal="center" vertical="center"/>
    </xf>
    <xf numFmtId="165" fontId="0" fillId="24" borderId="57" xfId="0" applyNumberFormat="1" applyFill="1" applyBorder="1" applyAlignment="1">
      <alignment horizontal="center" vertical="center"/>
    </xf>
    <xf numFmtId="2" fontId="0" fillId="22" borderId="57" xfId="0" applyNumberFormat="1" applyFill="1" applyBorder="1" applyAlignment="1">
      <alignment horizontal="center" vertical="center"/>
    </xf>
    <xf numFmtId="2" fontId="0" fillId="0" borderId="57" xfId="0" applyNumberFormat="1" applyBorder="1" applyAlignment="1">
      <alignment horizontal="center" vertical="center"/>
    </xf>
    <xf numFmtId="164" fontId="0" fillId="22" borderId="57" xfId="0" applyNumberFormat="1" applyFill="1" applyBorder="1" applyAlignment="1">
      <alignment horizontal="center" vertical="center"/>
    </xf>
    <xf numFmtId="164" fontId="0" fillId="0" borderId="57" xfId="0" applyNumberFormat="1" applyBorder="1" applyAlignment="1">
      <alignment horizontal="center" vertical="center"/>
    </xf>
    <xf numFmtId="167" fontId="0" fillId="31" borderId="57" xfId="0" applyNumberFormat="1" applyFill="1" applyBorder="1" applyAlignment="1">
      <alignment horizontal="center" vertical="center"/>
    </xf>
    <xf numFmtId="203" fontId="0" fillId="31" borderId="57" xfId="0" applyNumberFormat="1" applyFill="1" applyBorder="1" applyAlignment="1">
      <alignment horizontal="center" vertical="center"/>
    </xf>
    <xf numFmtId="49" fontId="0" fillId="0" borderId="57" xfId="0" applyNumberFormat="1" applyBorder="1" applyAlignment="1">
      <alignment horizontal="right" vertical="center" shrinkToFit="1"/>
    </xf>
    <xf numFmtId="1" fontId="0" fillId="32" borderId="58" xfId="0" applyNumberFormat="1" applyFill="1" applyBorder="1" applyAlignment="1">
      <alignment horizontal="right" vertical="center"/>
    </xf>
    <xf numFmtId="49" fontId="82" fillId="0" borderId="0" xfId="1" applyNumberFormat="1" applyFont="1" applyAlignment="1" applyProtection="1">
      <alignment horizontal="center" vertical="center"/>
    </xf>
    <xf numFmtId="287" fontId="50" fillId="45" borderId="4" xfId="0" applyNumberFormat="1" applyFont="1" applyFill="1" applyBorder="1" applyAlignment="1">
      <alignment horizontal="right" vertical="center"/>
    </xf>
    <xf numFmtId="287" fontId="50" fillId="0" borderId="0" xfId="0" applyNumberFormat="1" applyFont="1"/>
    <xf numFmtId="286" fontId="50" fillId="31" borderId="0" xfId="0" applyNumberFormat="1" applyFont="1" applyFill="1" applyBorder="1"/>
    <xf numFmtId="286" fontId="50" fillId="31" borderId="0" xfId="0" applyNumberFormat="1" applyFont="1" applyFill="1"/>
    <xf numFmtId="327" fontId="50" fillId="0" borderId="57" xfId="0" applyNumberFormat="1" applyFont="1" applyBorder="1"/>
    <xf numFmtId="327" fontId="50" fillId="0" borderId="0" xfId="0" applyNumberFormat="1" applyFont="1"/>
    <xf numFmtId="328" fontId="50" fillId="0" borderId="0" xfId="0" applyNumberFormat="1" applyFont="1"/>
    <xf numFmtId="329" fontId="50" fillId="0" borderId="0" xfId="0" applyNumberFormat="1" applyFont="1"/>
    <xf numFmtId="329" fontId="50" fillId="0" borderId="57" xfId="0" applyNumberFormat="1" applyFont="1" applyBorder="1"/>
    <xf numFmtId="328" fontId="50" fillId="0" borderId="57" xfId="0" applyNumberFormat="1" applyFont="1" applyBorder="1"/>
    <xf numFmtId="0" fontId="83" fillId="0" borderId="4" xfId="0" applyFont="1" applyBorder="1" applyAlignment="1" applyProtection="1">
      <alignment horizontal="right" vertical="center"/>
      <protection locked="0"/>
    </xf>
    <xf numFmtId="252" fontId="83" fillId="0" borderId="4" xfId="0" applyNumberFormat="1" applyFont="1" applyBorder="1" applyProtection="1">
      <protection locked="0"/>
    </xf>
    <xf numFmtId="1" fontId="83" fillId="0" borderId="4" xfId="0" applyNumberFormat="1" applyFont="1" applyBorder="1" applyAlignment="1" applyProtection="1">
      <alignment horizontal="center" vertical="center"/>
      <protection locked="0"/>
    </xf>
    <xf numFmtId="251" fontId="50" fillId="0" borderId="0" xfId="0" applyNumberFormat="1" applyFont="1" applyAlignment="1">
      <alignment horizontal="right" vertical="center"/>
    </xf>
    <xf numFmtId="49" fontId="84" fillId="52" borderId="0" xfId="1" applyNumberFormat="1" applyFont="1" applyFill="1" applyAlignment="1" applyProtection="1">
      <alignment horizontal="left" vertical="center"/>
    </xf>
    <xf numFmtId="49" fontId="84" fillId="53" borderId="0" xfId="1" applyNumberFormat="1" applyFont="1" applyFill="1" applyAlignment="1" applyProtection="1">
      <alignment horizontal="left" vertical="center"/>
    </xf>
    <xf numFmtId="49" fontId="84" fillId="53" borderId="0" xfId="1" applyNumberFormat="1" applyFont="1" applyFill="1" applyBorder="1" applyAlignment="1" applyProtection="1">
      <alignment horizontal="left" vertical="center"/>
    </xf>
    <xf numFmtId="293" fontId="78" fillId="0" borderId="0" xfId="0" applyNumberFormat="1" applyFont="1" applyBorder="1"/>
    <xf numFmtId="298" fontId="78" fillId="0" borderId="0" xfId="0" applyNumberFormat="1" applyFont="1"/>
    <xf numFmtId="298" fontId="78" fillId="0" borderId="0" xfId="0" applyNumberFormat="1" applyFont="1" applyBorder="1"/>
    <xf numFmtId="165" fontId="78" fillId="0" borderId="0" xfId="0" applyNumberFormat="1" applyFont="1"/>
    <xf numFmtId="312" fontId="4" fillId="7" borderId="0" xfId="0" applyNumberFormat="1" applyFont="1" applyFill="1" applyAlignment="1">
      <alignment horizontal="right" vertical="center"/>
    </xf>
    <xf numFmtId="312" fontId="4" fillId="6" borderId="0" xfId="0" applyNumberFormat="1" applyFont="1" applyFill="1" applyAlignment="1">
      <alignment horizontal="right" vertical="center"/>
    </xf>
    <xf numFmtId="312" fontId="4" fillId="5" borderId="0" xfId="0" applyNumberFormat="1" applyFont="1" applyFill="1" applyAlignment="1">
      <alignment horizontal="right" vertical="center"/>
    </xf>
    <xf numFmtId="312" fontId="4" fillId="12" borderId="0" xfId="0" applyNumberFormat="1" applyFont="1" applyFill="1" applyAlignment="1">
      <alignment horizontal="right" vertical="center"/>
    </xf>
    <xf numFmtId="0" fontId="0" fillId="0" borderId="0" xfId="0" applyNumberFormat="1" applyAlignment="1">
      <alignment vertical="center"/>
    </xf>
    <xf numFmtId="165" fontId="50" fillId="0" borderId="0" xfId="0" applyNumberFormat="1" applyFont="1" applyAlignment="1">
      <alignment vertical="center"/>
    </xf>
    <xf numFmtId="0" fontId="50" fillId="0" borderId="0" xfId="0" applyFont="1" applyAlignment="1">
      <alignment horizontal="center" vertical="center"/>
    </xf>
    <xf numFmtId="165" fontId="50" fillId="0" borderId="0" xfId="0" applyNumberFormat="1" applyFont="1" applyAlignment="1">
      <alignment horizontal="right" vertical="center"/>
    </xf>
    <xf numFmtId="0" fontId="83" fillId="0" borderId="4" xfId="0" applyFont="1" applyBorder="1" applyAlignment="1" applyProtection="1">
      <alignment horizontal="center" vertical="center"/>
      <protection locked="0"/>
    </xf>
  </cellXfs>
  <cellStyles count="2">
    <cellStyle name="Hyperlink" xfId="1" builtinId="8"/>
    <cellStyle name="Normal" xfId="0" builtinId="0"/>
  </cellStyles>
  <dxfs count="90">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
      <fill>
        <patternFill>
          <bgColor rgb="FFCCFFCC"/>
        </patternFill>
      </fill>
    </dxf>
    <dxf>
      <font>
        <b val="0"/>
        <i val="0"/>
        <color theme="1"/>
      </font>
      <fill>
        <patternFill>
          <bgColor rgb="FFFFCCCC"/>
        </patternFill>
      </fill>
    </dxf>
  </dxfs>
  <tableStyles count="0" defaultTableStyle="TableStyleMedium9" defaultPivotStyle="PivotStyleLight16"/>
  <colors>
    <mruColors>
      <color rgb="FF0000FF"/>
      <color rgb="FFDDFDFF"/>
      <color rgb="FFDDFFFF"/>
      <color rgb="FFCAFFAF"/>
      <color rgb="FFCCFFCC"/>
      <color rgb="FFCCECFF"/>
      <color rgb="FF00DC64"/>
      <color rgb="FFFFCCCC"/>
      <color rgb="FFFF0000"/>
      <color rgb="FFCC66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0101840436438786E-2"/>
          <c:y val="2.2540705281921897E-2"/>
          <c:w val="0.89084316268109165"/>
          <c:h val="0.91111173089479469"/>
        </c:manualLayout>
      </c:layout>
      <c:scatterChart>
        <c:scatterStyle val="lineMarker"/>
        <c:ser>
          <c:idx val="0"/>
          <c:order val="0"/>
          <c:spPr>
            <a:ln w="38100">
              <a:solidFill>
                <a:srgbClr val="C00000"/>
              </a:solidFill>
            </a:ln>
          </c:spPr>
          <c:marker>
            <c:symbol val="none"/>
          </c:marker>
          <c:dPt>
            <c:idx val="1"/>
            <c:marker>
              <c:symbol val="circle"/>
              <c:size val="3"/>
            </c:marker>
            <c:spPr>
              <a:ln w="38100">
                <a:solidFill>
                  <a:srgbClr val="C88C14"/>
                </a:solidFill>
              </a:ln>
            </c:spPr>
          </c:dPt>
          <c:dPt>
            <c:idx val="2"/>
            <c:spPr>
              <a:ln w="38100">
                <a:solidFill>
                  <a:srgbClr val="F078E6"/>
                </a:solidFill>
              </a:ln>
            </c:spPr>
          </c:dPt>
          <c:dPt>
            <c:idx val="3"/>
            <c:spPr>
              <a:ln w="38100">
                <a:solidFill>
                  <a:srgbClr val="00FF00"/>
                </a:solidFill>
              </a:ln>
            </c:spPr>
          </c:dPt>
          <c:dPt>
            <c:idx val="4"/>
            <c:spPr>
              <a:ln w="38100">
                <a:solidFill>
                  <a:srgbClr val="00FF00"/>
                </a:solidFill>
              </a:ln>
            </c:spPr>
          </c:dPt>
          <c:dPt>
            <c:idx val="5"/>
            <c:marker>
              <c:symbol val="circle"/>
              <c:size val="3"/>
              <c:spPr>
                <a:solidFill>
                  <a:srgbClr val="4F81BD"/>
                </a:solidFill>
              </c:spPr>
            </c:marker>
            <c:spPr>
              <a:ln w="38100">
                <a:solidFill>
                  <a:srgbClr val="F078E6"/>
                </a:solidFill>
              </a:ln>
            </c:spPr>
          </c:dPt>
          <c:dPt>
            <c:idx val="6"/>
            <c:marker>
              <c:symbol val="circle"/>
              <c:size val="3"/>
            </c:marker>
            <c:spPr>
              <a:ln w="38100">
                <a:solidFill>
                  <a:srgbClr val="C88C14"/>
                </a:solidFill>
              </a:ln>
            </c:spPr>
          </c:dPt>
          <c:dPt>
            <c:idx val="7"/>
            <c:spPr>
              <a:ln w="38100">
                <a:solidFill>
                  <a:srgbClr val="C88C14"/>
                </a:solidFill>
              </a:ln>
            </c:spPr>
          </c:dPt>
          <c:dPt>
            <c:idx val="8"/>
            <c:spPr>
              <a:ln w="38100">
                <a:noFill/>
              </a:ln>
            </c:spPr>
          </c:dPt>
          <c:dPt>
            <c:idx val="9"/>
            <c:spPr>
              <a:ln w="38100">
                <a:noFill/>
              </a:ln>
            </c:spPr>
          </c:dPt>
          <c:dPt>
            <c:idx val="10"/>
            <c:spPr>
              <a:ln w="38100">
                <a:solidFill>
                  <a:srgbClr val="00B4FF"/>
                </a:solidFill>
              </a:ln>
            </c:spPr>
          </c:dPt>
          <c:dPt>
            <c:idx val="11"/>
            <c:spPr>
              <a:ln w="38100">
                <a:solidFill>
                  <a:srgbClr val="00B4FF"/>
                </a:solidFill>
              </a:ln>
            </c:spPr>
          </c:dPt>
          <c:dPt>
            <c:idx val="12"/>
            <c:spPr>
              <a:ln w="38100">
                <a:solidFill>
                  <a:srgbClr val="00B4FF"/>
                </a:solidFill>
              </a:ln>
            </c:spPr>
          </c:dPt>
          <c:dPt>
            <c:idx val="13"/>
            <c:spPr>
              <a:ln w="38100">
                <a:noFill/>
              </a:ln>
            </c:spPr>
          </c:dPt>
          <c:dPt>
            <c:idx val="14"/>
            <c:spPr>
              <a:ln w="38100">
                <a:noFill/>
              </a:ln>
            </c:spPr>
          </c:dPt>
          <c:dPt>
            <c:idx val="15"/>
            <c:spPr>
              <a:ln w="38100">
                <a:solidFill>
                  <a:srgbClr val="FF0000"/>
                </a:solidFill>
              </a:ln>
            </c:spPr>
          </c:dPt>
          <c:dPt>
            <c:idx val="16"/>
            <c:spPr>
              <a:ln w="38100">
                <a:solidFill>
                  <a:srgbClr val="FF0000"/>
                </a:solidFill>
              </a:ln>
            </c:spPr>
          </c:dPt>
          <c:dPt>
            <c:idx val="17"/>
            <c:spPr>
              <a:ln w="38100">
                <a:solidFill>
                  <a:srgbClr val="FF0000"/>
                </a:solidFill>
              </a:ln>
            </c:spPr>
          </c:dPt>
          <c:dPt>
            <c:idx val="18"/>
            <c:spPr>
              <a:ln w="38100">
                <a:noFill/>
              </a:ln>
            </c:spPr>
          </c:dPt>
          <c:dPt>
            <c:idx val="19"/>
            <c:spPr>
              <a:ln w="38100">
                <a:noFill/>
              </a:ln>
            </c:spPr>
          </c:dPt>
          <c:dPt>
            <c:idx val="20"/>
            <c:spPr>
              <a:ln w="38100">
                <a:noFill/>
              </a:ln>
            </c:spPr>
          </c:dPt>
          <c:dPt>
            <c:idx val="21"/>
            <c:spPr>
              <a:ln w="38100">
                <a:solidFill>
                  <a:srgbClr val="FF0000"/>
                </a:solidFill>
              </a:ln>
            </c:spPr>
          </c:dPt>
          <c:dPt>
            <c:idx val="22"/>
            <c:spPr>
              <a:ln w="38100">
                <a:solidFill>
                  <a:srgbClr val="FF0000"/>
                </a:solidFill>
              </a:ln>
            </c:spPr>
          </c:dPt>
          <c:dPt>
            <c:idx val="23"/>
            <c:spPr>
              <a:ln w="38100">
                <a:solidFill>
                  <a:srgbClr val="FF0000"/>
                </a:solidFill>
              </a:ln>
            </c:spPr>
          </c:dPt>
          <c:dPt>
            <c:idx val="24"/>
            <c:spPr>
              <a:ln w="38100">
                <a:solidFill>
                  <a:srgbClr val="FF0000"/>
                </a:solidFill>
              </a:ln>
            </c:spPr>
          </c:dPt>
          <c:dPt>
            <c:idx val="25"/>
            <c:spPr>
              <a:ln w="38100">
                <a:solidFill>
                  <a:srgbClr val="FF0000"/>
                </a:solidFill>
              </a:ln>
            </c:spPr>
          </c:dPt>
          <c:dPt>
            <c:idx val="26"/>
            <c:spPr>
              <a:ln w="38100">
                <a:solidFill>
                  <a:srgbClr val="FF0000"/>
                </a:solidFill>
              </a:ln>
            </c:spPr>
          </c:dPt>
          <c:dPt>
            <c:idx val="27"/>
            <c:spPr>
              <a:ln w="38100">
                <a:solidFill>
                  <a:srgbClr val="FF0000"/>
                </a:solidFill>
              </a:ln>
            </c:spPr>
          </c:dPt>
          <c:dPt>
            <c:idx val="28"/>
            <c:spPr>
              <a:ln w="38100">
                <a:solidFill>
                  <a:srgbClr val="FF0000"/>
                </a:solidFill>
              </a:ln>
            </c:spPr>
          </c:dPt>
          <c:dPt>
            <c:idx val="29"/>
            <c:spPr>
              <a:ln w="38100">
                <a:solidFill>
                  <a:srgbClr val="00B0F0"/>
                </a:solidFill>
              </a:ln>
            </c:spPr>
          </c:dPt>
          <c:dPt>
            <c:idx val="30"/>
            <c:spPr>
              <a:ln w="38100">
                <a:solidFill>
                  <a:schemeClr val="tx1"/>
                </a:solidFill>
              </a:ln>
            </c:spPr>
          </c:dPt>
          <c:dPt>
            <c:idx val="31"/>
            <c:marker>
              <c:symbol val="circle"/>
              <c:size val="5"/>
              <c:spPr>
                <a:solidFill>
                  <a:srgbClr val="FFB4E6"/>
                </a:solidFill>
              </c:spPr>
            </c:marker>
            <c:spPr>
              <a:ln w="38100">
                <a:solidFill>
                  <a:schemeClr val="tx1"/>
                </a:solidFill>
              </a:ln>
            </c:spPr>
          </c:dPt>
          <c:dPt>
            <c:idx val="32"/>
            <c:spPr>
              <a:ln w="38100">
                <a:solidFill>
                  <a:srgbClr val="00B0F0"/>
                </a:solidFill>
              </a:ln>
            </c:spPr>
          </c:dPt>
          <c:dPt>
            <c:idx val="33"/>
            <c:spPr>
              <a:ln w="38100">
                <a:solidFill>
                  <a:schemeClr val="tx1"/>
                </a:solidFill>
              </a:ln>
            </c:spPr>
          </c:dPt>
          <c:dPt>
            <c:idx val="34"/>
            <c:marker>
              <c:symbol val="circle"/>
              <c:size val="5"/>
              <c:spPr>
                <a:solidFill>
                  <a:srgbClr val="00B0F0"/>
                </a:solidFill>
              </c:spPr>
            </c:marker>
            <c:spPr>
              <a:ln w="38100">
                <a:solidFill>
                  <a:schemeClr val="tx1"/>
                </a:solidFill>
              </a:ln>
            </c:spPr>
          </c:dPt>
          <c:dPt>
            <c:idx val="35"/>
            <c:spPr>
              <a:ln w="38100">
                <a:solidFill>
                  <a:srgbClr val="00B0F0"/>
                </a:solidFill>
              </a:ln>
            </c:spPr>
          </c:dPt>
          <c:dPt>
            <c:idx val="36"/>
            <c:spPr>
              <a:ln w="38100">
                <a:solidFill>
                  <a:schemeClr val="tx1"/>
                </a:solidFill>
              </a:ln>
            </c:spPr>
          </c:dPt>
          <c:dPt>
            <c:idx val="37"/>
            <c:spPr>
              <a:ln w="38100">
                <a:solidFill>
                  <a:schemeClr val="tx1"/>
                </a:solidFill>
              </a:ln>
            </c:spPr>
          </c:dPt>
          <c:dPt>
            <c:idx val="38"/>
            <c:spPr>
              <a:ln w="38100">
                <a:solidFill>
                  <a:srgbClr val="00B050"/>
                </a:solidFill>
              </a:ln>
            </c:spPr>
          </c:dPt>
          <c:dPt>
            <c:idx val="39"/>
            <c:spPr>
              <a:ln w="38100">
                <a:solidFill>
                  <a:srgbClr val="00B050"/>
                </a:solidFill>
              </a:ln>
            </c:spPr>
          </c:dPt>
          <c:dPt>
            <c:idx val="40"/>
            <c:spPr>
              <a:ln w="38100">
                <a:solidFill>
                  <a:schemeClr val="tx1"/>
                </a:solidFill>
              </a:ln>
            </c:spPr>
          </c:dPt>
          <c:dPt>
            <c:idx val="41"/>
            <c:spPr>
              <a:ln w="38100">
                <a:solidFill>
                  <a:schemeClr val="tx1"/>
                </a:solidFill>
              </a:ln>
            </c:spPr>
          </c:dPt>
          <c:dPt>
            <c:idx val="42"/>
            <c:spPr>
              <a:ln w="38100">
                <a:solidFill>
                  <a:srgbClr val="00B050"/>
                </a:solidFill>
              </a:ln>
            </c:spPr>
          </c:dPt>
          <c:dPt>
            <c:idx val="43"/>
            <c:spPr>
              <a:ln w="38100">
                <a:solidFill>
                  <a:srgbClr val="00B050"/>
                </a:solidFill>
              </a:ln>
            </c:spPr>
          </c:dPt>
          <c:dPt>
            <c:idx val="44"/>
            <c:spPr>
              <a:ln w="38100">
                <a:solidFill>
                  <a:schemeClr val="tx1"/>
                </a:solidFill>
              </a:ln>
            </c:spPr>
          </c:dPt>
          <c:dPt>
            <c:idx val="45"/>
            <c:spPr>
              <a:ln w="38100">
                <a:solidFill>
                  <a:schemeClr val="tx1"/>
                </a:solidFill>
              </a:ln>
            </c:spPr>
          </c:dPt>
          <c:dPt>
            <c:idx val="46"/>
            <c:spPr>
              <a:ln w="38100">
                <a:solidFill>
                  <a:srgbClr val="00B050"/>
                </a:solidFill>
              </a:ln>
            </c:spPr>
          </c:dPt>
          <c:dPt>
            <c:idx val="47"/>
            <c:spPr>
              <a:ln w="38100">
                <a:solidFill>
                  <a:srgbClr val="00B050"/>
                </a:solidFill>
              </a:ln>
            </c:spPr>
          </c:dPt>
          <c:dPt>
            <c:idx val="48"/>
            <c:spPr>
              <a:ln w="38100">
                <a:solidFill>
                  <a:schemeClr val="tx1"/>
                </a:solidFill>
              </a:ln>
            </c:spPr>
          </c:dPt>
          <c:dPt>
            <c:idx val="49"/>
            <c:marker>
              <c:symbol val="circle"/>
              <c:size val="5"/>
              <c:spPr>
                <a:solidFill>
                  <a:srgbClr val="FFB4E6"/>
                </a:solidFill>
              </c:spPr>
            </c:marker>
            <c:spPr>
              <a:ln w="38100">
                <a:solidFill>
                  <a:schemeClr val="tx1"/>
                </a:solidFill>
              </a:ln>
            </c:spPr>
          </c:dPt>
          <c:dPt>
            <c:idx val="50"/>
            <c:spPr>
              <a:ln w="38100">
                <a:solidFill>
                  <a:srgbClr val="00B050"/>
                </a:solidFill>
              </a:ln>
            </c:spPr>
          </c:dPt>
          <c:dPt>
            <c:idx val="51"/>
            <c:spPr>
              <a:ln w="38100">
                <a:solidFill>
                  <a:schemeClr val="tx1"/>
                </a:solidFill>
              </a:ln>
            </c:spPr>
          </c:dPt>
          <c:dPt>
            <c:idx val="52"/>
            <c:marker>
              <c:symbol val="circle"/>
              <c:size val="5"/>
              <c:spPr>
                <a:solidFill>
                  <a:srgbClr val="00B050"/>
                </a:solidFill>
              </c:spPr>
            </c:marker>
            <c:spPr>
              <a:ln w="38100">
                <a:solidFill>
                  <a:schemeClr val="tx1"/>
                </a:solidFill>
              </a:ln>
            </c:spPr>
          </c:dPt>
          <c:dPt>
            <c:idx val="53"/>
            <c:spPr>
              <a:ln w="38100">
                <a:solidFill>
                  <a:srgbClr val="00B050"/>
                </a:solidFill>
              </a:ln>
            </c:spPr>
          </c:dPt>
          <c:dPt>
            <c:idx val="54"/>
            <c:spPr>
              <a:ln w="38100">
                <a:solidFill>
                  <a:schemeClr val="tx1"/>
                </a:solidFill>
              </a:ln>
            </c:spPr>
          </c:dPt>
          <c:dPt>
            <c:idx val="55"/>
            <c:spPr>
              <a:ln w="38100">
                <a:solidFill>
                  <a:schemeClr val="tx1"/>
                </a:solidFill>
              </a:ln>
            </c:spPr>
          </c:dPt>
          <c:dPt>
            <c:idx val="56"/>
            <c:spPr>
              <a:ln w="38100">
                <a:solidFill>
                  <a:schemeClr val="tx1"/>
                </a:solidFill>
              </a:ln>
            </c:spPr>
          </c:dPt>
          <c:dPt>
            <c:idx val="57"/>
            <c:spPr>
              <a:ln w="38100">
                <a:solidFill>
                  <a:srgbClr val="FF0000"/>
                </a:solidFill>
              </a:ln>
            </c:spPr>
          </c:dPt>
          <c:dPt>
            <c:idx val="58"/>
            <c:spPr>
              <a:ln w="38100">
                <a:solidFill>
                  <a:schemeClr val="tx1"/>
                </a:solidFill>
              </a:ln>
            </c:spPr>
          </c:dPt>
          <c:dPt>
            <c:idx val="59"/>
            <c:spPr>
              <a:ln w="38100">
                <a:solidFill>
                  <a:schemeClr val="tx1"/>
                </a:solidFill>
              </a:ln>
            </c:spPr>
          </c:dPt>
          <c:dPt>
            <c:idx val="60"/>
            <c:spPr>
              <a:ln w="38100">
                <a:solidFill>
                  <a:srgbClr val="FF0000"/>
                </a:solidFill>
              </a:ln>
            </c:spPr>
          </c:dPt>
          <c:dPt>
            <c:idx val="61"/>
            <c:spPr>
              <a:ln w="38100">
                <a:solidFill>
                  <a:srgbClr val="FF0000"/>
                </a:solidFill>
              </a:ln>
            </c:spPr>
          </c:dPt>
          <c:dPt>
            <c:idx val="62"/>
            <c:spPr>
              <a:ln w="38100">
                <a:solidFill>
                  <a:schemeClr val="tx1"/>
                </a:solidFill>
              </a:ln>
            </c:spPr>
          </c:dPt>
          <c:dPt>
            <c:idx val="63"/>
            <c:spPr>
              <a:ln w="38100">
                <a:solidFill>
                  <a:schemeClr val="tx1"/>
                </a:solidFill>
              </a:ln>
            </c:spPr>
          </c:dPt>
          <c:dPt>
            <c:idx val="64"/>
            <c:spPr>
              <a:ln w="38100">
                <a:solidFill>
                  <a:srgbClr val="FF0000"/>
                </a:solidFill>
              </a:ln>
            </c:spPr>
          </c:dPt>
          <c:dPt>
            <c:idx val="65"/>
            <c:spPr>
              <a:ln w="38100">
                <a:solidFill>
                  <a:srgbClr val="FF0000"/>
                </a:solidFill>
              </a:ln>
            </c:spPr>
          </c:dPt>
          <c:dPt>
            <c:idx val="66"/>
            <c:spPr>
              <a:ln w="38100">
                <a:solidFill>
                  <a:schemeClr val="tx1"/>
                </a:solidFill>
              </a:ln>
            </c:spPr>
          </c:dPt>
          <c:dPt>
            <c:idx val="67"/>
            <c:marker>
              <c:symbol val="circle"/>
              <c:size val="5"/>
              <c:spPr>
                <a:solidFill>
                  <a:srgbClr val="FFB4E6"/>
                </a:solidFill>
              </c:spPr>
            </c:marker>
            <c:spPr>
              <a:ln w="38100">
                <a:solidFill>
                  <a:schemeClr val="tx1"/>
                </a:solidFill>
              </a:ln>
            </c:spPr>
          </c:dPt>
          <c:dPt>
            <c:idx val="68"/>
            <c:spPr>
              <a:ln w="38100">
                <a:solidFill>
                  <a:srgbClr val="FF0000"/>
                </a:solidFill>
              </a:ln>
            </c:spPr>
          </c:dPt>
          <c:dPt>
            <c:idx val="69"/>
            <c:spPr>
              <a:ln w="38100">
                <a:solidFill>
                  <a:schemeClr val="tx1"/>
                </a:solidFill>
              </a:ln>
            </c:spPr>
          </c:dPt>
          <c:dPt>
            <c:idx val="70"/>
            <c:marker>
              <c:symbol val="circle"/>
              <c:size val="5"/>
              <c:spPr>
                <a:solidFill>
                  <a:srgbClr val="FF0000"/>
                </a:solidFill>
              </c:spPr>
            </c:marker>
            <c:spPr>
              <a:ln w="38100">
                <a:solidFill>
                  <a:schemeClr val="tx1"/>
                </a:solidFill>
              </a:ln>
            </c:spPr>
          </c:dPt>
          <c:dPt>
            <c:idx val="71"/>
            <c:spPr>
              <a:ln w="38100">
                <a:solidFill>
                  <a:srgbClr val="FF0000"/>
                </a:solidFill>
              </a:ln>
            </c:spPr>
          </c:dPt>
          <c:xVal>
            <c:numRef>
              <c:f>(Main!$E$67:$E$85,Main!$E$106:$E$114)</c:f>
              <c:numCache>
                <c:formatCode>0</c:formatCode>
                <c:ptCount val="28"/>
                <c:pt idx="0">
                  <c:v>0</c:v>
                </c:pt>
                <c:pt idx="1">
                  <c:v>0</c:v>
                </c:pt>
                <c:pt idx="2">
                  <c:v>0.78018372703411143</c:v>
                </c:pt>
                <c:pt idx="3">
                  <c:v>8.9999999999999929</c:v>
                </c:pt>
                <c:pt idx="4">
                  <c:v>17.219816272965872</c:v>
                </c:pt>
                <c:pt idx="5">
                  <c:v>17.999999999999982</c:v>
                </c:pt>
                <c:pt idx="6">
                  <c:v>17.999999999999982</c:v>
                </c:pt>
                <c:pt idx="7">
                  <c:v>17.999999999999982</c:v>
                </c:pt>
                <c:pt idx="8">
                  <c:v>0</c:v>
                </c:pt>
                <c:pt idx="9">
                  <c:v>0.78018372703411143</c:v>
                </c:pt>
                <c:pt idx="10">
                  <c:v>0.78018372703411143</c:v>
                </c:pt>
                <c:pt idx="11">
                  <c:v>17.219816272965872</c:v>
                </c:pt>
                <c:pt idx="12">
                  <c:v>17.219816272965872</c:v>
                </c:pt>
                <c:pt idx="13">
                  <c:v>0</c:v>
                </c:pt>
                <c:pt idx="14">
                  <c:v>0.78018372703411143</c:v>
                </c:pt>
                <c:pt idx="15">
                  <c:v>0.78018372703411143</c:v>
                </c:pt>
                <c:pt idx="16">
                  <c:v>17.219816272965872</c:v>
                </c:pt>
                <c:pt idx="17">
                  <c:v>17.219816272965872</c:v>
                </c:pt>
                <c:pt idx="18">
                  <c:v>0</c:v>
                </c:pt>
                <c:pt idx="19">
                  <c:v>8.9999999999999929</c:v>
                </c:pt>
                <c:pt idx="20">
                  <c:v>0.7801837270341121</c:v>
                </c:pt>
                <c:pt idx="21">
                  <c:v>0.78018372703411243</c:v>
                </c:pt>
                <c:pt idx="22">
                  <c:v>0.78018372703411243</c:v>
                </c:pt>
                <c:pt idx="23">
                  <c:v>17.219816272965875</c:v>
                </c:pt>
                <c:pt idx="24">
                  <c:v>17.219816272965875</c:v>
                </c:pt>
                <c:pt idx="25">
                  <c:v>0.78018372703411387</c:v>
                </c:pt>
                <c:pt idx="26">
                  <c:v>0.78018372703411387</c:v>
                </c:pt>
                <c:pt idx="27">
                  <c:v>0.7801837270341121</c:v>
                </c:pt>
              </c:numCache>
            </c:numRef>
          </c:xVal>
          <c:yVal>
            <c:numRef>
              <c:f>(Main!$F$67:$F$85,Main!$F$106:$F$114)</c:f>
              <c:numCache>
                <c:formatCode>0</c:formatCode>
                <c:ptCount val="28"/>
                <c:pt idx="0">
                  <c:v>0</c:v>
                </c:pt>
                <c:pt idx="1">
                  <c:v>7.401410761154855</c:v>
                </c:pt>
                <c:pt idx="2">
                  <c:v>7.401410761154855</c:v>
                </c:pt>
                <c:pt idx="3">
                  <c:v>7.401410761154855</c:v>
                </c:pt>
                <c:pt idx="4">
                  <c:v>7.401410761154855</c:v>
                </c:pt>
                <c:pt idx="5">
                  <c:v>7.401410761154855</c:v>
                </c:pt>
                <c:pt idx="6">
                  <c:v>7.401410761154855</c:v>
                </c:pt>
                <c:pt idx="7">
                  <c:v>0</c:v>
                </c:pt>
                <c:pt idx="8">
                  <c:v>0</c:v>
                </c:pt>
                <c:pt idx="9">
                  <c:v>7.401410761154855</c:v>
                </c:pt>
                <c:pt idx="10">
                  <c:v>7.401410761154855</c:v>
                </c:pt>
                <c:pt idx="11">
                  <c:v>7.401410761154855</c:v>
                </c:pt>
                <c:pt idx="12">
                  <c:v>7.401410761154855</c:v>
                </c:pt>
                <c:pt idx="13">
                  <c:v>0</c:v>
                </c:pt>
                <c:pt idx="14">
                  <c:v>7.401410761154855</c:v>
                </c:pt>
                <c:pt idx="15">
                  <c:v>7.401410761154855</c:v>
                </c:pt>
                <c:pt idx="16">
                  <c:v>7.401410761154855</c:v>
                </c:pt>
                <c:pt idx="17">
                  <c:v>7.401410761154855</c:v>
                </c:pt>
                <c:pt idx="18">
                  <c:v>0</c:v>
                </c:pt>
                <c:pt idx="19">
                  <c:v>7.401410761154855</c:v>
                </c:pt>
                <c:pt idx="20">
                  <c:v>7.401410761154855</c:v>
                </c:pt>
                <c:pt idx="21">
                  <c:v>12.80282152230971</c:v>
                </c:pt>
                <c:pt idx="22">
                  <c:v>12.80282152230971</c:v>
                </c:pt>
                <c:pt idx="23">
                  <c:v>12.80282152230971</c:v>
                </c:pt>
                <c:pt idx="24">
                  <c:v>2</c:v>
                </c:pt>
                <c:pt idx="25">
                  <c:v>2</c:v>
                </c:pt>
                <c:pt idx="26">
                  <c:v>2</c:v>
                </c:pt>
                <c:pt idx="27">
                  <c:v>7.401410761154855</c:v>
                </c:pt>
              </c:numCache>
            </c:numRef>
          </c:yVal>
        </c:ser>
        <c:axId val="111366144"/>
        <c:axId val="111367680"/>
      </c:scatterChart>
      <c:valAx>
        <c:axId val="111366144"/>
        <c:scaling>
          <c:orientation val="minMax"/>
        </c:scaling>
        <c:axPos val="b"/>
        <c:majorGridlines/>
        <c:numFmt formatCode="0" sourceLinked="1"/>
        <c:tickLblPos val="nextTo"/>
        <c:spPr>
          <a:ln w="0">
            <a:noFill/>
          </a:ln>
          <a:effectLst>
            <a:outerShdw blurRad="50800" dist="50800" dir="5400000" algn="ctr" rotWithShape="0">
              <a:srgbClr val="000000"/>
            </a:outerShdw>
          </a:effectLst>
        </c:spPr>
        <c:crossAx val="111367680"/>
        <c:crossesAt val="-100"/>
        <c:crossBetween val="midCat"/>
        <c:majorUnit val="2"/>
      </c:valAx>
      <c:valAx>
        <c:axId val="111367680"/>
        <c:scaling>
          <c:orientation val="minMax"/>
        </c:scaling>
        <c:axPos val="l"/>
        <c:majorGridlines/>
        <c:numFmt formatCode="0" sourceLinked="1"/>
        <c:tickLblPos val="nextTo"/>
        <c:spPr>
          <a:ln w="0">
            <a:noFill/>
          </a:ln>
        </c:spPr>
        <c:crossAx val="111366144"/>
        <c:crossesAt val="-100"/>
        <c:crossBetween val="midCat"/>
        <c:majorUnit val="2"/>
      </c:valAx>
      <c:spPr>
        <a:gradFill>
          <a:gsLst>
            <a:gs pos="0">
              <a:srgbClr val="C4D6EB"/>
            </a:gs>
            <a:gs pos="100000">
              <a:srgbClr val="FFEBFA"/>
            </a:gs>
          </a:gsLst>
          <a:lin ang="5400000" scaled="0"/>
        </a:gradFill>
        <a:ln>
          <a:noFill/>
        </a:ln>
      </c:spPr>
    </c:plotArea>
    <c:plotVisOnly val="1"/>
  </c:chart>
  <c:printSettings>
    <c:headerFooter/>
    <c:pageMargins b="0.75000000000001255" l="0.70000000000000062" r="0.70000000000000062" t="0.75000000000001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3.4642567806899414E-2"/>
          <c:y val="1.7494579077745719E-2"/>
          <c:w val="0.9497181821395364"/>
          <c:h val="0.92502174915091406"/>
        </c:manualLayout>
      </c:layout>
      <c:scatterChart>
        <c:scatterStyle val="lineMarker"/>
        <c:ser>
          <c:idx val="8"/>
          <c:order val="0"/>
          <c:tx>
            <c:strRef>
              <c:f>Hook!$Q$2</c:f>
              <c:strCache>
                <c:ptCount val="1"/>
                <c:pt idx="0">
                  <c:v>PV1</c:v>
                </c:pt>
              </c:strCache>
            </c:strRef>
          </c:tx>
          <c:spPr>
            <a:ln w="6350">
              <a:solidFill>
                <a:srgbClr val="0000FF"/>
              </a:solidFill>
            </a:ln>
          </c:spPr>
          <c:marker>
            <c:symbol val="none"/>
          </c:marker>
          <c:xVal>
            <c:numRef>
              <c:f>Hook!$P$3:$P$110</c:f>
            </c:numRef>
          </c:xVal>
          <c:yVal>
            <c:numRef>
              <c:f>Hook!$Q$3:$Q$110</c:f>
            </c:numRef>
          </c:yVal>
        </c:ser>
        <c:ser>
          <c:idx val="9"/>
          <c:order val="1"/>
          <c:tx>
            <c:strRef>
              <c:f>Hook!$S$2</c:f>
              <c:strCache>
                <c:ptCount val="1"/>
                <c:pt idx="0">
                  <c:v>PV2</c:v>
                </c:pt>
              </c:strCache>
            </c:strRef>
          </c:tx>
          <c:spPr>
            <a:ln w="6350">
              <a:solidFill>
                <a:srgbClr val="0000FF"/>
              </a:solidFill>
            </a:ln>
          </c:spPr>
          <c:marker>
            <c:symbol val="none"/>
          </c:marker>
          <c:xVal>
            <c:numRef>
              <c:f>Hook!$R$3:$R$110</c:f>
              <c:numCache>
                <c:formatCode>.00\"</c:formatCode>
                <c:ptCount val="108"/>
                <c:pt idx="0">
                  <c:v>-0.22585056900797962</c:v>
                </c:pt>
                <c:pt idx="1">
                  <c:v>-0.22585056900797962</c:v>
                </c:pt>
                <c:pt idx="2">
                  <c:v>-0.22585056900797962</c:v>
                </c:pt>
                <c:pt idx="3">
                  <c:v>1.3489525805983198</c:v>
                </c:pt>
                <c:pt idx="5">
                  <c:v>1.1279817114775237</c:v>
                </c:pt>
                <c:pt idx="6">
                  <c:v>1.3489525805983198</c:v>
                </c:pt>
                <c:pt idx="7">
                  <c:v>1.1279817114775237</c:v>
                </c:pt>
                <c:pt idx="12">
                  <c:v>-0.22726082628640479</c:v>
                </c:pt>
                <c:pt idx="13">
                  <c:v>-0.20676430232780416</c:v>
                </c:pt>
                <c:pt idx="14">
                  <c:v>-0.21701256430710447</c:v>
                </c:pt>
                <c:pt idx="15">
                  <c:v>1.296165247358684</c:v>
                </c:pt>
                <c:pt idx="17">
                  <c:v>1.1450518999300887</c:v>
                </c:pt>
                <c:pt idx="18">
                  <c:v>1.296165247358684</c:v>
                </c:pt>
                <c:pt idx="19">
                  <c:v>1.0226309602411003</c:v>
                </c:pt>
                <c:pt idx="24">
                  <c:v>-0.18586087801192125</c:v>
                </c:pt>
                <c:pt idx="25">
                  <c:v>-0.13354005974884409</c:v>
                </c:pt>
                <c:pt idx="26">
                  <c:v>-0.15970046888038267</c:v>
                </c:pt>
                <c:pt idx="27">
                  <c:v>0.95385351724016465</c:v>
                </c:pt>
                <c:pt idx="29">
                  <c:v>0.95385351724016465</c:v>
                </c:pt>
                <c:pt idx="30">
                  <c:v>0.95385351724016465</c:v>
                </c:pt>
                <c:pt idx="31">
                  <c:v>0.64135351724016465</c:v>
                </c:pt>
                <c:pt idx="36">
                  <c:v>-9.8110839441845177E-2</c:v>
                </c:pt>
                <c:pt idx="37">
                  <c:v>-2.7013521960449254E-2</c:v>
                </c:pt>
                <c:pt idx="38">
                  <c:v>-6.2562180701147219E-2</c:v>
                </c:pt>
                <c:pt idx="39">
                  <c:v>0.37366926049980065</c:v>
                </c:pt>
                <c:pt idx="41">
                  <c:v>0.52478260792839593</c:v>
                </c:pt>
                <c:pt idx="42">
                  <c:v>0.37366926049980065</c:v>
                </c:pt>
                <c:pt idx="43">
                  <c:v>0.10013497338221702</c:v>
                </c:pt>
                <c:pt idx="48">
                  <c:v>-3.699640539105082E-2</c:v>
                </c:pt>
                <c:pt idx="49">
                  <c:v>3.699640539105082E-2</c:v>
                </c:pt>
                <c:pt idx="50">
                  <c:v>0</c:v>
                </c:pt>
                <c:pt idx="51">
                  <c:v>0</c:v>
                </c:pt>
                <c:pt idx="53">
                  <c:v>0.22097086912079611</c:v>
                </c:pt>
                <c:pt idx="54">
                  <c:v>0</c:v>
                </c:pt>
                <c:pt idx="55">
                  <c:v>-0.22097086912079611</c:v>
                </c:pt>
                <c:pt idx="60">
                  <c:v>2.7013521960449254E-2</c:v>
                </c:pt>
                <c:pt idx="61">
                  <c:v>9.8110839441845177E-2</c:v>
                </c:pt>
                <c:pt idx="62">
                  <c:v>6.2562180701147219E-2</c:v>
                </c:pt>
                <c:pt idx="63">
                  <c:v>-0.37366926049980065</c:v>
                </c:pt>
                <c:pt idx="65">
                  <c:v>-0.10013497338221702</c:v>
                </c:pt>
                <c:pt idx="66">
                  <c:v>-0.37366926049980065</c:v>
                </c:pt>
                <c:pt idx="67">
                  <c:v>-0.52478260792839593</c:v>
                </c:pt>
                <c:pt idx="72">
                  <c:v>0.13354005974884409</c:v>
                </c:pt>
                <c:pt idx="73">
                  <c:v>0.18586087801192125</c:v>
                </c:pt>
                <c:pt idx="74">
                  <c:v>0.15970046888038267</c:v>
                </c:pt>
                <c:pt idx="75">
                  <c:v>-0.95385351724016465</c:v>
                </c:pt>
                <c:pt idx="77">
                  <c:v>-0.64135351724016465</c:v>
                </c:pt>
                <c:pt idx="78">
                  <c:v>-0.95385351724016465</c:v>
                </c:pt>
                <c:pt idx="79">
                  <c:v>-0.95385351724016465</c:v>
                </c:pt>
                <c:pt idx="84">
                  <c:v>0.20676430232780416</c:v>
                </c:pt>
                <c:pt idx="85">
                  <c:v>0.22726082628640479</c:v>
                </c:pt>
                <c:pt idx="86">
                  <c:v>0.21701256430710447</c:v>
                </c:pt>
                <c:pt idx="87">
                  <c:v>-1.296165247358684</c:v>
                </c:pt>
                <c:pt idx="89">
                  <c:v>-1.0226309602411003</c:v>
                </c:pt>
                <c:pt idx="90">
                  <c:v>-1.296165247358684</c:v>
                </c:pt>
                <c:pt idx="91">
                  <c:v>-1.1450518999300887</c:v>
                </c:pt>
                <c:pt idx="96">
                  <c:v>0.22585056900797962</c:v>
                </c:pt>
                <c:pt idx="97">
                  <c:v>0.22585056900797962</c:v>
                </c:pt>
                <c:pt idx="98">
                  <c:v>0.22585056900797962</c:v>
                </c:pt>
                <c:pt idx="99">
                  <c:v>-1.3489525805983198</c:v>
                </c:pt>
                <c:pt idx="101">
                  <c:v>-1.1279817114775237</c:v>
                </c:pt>
                <c:pt idx="102">
                  <c:v>-1.3489525805983198</c:v>
                </c:pt>
                <c:pt idx="103">
                  <c:v>-1.1279817114775237</c:v>
                </c:pt>
              </c:numCache>
            </c:numRef>
          </c:xVal>
          <c:yVal>
            <c:numRef>
              <c:f>Hook!$S$3:$S$110</c:f>
              <c:numCache>
                <c:formatCode>.00\"</c:formatCode>
                <c:ptCount val="108"/>
                <c:pt idx="0">
                  <c:v>3.6996405391050806E-2</c:v>
                </c:pt>
                <c:pt idx="1">
                  <c:v>-3.6996405391050834E-2</c:v>
                </c:pt>
                <c:pt idx="2">
                  <c:v>-1.3835023783017944E-17</c:v>
                </c:pt>
                <c:pt idx="3">
                  <c:v>8.2633358493251362E-17</c:v>
                </c:pt>
                <c:pt idx="5">
                  <c:v>-0.22097086912079605</c:v>
                </c:pt>
                <c:pt idx="6">
                  <c:v>8.2633358493251362E-17</c:v>
                </c:pt>
                <c:pt idx="7">
                  <c:v>0.22097086912079617</c:v>
                </c:pt>
                <c:pt idx="12">
                  <c:v>-2.7013521960449267E-2</c:v>
                </c:pt>
                <c:pt idx="13">
                  <c:v>-9.8110839441845205E-2</c:v>
                </c:pt>
                <c:pt idx="14">
                  <c:v>-6.2562180701147233E-2</c:v>
                </c:pt>
                <c:pt idx="15">
                  <c:v>0.37366926049980076</c:v>
                </c:pt>
                <c:pt idx="17">
                  <c:v>0.10013497338221711</c:v>
                </c:pt>
                <c:pt idx="18">
                  <c:v>0.37366926049980076</c:v>
                </c:pt>
                <c:pt idx="19">
                  <c:v>0.52478260792839593</c:v>
                </c:pt>
                <c:pt idx="24">
                  <c:v>-0.13354005974884411</c:v>
                </c:pt>
                <c:pt idx="25">
                  <c:v>-0.18586087801192128</c:v>
                </c:pt>
                <c:pt idx="26">
                  <c:v>-0.1597004688803827</c:v>
                </c:pt>
                <c:pt idx="27">
                  <c:v>0.95385351724016476</c:v>
                </c:pt>
                <c:pt idx="29">
                  <c:v>0.64135351724016476</c:v>
                </c:pt>
                <c:pt idx="30">
                  <c:v>0.95385351724016476</c:v>
                </c:pt>
                <c:pt idx="31">
                  <c:v>0.95385351724016476</c:v>
                </c:pt>
                <c:pt idx="36">
                  <c:v>-0.20676430232780418</c:v>
                </c:pt>
                <c:pt idx="37">
                  <c:v>-0.22726082628640482</c:v>
                </c:pt>
                <c:pt idx="38">
                  <c:v>-0.2170125643071045</c:v>
                </c:pt>
                <c:pt idx="39">
                  <c:v>1.296165247358684</c:v>
                </c:pt>
                <c:pt idx="41">
                  <c:v>1.0226309602411006</c:v>
                </c:pt>
                <c:pt idx="42">
                  <c:v>1.296165247358684</c:v>
                </c:pt>
                <c:pt idx="43">
                  <c:v>1.1450518999300889</c:v>
                </c:pt>
                <c:pt idx="48">
                  <c:v>-0.22585056900797962</c:v>
                </c:pt>
                <c:pt idx="49">
                  <c:v>-0.22585056900797962</c:v>
                </c:pt>
                <c:pt idx="50">
                  <c:v>-0.22585056900797962</c:v>
                </c:pt>
                <c:pt idx="51">
                  <c:v>1.3489525805983198</c:v>
                </c:pt>
                <c:pt idx="53">
                  <c:v>1.1279817114775237</c:v>
                </c:pt>
                <c:pt idx="54">
                  <c:v>1.3489525805983198</c:v>
                </c:pt>
                <c:pt idx="55">
                  <c:v>1.1279817114775237</c:v>
                </c:pt>
                <c:pt idx="60">
                  <c:v>-0.22726082628640482</c:v>
                </c:pt>
                <c:pt idx="61">
                  <c:v>-0.20676430232780418</c:v>
                </c:pt>
                <c:pt idx="62">
                  <c:v>-0.2170125643071045</c:v>
                </c:pt>
                <c:pt idx="63">
                  <c:v>1.296165247358684</c:v>
                </c:pt>
                <c:pt idx="65">
                  <c:v>1.1450518999300889</c:v>
                </c:pt>
                <c:pt idx="66">
                  <c:v>1.296165247358684</c:v>
                </c:pt>
                <c:pt idx="67">
                  <c:v>1.0226309602411006</c:v>
                </c:pt>
                <c:pt idx="72">
                  <c:v>-0.18586087801192128</c:v>
                </c:pt>
                <c:pt idx="73">
                  <c:v>-0.13354005974884411</c:v>
                </c:pt>
                <c:pt idx="74">
                  <c:v>-0.1597004688803827</c:v>
                </c:pt>
                <c:pt idx="75">
                  <c:v>0.95385351724016476</c:v>
                </c:pt>
                <c:pt idx="77">
                  <c:v>0.95385351724016476</c:v>
                </c:pt>
                <c:pt idx="78">
                  <c:v>0.95385351724016476</c:v>
                </c:pt>
                <c:pt idx="79">
                  <c:v>0.64135351724016476</c:v>
                </c:pt>
                <c:pt idx="84">
                  <c:v>-9.8110839441845205E-2</c:v>
                </c:pt>
                <c:pt idx="85">
                  <c:v>-2.7013521960449267E-2</c:v>
                </c:pt>
                <c:pt idx="86">
                  <c:v>-6.2562180701147233E-2</c:v>
                </c:pt>
                <c:pt idx="87">
                  <c:v>0.37366926049980076</c:v>
                </c:pt>
                <c:pt idx="89">
                  <c:v>0.52478260792839593</c:v>
                </c:pt>
                <c:pt idx="90">
                  <c:v>0.37366926049980076</c:v>
                </c:pt>
                <c:pt idx="91">
                  <c:v>0.10013497338221711</c:v>
                </c:pt>
                <c:pt idx="96">
                  <c:v>-3.6996405391050834E-2</c:v>
                </c:pt>
                <c:pt idx="97">
                  <c:v>3.6996405391050806E-2</c:v>
                </c:pt>
                <c:pt idx="98">
                  <c:v>-1.3835023783017944E-17</c:v>
                </c:pt>
                <c:pt idx="99">
                  <c:v>8.2633358493251362E-17</c:v>
                </c:pt>
                <c:pt idx="101">
                  <c:v>0.22097086912079617</c:v>
                </c:pt>
                <c:pt idx="102">
                  <c:v>8.2633358493251362E-17</c:v>
                </c:pt>
                <c:pt idx="103">
                  <c:v>-0.22097086912079605</c:v>
                </c:pt>
              </c:numCache>
            </c:numRef>
          </c:yVal>
        </c:ser>
        <c:ser>
          <c:idx val="2"/>
          <c:order val="2"/>
          <c:tx>
            <c:strRef>
              <c:f>Hook!$I$2</c:f>
              <c:strCache>
                <c:ptCount val="1"/>
                <c:pt idx="0">
                  <c:v>Pier Beam</c:v>
                </c:pt>
              </c:strCache>
            </c:strRef>
          </c:tx>
          <c:spPr>
            <a:ln w="19050">
              <a:solidFill>
                <a:srgbClr val="FFCC00"/>
              </a:solidFill>
            </a:ln>
          </c:spPr>
          <c:marker>
            <c:symbol val="none"/>
          </c:marker>
          <c:xVal>
            <c:numRef>
              <c:f>Hook!$H$3:$H$16</c:f>
              <c:numCache>
                <c:formatCode>.00\"</c:formatCode>
                <c:ptCount val="14"/>
                <c:pt idx="0">
                  <c:v>-11.566121849819924</c:v>
                </c:pt>
                <c:pt idx="1">
                  <c:v>-11.566121849819924</c:v>
                </c:pt>
                <c:pt idx="2">
                  <c:v>-7.5661218498199236</c:v>
                </c:pt>
                <c:pt idx="3">
                  <c:v>-7.5661218498199236</c:v>
                </c:pt>
                <c:pt idx="4">
                  <c:v>-8.5661218498199236</c:v>
                </c:pt>
                <c:pt idx="5">
                  <c:v>-9.5661218498199236</c:v>
                </c:pt>
                <c:pt idx="6">
                  <c:v>-10.566121849819924</c:v>
                </c:pt>
                <c:pt idx="7">
                  <c:v>-11.566121849819924</c:v>
                </c:pt>
                <c:pt idx="9">
                  <c:v>-11.441121849819924</c:v>
                </c:pt>
                <c:pt idx="10">
                  <c:v>-11.441121849819924</c:v>
                </c:pt>
                <c:pt idx="12">
                  <c:v>-7.6911218498199236</c:v>
                </c:pt>
                <c:pt idx="13">
                  <c:v>-7.6911218498199236</c:v>
                </c:pt>
              </c:numCache>
            </c:numRef>
          </c:xVal>
          <c:yVal>
            <c:numRef>
              <c:f>Hook!$I$3:$I$16</c:f>
              <c:numCache>
                <c:formatCode>.00\"</c:formatCode>
                <c:ptCount val="14"/>
                <c:pt idx="0">
                  <c:v>-7.3161218498199236</c:v>
                </c:pt>
                <c:pt idx="1">
                  <c:v>2.25</c:v>
                </c:pt>
                <c:pt idx="2">
                  <c:v>2.25</c:v>
                </c:pt>
                <c:pt idx="3">
                  <c:v>-7.3161218498199236</c:v>
                </c:pt>
                <c:pt idx="4">
                  <c:v>-6.8161218498199236</c:v>
                </c:pt>
                <c:pt idx="5">
                  <c:v>-7.0661218498199236</c:v>
                </c:pt>
                <c:pt idx="6">
                  <c:v>-6.8161218498199236</c:v>
                </c:pt>
                <c:pt idx="7">
                  <c:v>-7.3161218498199236</c:v>
                </c:pt>
                <c:pt idx="9">
                  <c:v>2.25</c:v>
                </c:pt>
                <c:pt idx="10">
                  <c:v>-7.1911218498199236</c:v>
                </c:pt>
                <c:pt idx="12">
                  <c:v>2.25</c:v>
                </c:pt>
                <c:pt idx="13">
                  <c:v>-7.1911218498199236</c:v>
                </c:pt>
              </c:numCache>
            </c:numRef>
          </c:yVal>
        </c:ser>
        <c:ser>
          <c:idx val="1"/>
          <c:order val="3"/>
          <c:tx>
            <c:strRef>
              <c:f>Hook!$L$2</c:f>
              <c:strCache>
                <c:ptCount val="1"/>
                <c:pt idx="0">
                  <c:v>Hook1</c:v>
                </c:pt>
              </c:strCache>
            </c:strRef>
          </c:tx>
          <c:spPr>
            <a:ln w="19050">
              <a:solidFill>
                <a:srgbClr val="008000"/>
              </a:solidFill>
            </a:ln>
          </c:spPr>
          <c:marker>
            <c:symbol val="none"/>
          </c:marker>
          <c:xVal>
            <c:numRef>
              <c:f>Hook!$K$3:$K$30</c:f>
              <c:numCache>
                <c:formatCode>.00\"</c:formatCode>
                <c:ptCount val="28"/>
                <c:pt idx="0">
                  <c:v>0.78749999999999998</c:v>
                </c:pt>
                <c:pt idx="1">
                  <c:v>0.78749999999999998</c:v>
                </c:pt>
                <c:pt idx="2">
                  <c:v>-11.941121849819924</c:v>
                </c:pt>
                <c:pt idx="3">
                  <c:v>-11.941121849819924</c:v>
                </c:pt>
                <c:pt idx="4">
                  <c:v>-11.566121849819924</c:v>
                </c:pt>
                <c:pt idx="5">
                  <c:v>-11.566121849819924</c:v>
                </c:pt>
                <c:pt idx="6">
                  <c:v>-11.566121849819924</c:v>
                </c:pt>
                <c:pt idx="8">
                  <c:v>-11.566121849819924</c:v>
                </c:pt>
                <c:pt idx="9">
                  <c:v>-0.78749999999999998</c:v>
                </c:pt>
                <c:pt idx="10">
                  <c:v>-0.78749999999999998</c:v>
                </c:pt>
                <c:pt idx="11">
                  <c:v>-0.78749999999999998</c:v>
                </c:pt>
                <c:pt idx="13">
                  <c:v>-0.64431818181818179</c:v>
                </c:pt>
                <c:pt idx="14">
                  <c:v>-0.5011363636363636</c:v>
                </c:pt>
                <c:pt idx="16">
                  <c:v>-0.35795454545454553</c:v>
                </c:pt>
                <c:pt idx="17">
                  <c:v>-0.21477272727272723</c:v>
                </c:pt>
                <c:pt idx="19">
                  <c:v>-7.1590909090909038E-2</c:v>
                </c:pt>
                <c:pt idx="20">
                  <c:v>7.1590909090909038E-2</c:v>
                </c:pt>
                <c:pt idx="22">
                  <c:v>0.21477272727272723</c:v>
                </c:pt>
                <c:pt idx="23">
                  <c:v>0.35795454545454553</c:v>
                </c:pt>
                <c:pt idx="25">
                  <c:v>0.5011363636363636</c:v>
                </c:pt>
                <c:pt idx="26">
                  <c:v>0.64431818181818179</c:v>
                </c:pt>
              </c:numCache>
            </c:numRef>
          </c:xVal>
          <c:yVal>
            <c:numRef>
              <c:f>Hook!$L$3:$L$30</c:f>
              <c:numCache>
                <c:formatCode>.00\"</c:formatCode>
                <c:ptCount val="28"/>
                <c:pt idx="0">
                  <c:v>0</c:v>
                </c:pt>
                <c:pt idx="1">
                  <c:v>2.625</c:v>
                </c:pt>
                <c:pt idx="2">
                  <c:v>2.625</c:v>
                </c:pt>
                <c:pt idx="3">
                  <c:v>1.25</c:v>
                </c:pt>
                <c:pt idx="4">
                  <c:v>1.25</c:v>
                </c:pt>
                <c:pt idx="5">
                  <c:v>2.25</c:v>
                </c:pt>
                <c:pt idx="6">
                  <c:v>2.625</c:v>
                </c:pt>
                <c:pt idx="8">
                  <c:v>2.25</c:v>
                </c:pt>
                <c:pt idx="9">
                  <c:v>2.25</c:v>
                </c:pt>
                <c:pt idx="10">
                  <c:v>2.625</c:v>
                </c:pt>
                <c:pt idx="11">
                  <c:v>0</c:v>
                </c:pt>
                <c:pt idx="13">
                  <c:v>2.25</c:v>
                </c:pt>
                <c:pt idx="14">
                  <c:v>2.25</c:v>
                </c:pt>
                <c:pt idx="16">
                  <c:v>2.25</c:v>
                </c:pt>
                <c:pt idx="17">
                  <c:v>2.25</c:v>
                </c:pt>
                <c:pt idx="19">
                  <c:v>2.25</c:v>
                </c:pt>
                <c:pt idx="20">
                  <c:v>2.25</c:v>
                </c:pt>
                <c:pt idx="22">
                  <c:v>2.25</c:v>
                </c:pt>
                <c:pt idx="23">
                  <c:v>2.25</c:v>
                </c:pt>
                <c:pt idx="25">
                  <c:v>2.25</c:v>
                </c:pt>
                <c:pt idx="26">
                  <c:v>2.25</c:v>
                </c:pt>
              </c:numCache>
            </c:numRef>
          </c:yVal>
        </c:ser>
        <c:ser>
          <c:idx val="4"/>
          <c:order val="4"/>
          <c:tx>
            <c:strRef>
              <c:f>Hook!$X$2</c:f>
              <c:strCache>
                <c:ptCount val="1"/>
                <c:pt idx="0">
                  <c:v>Hook2</c:v>
                </c:pt>
              </c:strCache>
            </c:strRef>
          </c:tx>
          <c:spPr>
            <a:ln w="19050">
              <a:solidFill>
                <a:srgbClr val="008000"/>
              </a:solidFill>
            </a:ln>
          </c:spPr>
          <c:marker>
            <c:symbol val="none"/>
          </c:marker>
          <c:xVal>
            <c:numRef>
              <c:f>Hook!$W$3:$W$75</c:f>
              <c:numCache>
                <c:formatCode>.00\"</c:formatCode>
                <c:ptCount val="73"/>
                <c:pt idx="0">
                  <c:v>-0.78749999999999998</c:v>
                </c:pt>
                <c:pt idx="1">
                  <c:v>-0.7845033247472496</c:v>
                </c:pt>
                <c:pt idx="2">
                  <c:v>-0.77553610549711383</c:v>
                </c:pt>
                <c:pt idx="3">
                  <c:v>-0.76066658820264121</c:v>
                </c:pt>
                <c:pt idx="4">
                  <c:v>-0.74000793886890281</c:v>
                </c:pt>
                <c:pt idx="5">
                  <c:v>-0.71371738229136183</c:v>
                </c:pt>
                <c:pt idx="6">
                  <c:v>-0.6819950054802455</c:v>
                </c:pt>
                <c:pt idx="7">
                  <c:v>-0.6450822348775811</c:v>
                </c:pt>
                <c:pt idx="8">
                  <c:v>-0.60325999895619509</c:v>
                </c:pt>
                <c:pt idx="9">
                  <c:v>-0.55684659018440608</c:v>
                </c:pt>
                <c:pt idx="10">
                  <c:v>-0.50619524262814974</c:v>
                </c:pt>
                <c:pt idx="11">
                  <c:v>-0.45169144362644886</c:v>
                </c:pt>
                <c:pt idx="12">
                  <c:v>-0.39374999999999982</c:v>
                </c:pt>
                <c:pt idx="13">
                  <c:v>-0.33281188112080073</c:v>
                </c:pt>
                <c:pt idx="14">
                  <c:v>-0.26934086286896408</c:v>
                </c:pt>
                <c:pt idx="15">
                  <c:v>-0.20381999801823517</c:v>
                </c:pt>
                <c:pt idx="16">
                  <c:v>-0.13674793991270762</c:v>
                </c:pt>
                <c:pt idx="17">
                  <c:v>-6.8635147413780864E-2</c:v>
                </c:pt>
                <c:pt idx="18">
                  <c:v>4.8240220412026913E-17</c:v>
                </c:pt>
                <c:pt idx="19">
                  <c:v>6.8635147413780781E-2</c:v>
                </c:pt>
                <c:pt idx="20">
                  <c:v>0.1367479399127077</c:v>
                </c:pt>
                <c:pt idx="21">
                  <c:v>0.20381999801823508</c:v>
                </c:pt>
                <c:pt idx="22">
                  <c:v>0.26934086286896419</c:v>
                </c:pt>
                <c:pt idx="23">
                  <c:v>0.33281188112080079</c:v>
                </c:pt>
                <c:pt idx="24">
                  <c:v>0.3937500000000001</c:v>
                </c:pt>
                <c:pt idx="25">
                  <c:v>0.45169144362644886</c:v>
                </c:pt>
                <c:pt idx="26">
                  <c:v>0.50619524262814974</c:v>
                </c:pt>
                <c:pt idx="27">
                  <c:v>0.55684659018440619</c:v>
                </c:pt>
                <c:pt idx="28">
                  <c:v>0.6032599989561952</c:v>
                </c:pt>
                <c:pt idx="29">
                  <c:v>0.64508223487758098</c:v>
                </c:pt>
                <c:pt idx="30">
                  <c:v>0.6819950054802455</c:v>
                </c:pt>
                <c:pt idx="31">
                  <c:v>0.71371738229136183</c:v>
                </c:pt>
                <c:pt idx="32">
                  <c:v>0.74000793886890281</c:v>
                </c:pt>
                <c:pt idx="33">
                  <c:v>0.76066658820264133</c:v>
                </c:pt>
                <c:pt idx="34">
                  <c:v>0.77553610549711383</c:v>
                </c:pt>
                <c:pt idx="35">
                  <c:v>0.7845033247472496</c:v>
                </c:pt>
                <c:pt idx="36">
                  <c:v>0.78749999999999998</c:v>
                </c:pt>
                <c:pt idx="39">
                  <c:v>0.76066658820264133</c:v>
                </c:pt>
                <c:pt idx="40">
                  <c:v>0.74000793886890281</c:v>
                </c:pt>
                <c:pt idx="41">
                  <c:v>0.71371738229136183</c:v>
                </c:pt>
                <c:pt idx="43">
                  <c:v>0.64508223487758098</c:v>
                </c:pt>
                <c:pt idx="44">
                  <c:v>0.6032599989561952</c:v>
                </c:pt>
                <c:pt idx="45">
                  <c:v>0.55684659018440619</c:v>
                </c:pt>
                <c:pt idx="47">
                  <c:v>0.45169144362644886</c:v>
                </c:pt>
                <c:pt idx="48">
                  <c:v>0.3937500000000001</c:v>
                </c:pt>
                <c:pt idx="49">
                  <c:v>0.33281188112080079</c:v>
                </c:pt>
                <c:pt idx="51">
                  <c:v>0.20381999801823508</c:v>
                </c:pt>
                <c:pt idx="52">
                  <c:v>0.1367479399127077</c:v>
                </c:pt>
                <c:pt idx="53">
                  <c:v>6.8635147413780781E-2</c:v>
                </c:pt>
                <c:pt idx="55">
                  <c:v>-6.8635147413780864E-2</c:v>
                </c:pt>
                <c:pt idx="56">
                  <c:v>-0.13674793991270762</c:v>
                </c:pt>
                <c:pt idx="57">
                  <c:v>-0.20381999801823517</c:v>
                </c:pt>
                <c:pt idx="59">
                  <c:v>-0.33281188112080073</c:v>
                </c:pt>
                <c:pt idx="60">
                  <c:v>-0.39374999999999982</c:v>
                </c:pt>
                <c:pt idx="61">
                  <c:v>-0.45169144362644886</c:v>
                </c:pt>
                <c:pt idx="63">
                  <c:v>-0.55684659018440608</c:v>
                </c:pt>
                <c:pt idx="64">
                  <c:v>-0.60325999895619509</c:v>
                </c:pt>
                <c:pt idx="65">
                  <c:v>-0.6450822348775811</c:v>
                </c:pt>
                <c:pt idx="67">
                  <c:v>-0.71371738229136183</c:v>
                </c:pt>
                <c:pt idx="68">
                  <c:v>-0.74000793886890281</c:v>
                </c:pt>
                <c:pt idx="69">
                  <c:v>-0.76066658820264121</c:v>
                </c:pt>
              </c:numCache>
            </c:numRef>
          </c:xVal>
          <c:yVal>
            <c:numRef>
              <c:f>Hook!$X$3:$X$75</c:f>
              <c:numCache>
                <c:formatCode>.00\"</c:formatCode>
                <c:ptCount val="73"/>
                <c:pt idx="0">
                  <c:v>-9.6480440824053826E-17</c:v>
                </c:pt>
                <c:pt idx="1">
                  <c:v>-6.8635147413780823E-2</c:v>
                </c:pt>
                <c:pt idx="2">
                  <c:v>-0.13674793991270759</c:v>
                </c:pt>
                <c:pt idx="3">
                  <c:v>-0.2038199980182353</c:v>
                </c:pt>
                <c:pt idx="4">
                  <c:v>-0.26934086286896425</c:v>
                </c:pt>
                <c:pt idx="5">
                  <c:v>-0.33281188112080085</c:v>
                </c:pt>
                <c:pt idx="6">
                  <c:v>-0.39374999999999993</c:v>
                </c:pt>
                <c:pt idx="7">
                  <c:v>-0.45169144362644864</c:v>
                </c:pt>
                <c:pt idx="8">
                  <c:v>-0.50619524262814986</c:v>
                </c:pt>
                <c:pt idx="9">
                  <c:v>-0.55684659018440619</c:v>
                </c:pt>
                <c:pt idx="10">
                  <c:v>-0.6032599989561952</c:v>
                </c:pt>
                <c:pt idx="11">
                  <c:v>-0.64508223487758098</c:v>
                </c:pt>
                <c:pt idx="12">
                  <c:v>-0.6819950054802455</c:v>
                </c:pt>
                <c:pt idx="13">
                  <c:v>-0.71371738229136195</c:v>
                </c:pt>
                <c:pt idx="14">
                  <c:v>-0.74000793886890281</c:v>
                </c:pt>
                <c:pt idx="15">
                  <c:v>-0.76066658820264133</c:v>
                </c:pt>
                <c:pt idx="16">
                  <c:v>-0.77553610549711383</c:v>
                </c:pt>
                <c:pt idx="17">
                  <c:v>-0.7845033247472496</c:v>
                </c:pt>
                <c:pt idx="18">
                  <c:v>-0.78749999999999998</c:v>
                </c:pt>
                <c:pt idx="19">
                  <c:v>-0.7845033247472496</c:v>
                </c:pt>
                <c:pt idx="20">
                  <c:v>-0.77553610549711383</c:v>
                </c:pt>
                <c:pt idx="21">
                  <c:v>-0.76066658820264133</c:v>
                </c:pt>
                <c:pt idx="22">
                  <c:v>-0.74000793886890281</c:v>
                </c:pt>
                <c:pt idx="23">
                  <c:v>-0.71371738229136183</c:v>
                </c:pt>
                <c:pt idx="24">
                  <c:v>-0.68199500548024539</c:v>
                </c:pt>
                <c:pt idx="25">
                  <c:v>-0.64508223487758098</c:v>
                </c:pt>
                <c:pt idx="26">
                  <c:v>-0.6032599989561952</c:v>
                </c:pt>
                <c:pt idx="27">
                  <c:v>-0.55684659018440608</c:v>
                </c:pt>
                <c:pt idx="28">
                  <c:v>-0.50619524262814963</c:v>
                </c:pt>
                <c:pt idx="29">
                  <c:v>-0.45169144362644875</c:v>
                </c:pt>
                <c:pt idx="30">
                  <c:v>-0.39374999999999993</c:v>
                </c:pt>
                <c:pt idx="31">
                  <c:v>-0.33281188112080079</c:v>
                </c:pt>
                <c:pt idx="32">
                  <c:v>-0.26934086286896408</c:v>
                </c:pt>
                <c:pt idx="33">
                  <c:v>-0.20381999801823508</c:v>
                </c:pt>
                <c:pt idx="34">
                  <c:v>-0.13674793991270764</c:v>
                </c:pt>
                <c:pt idx="35">
                  <c:v>-6.8635147413780809E-2</c:v>
                </c:pt>
                <c:pt idx="36">
                  <c:v>0</c:v>
                </c:pt>
                <c:pt idx="39">
                  <c:v>0.20381999801823508</c:v>
                </c:pt>
                <c:pt idx="40">
                  <c:v>0.26934086286896408</c:v>
                </c:pt>
                <c:pt idx="41">
                  <c:v>0.33281188112080079</c:v>
                </c:pt>
                <c:pt idx="43">
                  <c:v>0.45169144362644875</c:v>
                </c:pt>
                <c:pt idx="44">
                  <c:v>0.50619524262814963</c:v>
                </c:pt>
                <c:pt idx="45">
                  <c:v>0.55684659018440608</c:v>
                </c:pt>
                <c:pt idx="47">
                  <c:v>0.64508223487758098</c:v>
                </c:pt>
                <c:pt idx="48">
                  <c:v>0.68199500548024539</c:v>
                </c:pt>
                <c:pt idx="49">
                  <c:v>0.71371738229136183</c:v>
                </c:pt>
                <c:pt idx="51">
                  <c:v>0.76066658820264133</c:v>
                </c:pt>
                <c:pt idx="52">
                  <c:v>0.77553610549711383</c:v>
                </c:pt>
                <c:pt idx="53">
                  <c:v>0.7845033247472496</c:v>
                </c:pt>
                <c:pt idx="55">
                  <c:v>0.7845033247472496</c:v>
                </c:pt>
                <c:pt idx="56">
                  <c:v>0.77553610549711383</c:v>
                </c:pt>
                <c:pt idx="57">
                  <c:v>0.76066658820264133</c:v>
                </c:pt>
                <c:pt idx="59">
                  <c:v>0.71371738229136195</c:v>
                </c:pt>
                <c:pt idx="60">
                  <c:v>0.6819950054802455</c:v>
                </c:pt>
                <c:pt idx="61">
                  <c:v>0.64508223487758098</c:v>
                </c:pt>
                <c:pt idx="63">
                  <c:v>0.55684659018440619</c:v>
                </c:pt>
                <c:pt idx="64">
                  <c:v>0.50619524262814986</c:v>
                </c:pt>
                <c:pt idx="65">
                  <c:v>0.45169144362644864</c:v>
                </c:pt>
                <c:pt idx="67">
                  <c:v>0.33281188112080085</c:v>
                </c:pt>
                <c:pt idx="68">
                  <c:v>0.26934086286896425</c:v>
                </c:pt>
                <c:pt idx="69">
                  <c:v>0.2038199980182353</c:v>
                </c:pt>
              </c:numCache>
            </c:numRef>
          </c:yVal>
          <c:smooth val="1"/>
        </c:ser>
        <c:ser>
          <c:idx val="5"/>
          <c:order val="5"/>
          <c:tx>
            <c:strRef>
              <c:f>Hook!$Z$2</c:f>
              <c:strCache>
                <c:ptCount val="1"/>
                <c:pt idx="0">
                  <c:v>Hook3</c:v>
                </c:pt>
              </c:strCache>
            </c:strRef>
          </c:tx>
          <c:spPr>
            <a:ln w="15875">
              <a:solidFill>
                <a:srgbClr val="008000"/>
              </a:solidFill>
            </a:ln>
          </c:spPr>
          <c:marker>
            <c:symbol val="none"/>
          </c:marker>
          <c:xVal>
            <c:numRef>
              <c:f>Hook!$Y$3:$Y$75</c:f>
              <c:numCache>
                <c:formatCode>.00\"</c:formatCode>
                <c:ptCount val="73"/>
                <c:pt idx="0">
                  <c:v>-0.41249999999999998</c:v>
                </c:pt>
                <c:pt idx="1">
                  <c:v>-0.41093031296284499</c:v>
                </c:pt>
                <c:pt idx="2">
                  <c:v>-0.40623319811753578</c:v>
                </c:pt>
                <c:pt idx="3">
                  <c:v>-0.39844440334424064</c:v>
                </c:pt>
                <c:pt idx="4">
                  <c:v>-0.38762320607418715</c:v>
                </c:pt>
                <c:pt idx="5">
                  <c:v>-0.37385196215261807</c:v>
                </c:pt>
                <c:pt idx="6">
                  <c:v>-0.35723547906108094</c:v>
                </c:pt>
                <c:pt idx="7">
                  <c:v>-0.33790021826920913</c:v>
                </c:pt>
                <c:pt idx="8">
                  <c:v>-0.31599333278657837</c:v>
                </c:pt>
                <c:pt idx="9">
                  <c:v>-0.29168154723945083</c:v>
                </c:pt>
                <c:pt idx="10">
                  <c:v>-0.26514988899569747</c:v>
                </c:pt>
                <c:pt idx="11">
                  <c:v>-0.23660027999480654</c:v>
                </c:pt>
                <c:pt idx="12">
                  <c:v>-0.20624999999999991</c:v>
                </c:pt>
                <c:pt idx="13">
                  <c:v>-0.17433003296803845</c:v>
                </c:pt>
                <c:pt idx="14">
                  <c:v>-0.14108330912183834</c:v>
                </c:pt>
                <c:pt idx="15">
                  <c:v>-0.10676285610478985</c:v>
                </c:pt>
                <c:pt idx="16">
                  <c:v>-7.1629873287608753E-2</c:v>
                </c:pt>
                <c:pt idx="17">
                  <c:v>-3.5951743883409021E-2</c:v>
                </c:pt>
                <c:pt idx="18">
                  <c:v>2.5268686882490288E-17</c:v>
                </c:pt>
                <c:pt idx="19">
                  <c:v>3.5951743883408979E-2</c:v>
                </c:pt>
                <c:pt idx="20">
                  <c:v>7.1629873287608795E-2</c:v>
                </c:pt>
                <c:pt idx="21">
                  <c:v>0.10676285610478981</c:v>
                </c:pt>
                <c:pt idx="22">
                  <c:v>0.14108330912183839</c:v>
                </c:pt>
                <c:pt idx="23">
                  <c:v>0.17433003296803851</c:v>
                </c:pt>
                <c:pt idx="24">
                  <c:v>0.20625000000000004</c:v>
                </c:pt>
                <c:pt idx="25">
                  <c:v>0.23660027999480654</c:v>
                </c:pt>
                <c:pt idx="26">
                  <c:v>0.26514988899569747</c:v>
                </c:pt>
                <c:pt idx="27">
                  <c:v>0.29168154723945083</c:v>
                </c:pt>
                <c:pt idx="28">
                  <c:v>0.31599333278657843</c:v>
                </c:pt>
                <c:pt idx="29">
                  <c:v>0.33790021826920907</c:v>
                </c:pt>
                <c:pt idx="30">
                  <c:v>0.35723547906108094</c:v>
                </c:pt>
                <c:pt idx="31">
                  <c:v>0.37385196215261807</c:v>
                </c:pt>
                <c:pt idx="32">
                  <c:v>0.38762320607418721</c:v>
                </c:pt>
                <c:pt idx="33">
                  <c:v>0.39844440334424064</c:v>
                </c:pt>
                <c:pt idx="34">
                  <c:v>0.40623319811753578</c:v>
                </c:pt>
                <c:pt idx="35">
                  <c:v>0.41093031296284499</c:v>
                </c:pt>
                <c:pt idx="36">
                  <c:v>0.41249999999999998</c:v>
                </c:pt>
                <c:pt idx="37">
                  <c:v>0.41093031296284499</c:v>
                </c:pt>
                <c:pt idx="38">
                  <c:v>0.40623319811753578</c:v>
                </c:pt>
                <c:pt idx="39">
                  <c:v>0.39844440334424064</c:v>
                </c:pt>
                <c:pt idx="40">
                  <c:v>0.38762320607418721</c:v>
                </c:pt>
                <c:pt idx="41">
                  <c:v>0.37385196215261807</c:v>
                </c:pt>
                <c:pt idx="42">
                  <c:v>0.35723547906108094</c:v>
                </c:pt>
                <c:pt idx="43">
                  <c:v>0.33790021826920907</c:v>
                </c:pt>
                <c:pt idx="44">
                  <c:v>0.31599333278657843</c:v>
                </c:pt>
                <c:pt idx="45">
                  <c:v>0.29168154723945083</c:v>
                </c:pt>
                <c:pt idx="46">
                  <c:v>0.26514988899569747</c:v>
                </c:pt>
                <c:pt idx="47">
                  <c:v>0.23660027999480654</c:v>
                </c:pt>
                <c:pt idx="48">
                  <c:v>0.20625000000000004</c:v>
                </c:pt>
                <c:pt idx="49">
                  <c:v>0.17433003296803851</c:v>
                </c:pt>
                <c:pt idx="50">
                  <c:v>0.14108330912183839</c:v>
                </c:pt>
                <c:pt idx="51">
                  <c:v>0.10676285610478981</c:v>
                </c:pt>
                <c:pt idx="52">
                  <c:v>7.1629873287608795E-2</c:v>
                </c:pt>
                <c:pt idx="53">
                  <c:v>3.5951743883408979E-2</c:v>
                </c:pt>
                <c:pt idx="54">
                  <c:v>2.5268686882490288E-17</c:v>
                </c:pt>
                <c:pt idx="55">
                  <c:v>-3.5951743883409021E-2</c:v>
                </c:pt>
                <c:pt idx="56">
                  <c:v>-7.1629873287608753E-2</c:v>
                </c:pt>
                <c:pt idx="57">
                  <c:v>-0.10676285610478985</c:v>
                </c:pt>
                <c:pt idx="58">
                  <c:v>-0.14108330912183834</c:v>
                </c:pt>
                <c:pt idx="59">
                  <c:v>-0.17433003296803845</c:v>
                </c:pt>
                <c:pt idx="60">
                  <c:v>-0.20624999999999991</c:v>
                </c:pt>
                <c:pt idx="61">
                  <c:v>-0.23660027999480654</c:v>
                </c:pt>
                <c:pt idx="62">
                  <c:v>-0.26514988899569747</c:v>
                </c:pt>
                <c:pt idx="63">
                  <c:v>-0.29168154723945083</c:v>
                </c:pt>
                <c:pt idx="64">
                  <c:v>-0.31599333278657837</c:v>
                </c:pt>
                <c:pt idx="65">
                  <c:v>-0.33790021826920913</c:v>
                </c:pt>
                <c:pt idx="66">
                  <c:v>-0.35723547906108094</c:v>
                </c:pt>
                <c:pt idx="67">
                  <c:v>-0.37385196215261807</c:v>
                </c:pt>
                <c:pt idx="68">
                  <c:v>-0.38762320607418715</c:v>
                </c:pt>
                <c:pt idx="69">
                  <c:v>-0.39844440334424064</c:v>
                </c:pt>
                <c:pt idx="70">
                  <c:v>-0.40623319811753578</c:v>
                </c:pt>
                <c:pt idx="71">
                  <c:v>-0.41093031296284499</c:v>
                </c:pt>
                <c:pt idx="72">
                  <c:v>-0.41249999999999998</c:v>
                </c:pt>
              </c:numCache>
            </c:numRef>
          </c:xVal>
          <c:yVal>
            <c:numRef>
              <c:f>Hook!$Z$3:$Z$75</c:f>
              <c:numCache>
                <c:formatCode>.00\"</c:formatCode>
                <c:ptCount val="73"/>
                <c:pt idx="0">
                  <c:v>-5.0537373764980575E-17</c:v>
                </c:pt>
                <c:pt idx="1">
                  <c:v>-3.5951743883409E-2</c:v>
                </c:pt>
                <c:pt idx="2">
                  <c:v>-7.1629873287608739E-2</c:v>
                </c:pt>
                <c:pt idx="3">
                  <c:v>-0.10676285610478992</c:v>
                </c:pt>
                <c:pt idx="4">
                  <c:v>-0.14108330912183842</c:v>
                </c:pt>
                <c:pt idx="5">
                  <c:v>-0.17433003296803853</c:v>
                </c:pt>
                <c:pt idx="6">
                  <c:v>-0.20624999999999996</c:v>
                </c:pt>
                <c:pt idx="7">
                  <c:v>-0.23660027999480643</c:v>
                </c:pt>
                <c:pt idx="8">
                  <c:v>-0.26514988899569752</c:v>
                </c:pt>
                <c:pt idx="9">
                  <c:v>-0.29168154723945083</c:v>
                </c:pt>
                <c:pt idx="10">
                  <c:v>-0.31599333278657843</c:v>
                </c:pt>
                <c:pt idx="11">
                  <c:v>-0.33790021826920907</c:v>
                </c:pt>
                <c:pt idx="12">
                  <c:v>-0.35723547906108094</c:v>
                </c:pt>
                <c:pt idx="13">
                  <c:v>-0.37385196215261812</c:v>
                </c:pt>
                <c:pt idx="14">
                  <c:v>-0.38762320607418721</c:v>
                </c:pt>
                <c:pt idx="15">
                  <c:v>-0.39844440334424064</c:v>
                </c:pt>
                <c:pt idx="16">
                  <c:v>-0.40623319811753578</c:v>
                </c:pt>
                <c:pt idx="17">
                  <c:v>-0.41093031296284499</c:v>
                </c:pt>
                <c:pt idx="18">
                  <c:v>-0.41249999999999998</c:v>
                </c:pt>
                <c:pt idx="19">
                  <c:v>-0.41093031296284499</c:v>
                </c:pt>
                <c:pt idx="20">
                  <c:v>-0.40623319811753578</c:v>
                </c:pt>
                <c:pt idx="21">
                  <c:v>-0.39844440334424064</c:v>
                </c:pt>
                <c:pt idx="22">
                  <c:v>-0.38762320607418715</c:v>
                </c:pt>
                <c:pt idx="23">
                  <c:v>-0.37385196215261807</c:v>
                </c:pt>
                <c:pt idx="24">
                  <c:v>-0.35723547906108089</c:v>
                </c:pt>
                <c:pt idx="25">
                  <c:v>-0.33790021826920907</c:v>
                </c:pt>
                <c:pt idx="26">
                  <c:v>-0.31599333278657843</c:v>
                </c:pt>
                <c:pt idx="27">
                  <c:v>-0.29168154723945083</c:v>
                </c:pt>
                <c:pt idx="28">
                  <c:v>-0.26514988899569741</c:v>
                </c:pt>
                <c:pt idx="29">
                  <c:v>-0.23660027999480648</c:v>
                </c:pt>
                <c:pt idx="30">
                  <c:v>-0.20624999999999996</c:v>
                </c:pt>
                <c:pt idx="31">
                  <c:v>-0.17433003296803851</c:v>
                </c:pt>
                <c:pt idx="32">
                  <c:v>-0.14108330912183834</c:v>
                </c:pt>
                <c:pt idx="33">
                  <c:v>-0.10676285610478981</c:v>
                </c:pt>
                <c:pt idx="34">
                  <c:v>-7.1629873287608753E-2</c:v>
                </c:pt>
                <c:pt idx="35">
                  <c:v>-3.5951743883408993E-2</c:v>
                </c:pt>
                <c:pt idx="36">
                  <c:v>0</c:v>
                </c:pt>
                <c:pt idx="37">
                  <c:v>3.5951743883408993E-2</c:v>
                </c:pt>
                <c:pt idx="38">
                  <c:v>7.1629873287608753E-2</c:v>
                </c:pt>
                <c:pt idx="39">
                  <c:v>0.10676285610478981</c:v>
                </c:pt>
                <c:pt idx="40">
                  <c:v>0.14108330912183834</c:v>
                </c:pt>
                <c:pt idx="41">
                  <c:v>0.17433003296803851</c:v>
                </c:pt>
                <c:pt idx="42">
                  <c:v>0.20624999999999996</c:v>
                </c:pt>
                <c:pt idx="43">
                  <c:v>0.23660027999480648</c:v>
                </c:pt>
                <c:pt idx="44">
                  <c:v>0.26514988899569741</c:v>
                </c:pt>
                <c:pt idx="45">
                  <c:v>0.29168154723945083</c:v>
                </c:pt>
                <c:pt idx="46">
                  <c:v>0.31599333278657843</c:v>
                </c:pt>
                <c:pt idx="47">
                  <c:v>0.33790021826920907</c:v>
                </c:pt>
                <c:pt idx="48">
                  <c:v>0.35723547906108089</c:v>
                </c:pt>
                <c:pt idx="49">
                  <c:v>0.37385196215261807</c:v>
                </c:pt>
                <c:pt idx="50">
                  <c:v>0.38762320607418715</c:v>
                </c:pt>
                <c:pt idx="51">
                  <c:v>0.39844440334424064</c:v>
                </c:pt>
                <c:pt idx="52">
                  <c:v>0.40623319811753578</c:v>
                </c:pt>
                <c:pt idx="53">
                  <c:v>0.41093031296284499</c:v>
                </c:pt>
                <c:pt idx="54">
                  <c:v>0.41249999999999998</c:v>
                </c:pt>
                <c:pt idx="55">
                  <c:v>0.41093031296284499</c:v>
                </c:pt>
                <c:pt idx="56">
                  <c:v>0.40623319811753578</c:v>
                </c:pt>
                <c:pt idx="57">
                  <c:v>0.39844440334424064</c:v>
                </c:pt>
                <c:pt idx="58">
                  <c:v>0.38762320607418721</c:v>
                </c:pt>
                <c:pt idx="59">
                  <c:v>0.37385196215261812</c:v>
                </c:pt>
                <c:pt idx="60">
                  <c:v>0.35723547906108094</c:v>
                </c:pt>
                <c:pt idx="61">
                  <c:v>0.33790021826920907</c:v>
                </c:pt>
                <c:pt idx="62">
                  <c:v>0.31599333278657843</c:v>
                </c:pt>
                <c:pt idx="63">
                  <c:v>0.29168154723945083</c:v>
                </c:pt>
                <c:pt idx="64">
                  <c:v>0.26514988899569752</c:v>
                </c:pt>
                <c:pt idx="65">
                  <c:v>0.23660027999480643</c:v>
                </c:pt>
                <c:pt idx="66">
                  <c:v>0.20624999999999996</c:v>
                </c:pt>
                <c:pt idx="67">
                  <c:v>0.17433003296803853</c:v>
                </c:pt>
                <c:pt idx="68">
                  <c:v>0.14108330912183842</c:v>
                </c:pt>
                <c:pt idx="69">
                  <c:v>0.10676285610478992</c:v>
                </c:pt>
                <c:pt idx="70">
                  <c:v>7.1629873287608739E-2</c:v>
                </c:pt>
                <c:pt idx="71">
                  <c:v>3.5951743883409E-2</c:v>
                </c:pt>
                <c:pt idx="72">
                  <c:v>5.0537373764980575E-17</c:v>
                </c:pt>
              </c:numCache>
            </c:numRef>
          </c:yVal>
          <c:smooth val="1"/>
        </c:ser>
        <c:ser>
          <c:idx val="0"/>
          <c:order val="6"/>
          <c:tx>
            <c:strRef>
              <c:f>Hook!$O$1</c:f>
              <c:strCache>
                <c:ptCount val="1"/>
                <c:pt idx="0">
                  <c:v>Beam1</c:v>
                </c:pt>
              </c:strCache>
            </c:strRef>
          </c:tx>
          <c:spPr>
            <a:ln w="19050">
              <a:solidFill>
                <a:srgbClr val="CC6600"/>
              </a:solidFill>
            </a:ln>
          </c:spPr>
          <c:marker>
            <c:symbol val="none"/>
          </c:marker>
          <c:dPt>
            <c:idx val="109"/>
            <c:spPr>
              <a:ln w="15875">
                <a:solidFill>
                  <a:srgbClr val="FF0000"/>
                </a:solidFill>
              </a:ln>
            </c:spPr>
          </c:dPt>
          <c:dPt>
            <c:idx val="112"/>
            <c:spPr>
              <a:ln w="15875">
                <a:solidFill>
                  <a:srgbClr val="FF0000"/>
                </a:solidFill>
              </a:ln>
            </c:spPr>
          </c:dPt>
          <c:xVal>
            <c:numRef>
              <c:f>Hook!$N$3:$N$115</c:f>
              <c:numCache>
                <c:formatCode>.00\"</c:formatCode>
                <c:ptCount val="113"/>
                <c:pt idx="0">
                  <c:v>-1.0375000000000003</c:v>
                </c:pt>
                <c:pt idx="1">
                  <c:v>-7.0374999999999996</c:v>
                </c:pt>
                <c:pt idx="2">
                  <c:v>-7.0374999999999996</c:v>
                </c:pt>
                <c:pt idx="3">
                  <c:v>-1.0374999999999999</c:v>
                </c:pt>
                <c:pt idx="4">
                  <c:v>-1.0375000000000003</c:v>
                </c:pt>
                <c:pt idx="6">
                  <c:v>-1.1625000000000003</c:v>
                </c:pt>
                <c:pt idx="7">
                  <c:v>-6.9124999999999996</c:v>
                </c:pt>
                <c:pt idx="8">
                  <c:v>-6.9124999999999996</c:v>
                </c:pt>
                <c:pt idx="9">
                  <c:v>-1.1624999999999999</c:v>
                </c:pt>
                <c:pt idx="10">
                  <c:v>-1.1625000000000003</c:v>
                </c:pt>
                <c:pt idx="12">
                  <c:v>-1.5509143873732709</c:v>
                </c:pt>
                <c:pt idx="13">
                  <c:v>-7.3161218498199236</c:v>
                </c:pt>
                <c:pt idx="14">
                  <c:v>-6.2080939891695159</c:v>
                </c:pt>
                <c:pt idx="15">
                  <c:v>-0.44288652672286333</c:v>
                </c:pt>
                <c:pt idx="16">
                  <c:v>-1.5509143873732709</c:v>
                </c:pt>
                <c:pt idx="18">
                  <c:v>-1.6363970055289176</c:v>
                </c:pt>
                <c:pt idx="19">
                  <c:v>-7.1613874903736274</c:v>
                </c:pt>
                <c:pt idx="20">
                  <c:v>-6.1226113710138694</c:v>
                </c:pt>
                <c:pt idx="21">
                  <c:v>-0.59762088616916054</c:v>
                </c:pt>
                <c:pt idx="22">
                  <c:v>-1.6363970055289176</c:v>
                </c:pt>
                <c:pt idx="24">
                  <c:v>-2.1478368478541383</c:v>
                </c:pt>
                <c:pt idx="25">
                  <c:v>-6.3904775349734226</c:v>
                </c:pt>
                <c:pt idx="26">
                  <c:v>-3.5620504102272328</c:v>
                </c:pt>
                <c:pt idx="27">
                  <c:v>0.68059027689205209</c:v>
                </c:pt>
                <c:pt idx="28">
                  <c:v>-2.1478368478541383</c:v>
                </c:pt>
                <c:pt idx="30">
                  <c:v>-2.1478368478541383</c:v>
                </c:pt>
                <c:pt idx="31">
                  <c:v>-6.2137008396767861</c:v>
                </c:pt>
                <c:pt idx="32">
                  <c:v>-3.5620504102272328</c:v>
                </c:pt>
                <c:pt idx="33">
                  <c:v>0.50381358159541512</c:v>
                </c:pt>
                <c:pt idx="34">
                  <c:v>-2.1478368478541383</c:v>
                </c:pt>
                <c:pt idx="36">
                  <c:v>-2.2091305471717506</c:v>
                </c:pt>
                <c:pt idx="37">
                  <c:v>-3.8711723381473622</c:v>
                </c:pt>
                <c:pt idx="38">
                  <c:v>-2.7700696516259393E-2</c:v>
                </c:pt>
                <c:pt idx="39">
                  <c:v>1.6343410944593519</c:v>
                </c:pt>
                <c:pt idx="40">
                  <c:v>-2.2091305471717506</c:v>
                </c:pt>
                <c:pt idx="42">
                  <c:v>-2.1236479290161041</c:v>
                </c:pt>
                <c:pt idx="43">
                  <c:v>-3.7164379787010646</c:v>
                </c:pt>
                <c:pt idx="44">
                  <c:v>-0.11318331467190612</c:v>
                </c:pt>
                <c:pt idx="45">
                  <c:v>1.4796067350130546</c:v>
                </c:pt>
                <c:pt idx="46">
                  <c:v>-2.1236479290161041</c:v>
                </c:pt>
                <c:pt idx="48">
                  <c:v>-2</c:v>
                </c:pt>
                <c:pt idx="49">
                  <c:v>-2</c:v>
                </c:pt>
                <c:pt idx="50">
                  <c:v>2</c:v>
                </c:pt>
                <c:pt idx="51">
                  <c:v>2</c:v>
                </c:pt>
                <c:pt idx="52">
                  <c:v>-2</c:v>
                </c:pt>
                <c:pt idx="54">
                  <c:v>-1.875</c:v>
                </c:pt>
                <c:pt idx="55">
                  <c:v>-1.875</c:v>
                </c:pt>
                <c:pt idx="56">
                  <c:v>1.875</c:v>
                </c:pt>
                <c:pt idx="57">
                  <c:v>1.875</c:v>
                </c:pt>
                <c:pt idx="58">
                  <c:v>-1.875</c:v>
                </c:pt>
                <c:pt idx="60">
                  <c:v>-1.6343410944593519</c:v>
                </c:pt>
                <c:pt idx="61">
                  <c:v>2.7700696516259393E-2</c:v>
                </c:pt>
                <c:pt idx="62">
                  <c:v>3.8711723381473622</c:v>
                </c:pt>
                <c:pt idx="63">
                  <c:v>2.2091305471717506</c:v>
                </c:pt>
                <c:pt idx="64">
                  <c:v>-1.6343410944593519</c:v>
                </c:pt>
                <c:pt idx="66">
                  <c:v>-1.4796067350130546</c:v>
                </c:pt>
                <c:pt idx="67">
                  <c:v>0.11318331467190612</c:v>
                </c:pt>
                <c:pt idx="68">
                  <c:v>3.7164379787010646</c:v>
                </c:pt>
                <c:pt idx="69">
                  <c:v>2.1236479290161041</c:v>
                </c:pt>
                <c:pt idx="70">
                  <c:v>-1.4796067350130546</c:v>
                </c:pt>
                <c:pt idx="72">
                  <c:v>-0.68059027689205209</c:v>
                </c:pt>
                <c:pt idx="73">
                  <c:v>3.5620504102272328</c:v>
                </c:pt>
                <c:pt idx="74">
                  <c:v>6.3904775349734226</c:v>
                </c:pt>
                <c:pt idx="75">
                  <c:v>2.1478368478541383</c:v>
                </c:pt>
                <c:pt idx="76">
                  <c:v>-0.68059027689205209</c:v>
                </c:pt>
                <c:pt idx="78">
                  <c:v>-0.50381358159541512</c:v>
                </c:pt>
                <c:pt idx="79">
                  <c:v>3.5620504102272328</c:v>
                </c:pt>
                <c:pt idx="80">
                  <c:v>6.2137008396767861</c:v>
                </c:pt>
                <c:pt idx="81">
                  <c:v>2.1478368478541383</c:v>
                </c:pt>
                <c:pt idx="82">
                  <c:v>-0.50381358159541512</c:v>
                </c:pt>
                <c:pt idx="84">
                  <c:v>0.44288652672286333</c:v>
                </c:pt>
                <c:pt idx="85">
                  <c:v>6.2080939891695159</c:v>
                </c:pt>
                <c:pt idx="86">
                  <c:v>7.3161218498199236</c:v>
                </c:pt>
                <c:pt idx="87">
                  <c:v>1.5509143873732709</c:v>
                </c:pt>
                <c:pt idx="88">
                  <c:v>0.44288652672286333</c:v>
                </c:pt>
                <c:pt idx="90">
                  <c:v>0.59762088616916054</c:v>
                </c:pt>
                <c:pt idx="91">
                  <c:v>6.1226113710138694</c:v>
                </c:pt>
                <c:pt idx="92">
                  <c:v>7.1613874903736274</c:v>
                </c:pt>
                <c:pt idx="93">
                  <c:v>1.6363970055289176</c:v>
                </c:pt>
                <c:pt idx="94">
                  <c:v>0.59762088616916054</c:v>
                </c:pt>
                <c:pt idx="96">
                  <c:v>1.0374999999999999</c:v>
                </c:pt>
                <c:pt idx="97">
                  <c:v>7.0374999999999996</c:v>
                </c:pt>
                <c:pt idx="98">
                  <c:v>7.0374999999999996</c:v>
                </c:pt>
                <c:pt idx="99">
                  <c:v>1.0375000000000003</c:v>
                </c:pt>
                <c:pt idx="100">
                  <c:v>1.0374999999999999</c:v>
                </c:pt>
                <c:pt idx="102">
                  <c:v>1.1624999999999999</c:v>
                </c:pt>
                <c:pt idx="103">
                  <c:v>6.9124999999999996</c:v>
                </c:pt>
                <c:pt idx="104">
                  <c:v>6.9124999999999996</c:v>
                </c:pt>
                <c:pt idx="105">
                  <c:v>1.1625000000000003</c:v>
                </c:pt>
                <c:pt idx="106">
                  <c:v>1.1624999999999999</c:v>
                </c:pt>
                <c:pt idx="108">
                  <c:v>0.22097086912079611</c:v>
                </c:pt>
                <c:pt idx="109">
                  <c:v>-0.22097086912079611</c:v>
                </c:pt>
                <c:pt idx="111">
                  <c:v>-0.22097086912079611</c:v>
                </c:pt>
                <c:pt idx="112">
                  <c:v>0.22097086912079611</c:v>
                </c:pt>
              </c:numCache>
            </c:numRef>
          </c:xVal>
          <c:yVal>
            <c:numRef>
              <c:f>Hook!$O$3:$O$115</c:f>
              <c:numCache>
                <c:formatCode>.00\"</c:formatCode>
                <c:ptCount val="113"/>
                <c:pt idx="0">
                  <c:v>2</c:v>
                </c:pt>
                <c:pt idx="1">
                  <c:v>1.9999999999999996</c:v>
                </c:pt>
                <c:pt idx="2">
                  <c:v>-2.0000000000000004</c:v>
                </c:pt>
                <c:pt idx="3">
                  <c:v>-2</c:v>
                </c:pt>
                <c:pt idx="4">
                  <c:v>2</c:v>
                </c:pt>
                <c:pt idx="6">
                  <c:v>1.875</c:v>
                </c:pt>
                <c:pt idx="7">
                  <c:v>1.8749999999999996</c:v>
                </c:pt>
                <c:pt idx="8">
                  <c:v>-1.8750000000000004</c:v>
                </c:pt>
                <c:pt idx="9">
                  <c:v>-1.875</c:v>
                </c:pt>
                <c:pt idx="10">
                  <c:v>1.875</c:v>
                </c:pt>
                <c:pt idx="12">
                  <c:v>1.6343410944593515</c:v>
                </c:pt>
                <c:pt idx="13">
                  <c:v>-2.7700696516259837E-2</c:v>
                </c:pt>
                <c:pt idx="14">
                  <c:v>-3.8711723381473622</c:v>
                </c:pt>
                <c:pt idx="15">
                  <c:v>-2.2091305471717506</c:v>
                </c:pt>
                <c:pt idx="16">
                  <c:v>1.6343410944593515</c:v>
                </c:pt>
                <c:pt idx="18">
                  <c:v>1.4796067350130544</c:v>
                </c:pt>
                <c:pt idx="19">
                  <c:v>-0.11318331467190679</c:v>
                </c:pt>
                <c:pt idx="20">
                  <c:v>-3.7164379787010651</c:v>
                </c:pt>
                <c:pt idx="21">
                  <c:v>-2.1236479290161037</c:v>
                </c:pt>
                <c:pt idx="22">
                  <c:v>1.4796067350130544</c:v>
                </c:pt>
                <c:pt idx="24">
                  <c:v>0.68059027689205176</c:v>
                </c:pt>
                <c:pt idx="25">
                  <c:v>-3.5620504102272337</c:v>
                </c:pt>
                <c:pt idx="26">
                  <c:v>-6.3904775349734235</c:v>
                </c:pt>
                <c:pt idx="27">
                  <c:v>-2.1478368478541379</c:v>
                </c:pt>
                <c:pt idx="28">
                  <c:v>0.68059027689205176</c:v>
                </c:pt>
                <c:pt idx="30">
                  <c:v>0.50381358159541478</c:v>
                </c:pt>
                <c:pt idx="31">
                  <c:v>-3.5620504102272328</c:v>
                </c:pt>
                <c:pt idx="32">
                  <c:v>-6.2137008396767861</c:v>
                </c:pt>
                <c:pt idx="33">
                  <c:v>-2.1478368478541379</c:v>
                </c:pt>
                <c:pt idx="34">
                  <c:v>0.50381358159541478</c:v>
                </c:pt>
                <c:pt idx="36">
                  <c:v>-0.44288652672286355</c:v>
                </c:pt>
                <c:pt idx="37">
                  <c:v>-6.2080939891695168</c:v>
                </c:pt>
                <c:pt idx="38">
                  <c:v>-7.3161218498199245</c:v>
                </c:pt>
                <c:pt idx="39">
                  <c:v>-1.5509143873732709</c:v>
                </c:pt>
                <c:pt idx="40">
                  <c:v>-0.44288652672286355</c:v>
                </c:pt>
                <c:pt idx="42">
                  <c:v>-0.59762088616916076</c:v>
                </c:pt>
                <c:pt idx="43">
                  <c:v>-6.1226113710138694</c:v>
                </c:pt>
                <c:pt idx="44">
                  <c:v>-7.1613874903736274</c:v>
                </c:pt>
                <c:pt idx="45">
                  <c:v>-1.6363970055289179</c:v>
                </c:pt>
                <c:pt idx="46">
                  <c:v>-0.59762088616916076</c:v>
                </c:pt>
                <c:pt idx="48">
                  <c:v>-1.0375000000000001</c:v>
                </c:pt>
                <c:pt idx="49">
                  <c:v>-7.0374999999999996</c:v>
                </c:pt>
                <c:pt idx="50">
                  <c:v>-7.0374999999999996</c:v>
                </c:pt>
                <c:pt idx="51">
                  <c:v>-1.0375000000000001</c:v>
                </c:pt>
                <c:pt idx="52">
                  <c:v>-1.0375000000000001</c:v>
                </c:pt>
                <c:pt idx="54">
                  <c:v>-1.1625000000000001</c:v>
                </c:pt>
                <c:pt idx="55">
                  <c:v>-6.9124999999999996</c:v>
                </c:pt>
                <c:pt idx="56">
                  <c:v>-6.9124999999999996</c:v>
                </c:pt>
                <c:pt idx="57">
                  <c:v>-1.1625000000000001</c:v>
                </c:pt>
                <c:pt idx="58">
                  <c:v>-1.1625000000000001</c:v>
                </c:pt>
                <c:pt idx="60">
                  <c:v>-1.5509143873732709</c:v>
                </c:pt>
                <c:pt idx="61">
                  <c:v>-7.3161218498199245</c:v>
                </c:pt>
                <c:pt idx="62">
                  <c:v>-6.2080939891695168</c:v>
                </c:pt>
                <c:pt idx="63">
                  <c:v>-0.44288652672286355</c:v>
                </c:pt>
                <c:pt idx="64">
                  <c:v>-1.5509143873732709</c:v>
                </c:pt>
                <c:pt idx="66">
                  <c:v>-1.6363970055289179</c:v>
                </c:pt>
                <c:pt idx="67">
                  <c:v>-7.1613874903736274</c:v>
                </c:pt>
                <c:pt idx="68">
                  <c:v>-6.1226113710138694</c:v>
                </c:pt>
                <c:pt idx="69">
                  <c:v>-0.59762088616916076</c:v>
                </c:pt>
                <c:pt idx="70">
                  <c:v>-1.6363970055289179</c:v>
                </c:pt>
                <c:pt idx="72">
                  <c:v>-2.1478368478541379</c:v>
                </c:pt>
                <c:pt idx="73">
                  <c:v>-6.3904775349734235</c:v>
                </c:pt>
                <c:pt idx="74">
                  <c:v>-3.5620504102272337</c:v>
                </c:pt>
                <c:pt idx="75">
                  <c:v>0.68059027689205176</c:v>
                </c:pt>
                <c:pt idx="76">
                  <c:v>-2.1478368478541379</c:v>
                </c:pt>
                <c:pt idx="78">
                  <c:v>-2.1478368478541379</c:v>
                </c:pt>
                <c:pt idx="79">
                  <c:v>-6.2137008396767861</c:v>
                </c:pt>
                <c:pt idx="80">
                  <c:v>-3.5620504102272328</c:v>
                </c:pt>
                <c:pt idx="81">
                  <c:v>0.50381358159541478</c:v>
                </c:pt>
                <c:pt idx="82">
                  <c:v>-2.1478368478541379</c:v>
                </c:pt>
                <c:pt idx="84">
                  <c:v>-2.2091305471717506</c:v>
                </c:pt>
                <c:pt idx="85">
                  <c:v>-3.8711723381473622</c:v>
                </c:pt>
                <c:pt idx="86">
                  <c:v>-2.7700696516259837E-2</c:v>
                </c:pt>
                <c:pt idx="87">
                  <c:v>1.6343410944593515</c:v>
                </c:pt>
                <c:pt idx="88">
                  <c:v>-2.2091305471717506</c:v>
                </c:pt>
                <c:pt idx="90">
                  <c:v>-2.1236479290161037</c:v>
                </c:pt>
                <c:pt idx="91">
                  <c:v>-3.7164379787010651</c:v>
                </c:pt>
                <c:pt idx="92">
                  <c:v>-0.11318331467190679</c:v>
                </c:pt>
                <c:pt idx="93">
                  <c:v>1.4796067350130544</c:v>
                </c:pt>
                <c:pt idx="94">
                  <c:v>-2.1236479290161037</c:v>
                </c:pt>
                <c:pt idx="96">
                  <c:v>-2</c:v>
                </c:pt>
                <c:pt idx="97">
                  <c:v>-2.0000000000000004</c:v>
                </c:pt>
                <c:pt idx="98">
                  <c:v>1.9999999999999996</c:v>
                </c:pt>
                <c:pt idx="99">
                  <c:v>2</c:v>
                </c:pt>
                <c:pt idx="100">
                  <c:v>-2</c:v>
                </c:pt>
                <c:pt idx="102">
                  <c:v>-1.875</c:v>
                </c:pt>
                <c:pt idx="103">
                  <c:v>-1.8750000000000004</c:v>
                </c:pt>
                <c:pt idx="104">
                  <c:v>1.8749999999999996</c:v>
                </c:pt>
                <c:pt idx="105">
                  <c:v>1.875</c:v>
                </c:pt>
                <c:pt idx="106">
                  <c:v>-1.875</c:v>
                </c:pt>
                <c:pt idx="108">
                  <c:v>0.22097086912079611</c:v>
                </c:pt>
                <c:pt idx="109">
                  <c:v>-0.22097086912079611</c:v>
                </c:pt>
                <c:pt idx="111">
                  <c:v>0.22097086912079611</c:v>
                </c:pt>
                <c:pt idx="112">
                  <c:v>-0.22097086912079611</c:v>
                </c:pt>
              </c:numCache>
            </c:numRef>
          </c:yVal>
        </c:ser>
        <c:ser>
          <c:idx val="7"/>
          <c:order val="7"/>
          <c:tx>
            <c:v>Beam2</c:v>
          </c:tx>
          <c:spPr>
            <a:ln w="12700">
              <a:solidFill>
                <a:srgbClr val="CC6600"/>
              </a:solidFill>
            </a:ln>
          </c:spPr>
          <c:marker>
            <c:symbol val="none"/>
          </c:marker>
          <c:xVal>
            <c:numRef>
              <c:f>Hook!$AA$3:$AA$115</c:f>
              <c:numCache>
                <c:formatCode>.00\"</c:formatCode>
                <c:ptCount val="113"/>
                <c:pt idx="0">
                  <c:v>-1.0375000000000001</c:v>
                </c:pt>
                <c:pt idx="1">
                  <c:v>-1.033551999270186</c:v>
                </c:pt>
                <c:pt idx="2">
                  <c:v>-1.021738043750166</c:v>
                </c:pt>
                <c:pt idx="3">
                  <c:v>-1.0021480447749083</c:v>
                </c:pt>
                <c:pt idx="4">
                  <c:v>-0.97493109406537992</c:v>
                </c:pt>
                <c:pt idx="5">
                  <c:v>-0.94029432905052435</c:v>
                </c:pt>
                <c:pt idx="6">
                  <c:v>-0.8985013564263552</c:v>
                </c:pt>
                <c:pt idx="7">
                  <c:v>-0.84987024594982918</c:v>
                </c:pt>
                <c:pt idx="8">
                  <c:v>-0.79477110973593967</c:v>
                </c:pt>
                <c:pt idx="9">
                  <c:v>-0.73362328548104305</c:v>
                </c:pt>
                <c:pt idx="10">
                  <c:v>-0.66689214504978467</c:v>
                </c:pt>
                <c:pt idx="11">
                  <c:v>-0.59508555271421049</c:v>
                </c:pt>
                <c:pt idx="12">
                  <c:v>-0.51874999999999982</c:v>
                </c:pt>
                <c:pt idx="13">
                  <c:v>-0.43846644655597561</c:v>
                </c:pt>
                <c:pt idx="14">
                  <c:v>-0.3548458987003813</c:v>
                </c:pt>
                <c:pt idx="15">
                  <c:v>-0.26852475929386538</c:v>
                </c:pt>
                <c:pt idx="16">
                  <c:v>-0.18015998432944019</c:v>
                </c:pt>
                <c:pt idx="17">
                  <c:v>-9.0424083100695427E-2</c:v>
                </c:pt>
                <c:pt idx="18">
                  <c:v>6.3554576098384663E-17</c:v>
                </c:pt>
                <c:pt idx="19">
                  <c:v>9.0424083100695329E-2</c:v>
                </c:pt>
                <c:pt idx="20">
                  <c:v>0.18015998432944033</c:v>
                </c:pt>
                <c:pt idx="21">
                  <c:v>0.26852475929386527</c:v>
                </c:pt>
                <c:pt idx="22">
                  <c:v>0.35484589870038141</c:v>
                </c:pt>
                <c:pt idx="23">
                  <c:v>0.43846644655597572</c:v>
                </c:pt>
                <c:pt idx="24">
                  <c:v>0.51875000000000016</c:v>
                </c:pt>
                <c:pt idx="25">
                  <c:v>0.59508555271421049</c:v>
                </c:pt>
                <c:pt idx="26">
                  <c:v>0.66689214504978467</c:v>
                </c:pt>
                <c:pt idx="27">
                  <c:v>0.73362328548104316</c:v>
                </c:pt>
                <c:pt idx="28">
                  <c:v>0.79477110973593978</c:v>
                </c:pt>
                <c:pt idx="29">
                  <c:v>0.84987024594982907</c:v>
                </c:pt>
                <c:pt idx="30">
                  <c:v>0.8985013564263552</c:v>
                </c:pt>
                <c:pt idx="31">
                  <c:v>0.94029432905052435</c:v>
                </c:pt>
                <c:pt idx="32">
                  <c:v>0.97493109406538003</c:v>
                </c:pt>
                <c:pt idx="33">
                  <c:v>1.0021480447749085</c:v>
                </c:pt>
                <c:pt idx="34">
                  <c:v>1.021738043750166</c:v>
                </c:pt>
                <c:pt idx="35">
                  <c:v>1.033551999270186</c:v>
                </c:pt>
                <c:pt idx="36">
                  <c:v>1.0375000000000001</c:v>
                </c:pt>
              </c:numCache>
            </c:numRef>
          </c:xVal>
          <c:yVal>
            <c:numRef>
              <c:f>Hook!$AB$3:$AB$115</c:f>
              <c:numCache>
                <c:formatCode>.00\"</c:formatCode>
                <c:ptCount val="113"/>
                <c:pt idx="0">
                  <c:v>-1.2710915219676933E-16</c:v>
                </c:pt>
                <c:pt idx="1">
                  <c:v>-9.0424083100695385E-2</c:v>
                </c:pt>
                <c:pt idx="2">
                  <c:v>-0.18015998432944016</c:v>
                </c:pt>
                <c:pt idx="3">
                  <c:v>-0.2685247592938656</c:v>
                </c:pt>
                <c:pt idx="4">
                  <c:v>-0.35484589870038147</c:v>
                </c:pt>
                <c:pt idx="5">
                  <c:v>-0.43846644655597578</c:v>
                </c:pt>
                <c:pt idx="6">
                  <c:v>-0.51874999999999993</c:v>
                </c:pt>
                <c:pt idx="7">
                  <c:v>-0.59508555271421026</c:v>
                </c:pt>
                <c:pt idx="8">
                  <c:v>-0.66689214504978478</c:v>
                </c:pt>
                <c:pt idx="9">
                  <c:v>-0.73362328548104316</c:v>
                </c:pt>
                <c:pt idx="10">
                  <c:v>-0.79477110973593978</c:v>
                </c:pt>
                <c:pt idx="11">
                  <c:v>-0.84987024594982896</c:v>
                </c:pt>
                <c:pt idx="12">
                  <c:v>-0.8985013564263552</c:v>
                </c:pt>
                <c:pt idx="13">
                  <c:v>-0.94029432905052446</c:v>
                </c:pt>
                <c:pt idx="14">
                  <c:v>-0.97493109406538003</c:v>
                </c:pt>
                <c:pt idx="15">
                  <c:v>-1.0021480447749085</c:v>
                </c:pt>
                <c:pt idx="16">
                  <c:v>-1.021738043750166</c:v>
                </c:pt>
                <c:pt idx="17">
                  <c:v>-1.033551999270186</c:v>
                </c:pt>
                <c:pt idx="18">
                  <c:v>-1.0375000000000001</c:v>
                </c:pt>
                <c:pt idx="19">
                  <c:v>-1.033551999270186</c:v>
                </c:pt>
                <c:pt idx="20">
                  <c:v>-1.021738043750166</c:v>
                </c:pt>
                <c:pt idx="21">
                  <c:v>-1.0021480447749085</c:v>
                </c:pt>
                <c:pt idx="22">
                  <c:v>-0.97493109406537992</c:v>
                </c:pt>
                <c:pt idx="23">
                  <c:v>-0.94029432905052435</c:v>
                </c:pt>
                <c:pt idx="24">
                  <c:v>-0.89850135642635509</c:v>
                </c:pt>
                <c:pt idx="25">
                  <c:v>-0.84987024594982907</c:v>
                </c:pt>
                <c:pt idx="26">
                  <c:v>-0.79477110973593978</c:v>
                </c:pt>
                <c:pt idx="27">
                  <c:v>-0.73362328548104305</c:v>
                </c:pt>
                <c:pt idx="28">
                  <c:v>-0.66689214504978456</c:v>
                </c:pt>
                <c:pt idx="29">
                  <c:v>-0.59508555271421038</c:v>
                </c:pt>
                <c:pt idx="30">
                  <c:v>-0.51874999999999993</c:v>
                </c:pt>
                <c:pt idx="31">
                  <c:v>-0.43846644655597572</c:v>
                </c:pt>
                <c:pt idx="32">
                  <c:v>-0.3548458987003813</c:v>
                </c:pt>
                <c:pt idx="33">
                  <c:v>-0.26852475929386527</c:v>
                </c:pt>
                <c:pt idx="34">
                  <c:v>-0.18015998432944022</c:v>
                </c:pt>
                <c:pt idx="35">
                  <c:v>-9.0424083100695357E-2</c:v>
                </c:pt>
                <c:pt idx="36">
                  <c:v>0</c:v>
                </c:pt>
              </c:numCache>
            </c:numRef>
          </c:yVal>
          <c:smooth val="1"/>
        </c:ser>
        <c:ser>
          <c:idx val="3"/>
          <c:order val="8"/>
          <c:tx>
            <c:strRef>
              <c:f>Hook!$V$2</c:f>
              <c:strCache>
                <c:ptCount val="1"/>
                <c:pt idx="0">
                  <c:v>Pivit</c:v>
                </c:pt>
              </c:strCache>
            </c:strRef>
          </c:tx>
          <c:spPr>
            <a:ln w="15875">
              <a:solidFill>
                <a:srgbClr val="FF0000"/>
              </a:solidFill>
            </a:ln>
          </c:spPr>
          <c:marker>
            <c:symbol val="none"/>
          </c:marker>
          <c:xVal>
            <c:numRef>
              <c:f>Hook!$U$3:$U$75</c:f>
              <c:numCache>
                <c:formatCode>.00\"</c:formatCode>
                <c:ptCount val="73"/>
                <c:pt idx="0">
                  <c:v>-0.3125</c:v>
                </c:pt>
                <c:pt idx="1">
                  <c:v>-0.31131084315367047</c:v>
                </c:pt>
                <c:pt idx="2">
                  <c:v>-0.30775242281631499</c:v>
                </c:pt>
                <c:pt idx="3">
                  <c:v>-0.30185182071533379</c:v>
                </c:pt>
                <c:pt idx="4">
                  <c:v>-0.29365394399559636</c:v>
                </c:pt>
                <c:pt idx="5">
                  <c:v>-0.28322118344895308</c:v>
                </c:pt>
                <c:pt idx="6">
                  <c:v>-0.2706329386826371</c:v>
                </c:pt>
                <c:pt idx="7">
                  <c:v>-0.25598501384030997</c:v>
                </c:pt>
                <c:pt idx="8">
                  <c:v>-0.23938888847468059</c:v>
                </c:pt>
                <c:pt idx="9">
                  <c:v>-0.22097086912079608</c:v>
                </c:pt>
                <c:pt idx="10">
                  <c:v>-0.20087112802704354</c:v>
                </c:pt>
                <c:pt idx="11">
                  <c:v>-0.17924263635970192</c:v>
                </c:pt>
                <c:pt idx="12">
                  <c:v>-0.15624999999999994</c:v>
                </c:pt>
                <c:pt idx="13">
                  <c:v>-0.13206820679396855</c:v>
                </c:pt>
                <c:pt idx="14">
                  <c:v>-0.10688129478927147</c:v>
                </c:pt>
                <c:pt idx="15">
                  <c:v>-8.0880951594537759E-2</c:v>
                </c:pt>
                <c:pt idx="16">
                  <c:v>-5.426505552091572E-2</c:v>
                </c:pt>
                <c:pt idx="17">
                  <c:v>-2.7236169608643199E-2</c:v>
                </c:pt>
                <c:pt idx="18">
                  <c:v>1.9142944607947188E-17</c:v>
                </c:pt>
                <c:pt idx="19">
                  <c:v>2.7236169608643168E-2</c:v>
                </c:pt>
                <c:pt idx="20">
                  <c:v>5.4265055520915755E-2</c:v>
                </c:pt>
                <c:pt idx="21">
                  <c:v>8.0880951594537731E-2</c:v>
                </c:pt>
                <c:pt idx="22">
                  <c:v>0.10688129478927151</c:v>
                </c:pt>
                <c:pt idx="23">
                  <c:v>0.13206820679396858</c:v>
                </c:pt>
                <c:pt idx="24">
                  <c:v>0.15625000000000003</c:v>
                </c:pt>
                <c:pt idx="25">
                  <c:v>0.17924263635970192</c:v>
                </c:pt>
                <c:pt idx="26">
                  <c:v>0.20087112802704354</c:v>
                </c:pt>
                <c:pt idx="27">
                  <c:v>0.22097086912079611</c:v>
                </c:pt>
                <c:pt idx="28">
                  <c:v>0.23938888847468062</c:v>
                </c:pt>
                <c:pt idx="29">
                  <c:v>0.25598501384030992</c:v>
                </c:pt>
                <c:pt idx="30">
                  <c:v>0.2706329386826371</c:v>
                </c:pt>
                <c:pt idx="31">
                  <c:v>0.28322118344895308</c:v>
                </c:pt>
                <c:pt idx="32">
                  <c:v>0.29365394399559641</c:v>
                </c:pt>
                <c:pt idx="33">
                  <c:v>0.30185182071533384</c:v>
                </c:pt>
                <c:pt idx="34">
                  <c:v>0.30775242281631499</c:v>
                </c:pt>
                <c:pt idx="35">
                  <c:v>0.31131084315367047</c:v>
                </c:pt>
                <c:pt idx="36">
                  <c:v>0.3125</c:v>
                </c:pt>
                <c:pt idx="37">
                  <c:v>0.31131084315367047</c:v>
                </c:pt>
                <c:pt idx="38">
                  <c:v>0.30775242281631499</c:v>
                </c:pt>
                <c:pt idx="39">
                  <c:v>0.30185182071533384</c:v>
                </c:pt>
                <c:pt idx="40">
                  <c:v>0.29365394399559641</c:v>
                </c:pt>
                <c:pt idx="41">
                  <c:v>0.28322118344895308</c:v>
                </c:pt>
                <c:pt idx="42">
                  <c:v>0.2706329386826371</c:v>
                </c:pt>
                <c:pt idx="43">
                  <c:v>0.25598501384030992</c:v>
                </c:pt>
                <c:pt idx="44">
                  <c:v>0.23938888847468062</c:v>
                </c:pt>
                <c:pt idx="45">
                  <c:v>0.22097086912079611</c:v>
                </c:pt>
                <c:pt idx="46">
                  <c:v>0.20087112802704354</c:v>
                </c:pt>
                <c:pt idx="47">
                  <c:v>0.17924263635970192</c:v>
                </c:pt>
                <c:pt idx="48">
                  <c:v>0.15625000000000003</c:v>
                </c:pt>
                <c:pt idx="49">
                  <c:v>0.13206820679396858</c:v>
                </c:pt>
                <c:pt idx="50">
                  <c:v>0.10688129478927151</c:v>
                </c:pt>
                <c:pt idx="51">
                  <c:v>8.0880951594537731E-2</c:v>
                </c:pt>
                <c:pt idx="52">
                  <c:v>5.4265055520915755E-2</c:v>
                </c:pt>
                <c:pt idx="53">
                  <c:v>2.7236169608643168E-2</c:v>
                </c:pt>
                <c:pt idx="54">
                  <c:v>1.9142944607947188E-17</c:v>
                </c:pt>
                <c:pt idx="55">
                  <c:v>-2.7236169608643199E-2</c:v>
                </c:pt>
                <c:pt idx="56">
                  <c:v>-5.426505552091572E-2</c:v>
                </c:pt>
                <c:pt idx="57">
                  <c:v>-8.0880951594537759E-2</c:v>
                </c:pt>
                <c:pt idx="58">
                  <c:v>-0.10688129478927147</c:v>
                </c:pt>
                <c:pt idx="59">
                  <c:v>-0.13206820679396855</c:v>
                </c:pt>
                <c:pt idx="60">
                  <c:v>-0.15624999999999994</c:v>
                </c:pt>
                <c:pt idx="61">
                  <c:v>-0.17924263635970192</c:v>
                </c:pt>
                <c:pt idx="62">
                  <c:v>-0.20087112802704354</c:v>
                </c:pt>
                <c:pt idx="63">
                  <c:v>-0.22097086912079608</c:v>
                </c:pt>
                <c:pt idx="64">
                  <c:v>-0.23938888847468059</c:v>
                </c:pt>
                <c:pt idx="65">
                  <c:v>-0.25598501384030997</c:v>
                </c:pt>
                <c:pt idx="66">
                  <c:v>-0.2706329386826371</c:v>
                </c:pt>
                <c:pt idx="67">
                  <c:v>-0.28322118344895308</c:v>
                </c:pt>
                <c:pt idx="68">
                  <c:v>-0.29365394399559636</c:v>
                </c:pt>
                <c:pt idx="69">
                  <c:v>-0.30185182071533379</c:v>
                </c:pt>
                <c:pt idx="70">
                  <c:v>-0.30775242281631499</c:v>
                </c:pt>
                <c:pt idx="71">
                  <c:v>-0.31131084315367047</c:v>
                </c:pt>
                <c:pt idx="72">
                  <c:v>-0.3125</c:v>
                </c:pt>
              </c:numCache>
            </c:numRef>
          </c:xVal>
          <c:yVal>
            <c:numRef>
              <c:f>Hook!$V$3:$V$75</c:f>
              <c:numCache>
                <c:formatCode>.00\"</c:formatCode>
                <c:ptCount val="73"/>
                <c:pt idx="0">
                  <c:v>-3.8285889215894375E-17</c:v>
                </c:pt>
                <c:pt idx="1">
                  <c:v>-2.7236169608643186E-2</c:v>
                </c:pt>
                <c:pt idx="2">
                  <c:v>-5.4265055520915713E-2</c:v>
                </c:pt>
                <c:pt idx="3">
                  <c:v>-8.0880951594537814E-2</c:v>
                </c:pt>
                <c:pt idx="4">
                  <c:v>-0.10688129478927152</c:v>
                </c:pt>
                <c:pt idx="5">
                  <c:v>-0.13206820679396858</c:v>
                </c:pt>
                <c:pt idx="6">
                  <c:v>-0.15624999999999997</c:v>
                </c:pt>
                <c:pt idx="7">
                  <c:v>-0.17924263635970186</c:v>
                </c:pt>
                <c:pt idx="8">
                  <c:v>-0.2008711280270436</c:v>
                </c:pt>
                <c:pt idx="9">
                  <c:v>-0.22097086912079611</c:v>
                </c:pt>
                <c:pt idx="10">
                  <c:v>-0.23938888847468062</c:v>
                </c:pt>
                <c:pt idx="11">
                  <c:v>-0.25598501384030992</c:v>
                </c:pt>
                <c:pt idx="12">
                  <c:v>-0.2706329386826371</c:v>
                </c:pt>
                <c:pt idx="13">
                  <c:v>-0.28322118344895314</c:v>
                </c:pt>
                <c:pt idx="14">
                  <c:v>-0.29365394399559641</c:v>
                </c:pt>
                <c:pt idx="15">
                  <c:v>-0.30185182071533384</c:v>
                </c:pt>
                <c:pt idx="16">
                  <c:v>-0.30775242281631499</c:v>
                </c:pt>
                <c:pt idx="17">
                  <c:v>-0.31131084315367047</c:v>
                </c:pt>
                <c:pt idx="18">
                  <c:v>-0.3125</c:v>
                </c:pt>
                <c:pt idx="19">
                  <c:v>-0.31131084315367047</c:v>
                </c:pt>
                <c:pt idx="20">
                  <c:v>-0.30775242281631499</c:v>
                </c:pt>
                <c:pt idx="21">
                  <c:v>-0.30185182071533384</c:v>
                </c:pt>
                <c:pt idx="22">
                  <c:v>-0.29365394399559636</c:v>
                </c:pt>
                <c:pt idx="23">
                  <c:v>-0.28322118344895308</c:v>
                </c:pt>
                <c:pt idx="24">
                  <c:v>-0.27063293868263705</c:v>
                </c:pt>
                <c:pt idx="25">
                  <c:v>-0.25598501384030992</c:v>
                </c:pt>
                <c:pt idx="26">
                  <c:v>-0.23938888847468062</c:v>
                </c:pt>
                <c:pt idx="27">
                  <c:v>-0.22097086912079608</c:v>
                </c:pt>
                <c:pt idx="28">
                  <c:v>-0.20087112802704352</c:v>
                </c:pt>
                <c:pt idx="29">
                  <c:v>-0.17924263635970189</c:v>
                </c:pt>
                <c:pt idx="30">
                  <c:v>-0.15624999999999997</c:v>
                </c:pt>
                <c:pt idx="31">
                  <c:v>-0.13206820679396858</c:v>
                </c:pt>
                <c:pt idx="32">
                  <c:v>-0.10688129478927147</c:v>
                </c:pt>
                <c:pt idx="33">
                  <c:v>-8.0880951594537731E-2</c:v>
                </c:pt>
                <c:pt idx="34">
                  <c:v>-5.4265055520915727E-2</c:v>
                </c:pt>
                <c:pt idx="35">
                  <c:v>-2.7236169608643175E-2</c:v>
                </c:pt>
                <c:pt idx="36">
                  <c:v>0</c:v>
                </c:pt>
                <c:pt idx="37">
                  <c:v>2.7236169608643175E-2</c:v>
                </c:pt>
                <c:pt idx="38">
                  <c:v>5.4265055520915727E-2</c:v>
                </c:pt>
                <c:pt idx="39">
                  <c:v>8.0880951594537731E-2</c:v>
                </c:pt>
                <c:pt idx="40">
                  <c:v>0.10688129478927147</c:v>
                </c:pt>
                <c:pt idx="41">
                  <c:v>0.13206820679396858</c:v>
                </c:pt>
                <c:pt idx="42">
                  <c:v>0.15624999999999997</c:v>
                </c:pt>
                <c:pt idx="43">
                  <c:v>0.17924263635970189</c:v>
                </c:pt>
                <c:pt idx="44">
                  <c:v>0.20087112802704352</c:v>
                </c:pt>
                <c:pt idx="45">
                  <c:v>0.22097086912079608</c:v>
                </c:pt>
                <c:pt idx="46">
                  <c:v>0.23938888847468062</c:v>
                </c:pt>
                <c:pt idx="47">
                  <c:v>0.25598501384030992</c:v>
                </c:pt>
                <c:pt idx="48">
                  <c:v>0.27063293868263705</c:v>
                </c:pt>
                <c:pt idx="49">
                  <c:v>0.28322118344895308</c:v>
                </c:pt>
                <c:pt idx="50">
                  <c:v>0.29365394399559636</c:v>
                </c:pt>
                <c:pt idx="51">
                  <c:v>0.30185182071533384</c:v>
                </c:pt>
                <c:pt idx="52">
                  <c:v>0.30775242281631499</c:v>
                </c:pt>
                <c:pt idx="53">
                  <c:v>0.31131084315367047</c:v>
                </c:pt>
                <c:pt idx="54">
                  <c:v>0.3125</c:v>
                </c:pt>
                <c:pt idx="55">
                  <c:v>0.31131084315367047</c:v>
                </c:pt>
                <c:pt idx="56">
                  <c:v>0.30775242281631499</c:v>
                </c:pt>
                <c:pt idx="57">
                  <c:v>0.30185182071533384</c:v>
                </c:pt>
                <c:pt idx="58">
                  <c:v>0.29365394399559641</c:v>
                </c:pt>
                <c:pt idx="59">
                  <c:v>0.28322118344895314</c:v>
                </c:pt>
                <c:pt idx="60">
                  <c:v>0.2706329386826371</c:v>
                </c:pt>
                <c:pt idx="61">
                  <c:v>0.25598501384030992</c:v>
                </c:pt>
                <c:pt idx="62">
                  <c:v>0.23938888847468062</c:v>
                </c:pt>
                <c:pt idx="63">
                  <c:v>0.22097086912079611</c:v>
                </c:pt>
                <c:pt idx="64">
                  <c:v>0.2008711280270436</c:v>
                </c:pt>
                <c:pt idx="65">
                  <c:v>0.17924263635970186</c:v>
                </c:pt>
                <c:pt idx="66">
                  <c:v>0.15624999999999997</c:v>
                </c:pt>
                <c:pt idx="67">
                  <c:v>0.13206820679396858</c:v>
                </c:pt>
                <c:pt idx="68">
                  <c:v>0.10688129478927152</c:v>
                </c:pt>
                <c:pt idx="69">
                  <c:v>8.0880951594537814E-2</c:v>
                </c:pt>
                <c:pt idx="70">
                  <c:v>5.4265055520915713E-2</c:v>
                </c:pt>
                <c:pt idx="71">
                  <c:v>2.7236169608643186E-2</c:v>
                </c:pt>
                <c:pt idx="72">
                  <c:v>3.8285889215894375E-17</c:v>
                </c:pt>
              </c:numCache>
            </c:numRef>
          </c:yVal>
          <c:smooth val="1"/>
        </c:ser>
        <c:ser>
          <c:idx val="6"/>
          <c:order val="9"/>
          <c:tx>
            <c:strRef>
              <c:f>Hook!$AE$2</c:f>
              <c:strCache>
                <c:ptCount val="1"/>
                <c:pt idx="0">
                  <c:v>Swing</c:v>
                </c:pt>
              </c:strCache>
            </c:strRef>
          </c:tx>
          <c:spPr>
            <a:ln w="6350">
              <a:solidFill>
                <a:srgbClr val="00DC64"/>
              </a:solidFill>
            </a:ln>
          </c:spPr>
          <c:marker>
            <c:symbol val="none"/>
          </c:marker>
          <c:xVal>
            <c:numRef>
              <c:f>Hook!$AD$3:$AD$75</c:f>
              <c:numCache>
                <c:formatCode>.00\"</c:formatCode>
                <c:ptCount val="73"/>
                <c:pt idx="0">
                  <c:v>-7.0298267141251403</c:v>
                </c:pt>
                <c:pt idx="1">
                  <c:v>-7.1247143423518633</c:v>
                </c:pt>
                <c:pt idx="2">
                  <c:v>-7.2007610547411049</c:v>
                </c:pt>
                <c:pt idx="3">
                  <c:v>-7.2577657499379189</c:v>
                </c:pt>
                <c:pt idx="4">
                  <c:v>-7.2955776821561686</c:v>
                </c:pt>
                <c:pt idx="5">
                  <c:v>-7.3140968598174769</c:v>
                </c:pt>
                <c:pt idx="6">
                  <c:v>-7.3132743099734645</c:v>
                </c:pt>
                <c:pt idx="7">
                  <c:v>-7.2931122078120278</c:v>
                </c:pt>
                <c:pt idx="8">
                  <c:v>-7.2536638709051644</c:v>
                </c:pt>
                <c:pt idx="9">
                  <c:v>-7.195033618213591</c:v>
                </c:pt>
                <c:pt idx="10">
                  <c:v>-7.1173764942209763</c:v>
                </c:pt>
                <c:pt idx="11">
                  <c:v>-7.0208978589273174</c:v>
                </c:pt>
                <c:pt idx="12">
                  <c:v>-6.9058528447856968</c:v>
                </c:pt>
                <c:pt idx="13">
                  <c:v>-6.7725456820185226</c:v>
                </c:pt>
                <c:pt idx="14">
                  <c:v>-6.6213288940974095</c:v>
                </c:pt>
                <c:pt idx="15">
                  <c:v>-6.4526023655142177</c:v>
                </c:pt>
                <c:pt idx="16">
                  <c:v>-6.2668122843084717</c:v>
                </c:pt>
                <c:pt idx="17">
                  <c:v>-6.0644499621475907</c:v>
                </c:pt>
                <c:pt idx="18">
                  <c:v>-5.8460505350801686</c:v>
                </c:pt>
                <c:pt idx="19">
                  <c:v>-5.6121915483980711</c:v>
                </c:pt>
                <c:pt idx="20">
                  <c:v>-5.3634914293496365</c:v>
                </c:pt>
                <c:pt idx="21">
                  <c:v>-5.1006078517427662</c:v>
                </c:pt>
                <c:pt idx="22">
                  <c:v>-4.8242359967626633</c:v>
                </c:pt>
                <c:pt idx="23">
                  <c:v>-4.5351067146033621</c:v>
                </c:pt>
                <c:pt idx="24">
                  <c:v>-4.2339845917745169</c:v>
                </c:pt>
                <c:pt idx="25">
                  <c:v>-3.9216659291943676</c:v>
                </c:pt>
                <c:pt idx="26">
                  <c:v>-3.5989766364156925</c:v>
                </c:pt>
                <c:pt idx="27">
                  <c:v>-3.2667700475533406</c:v>
                </c:pt>
                <c:pt idx="28">
                  <c:v>-2.9259246646890338</c:v>
                </c:pt>
                <c:pt idx="29">
                  <c:v>-2.577341834720845</c:v>
                </c:pt>
                <c:pt idx="30">
                  <c:v>-2.2219433658008239</c:v>
                </c:pt>
                <c:pt idx="31">
                  <c:v>-1.8606690896639646</c:v>
                </c:pt>
                <c:pt idx="32">
                  <c:v>-1.4944743762947854</c:v>
                </c:pt>
                <c:pt idx="33">
                  <c:v>-1.124327607503864</c:v>
                </c:pt>
                <c:pt idx="34">
                  <c:v>-0.75120761609532605</c:v>
                </c:pt>
                <c:pt idx="35">
                  <c:v>-0.37610109739724007</c:v>
                </c:pt>
                <c:pt idx="36">
                  <c:v>-4.4816676901150368E-16</c:v>
                </c:pt>
                <c:pt idx="37">
                  <c:v>0.37610109739723913</c:v>
                </c:pt>
                <c:pt idx="38">
                  <c:v>0.75120761609532671</c:v>
                </c:pt>
                <c:pt idx="39">
                  <c:v>1.1243276075038631</c:v>
                </c:pt>
                <c:pt idx="40">
                  <c:v>1.4944743762947843</c:v>
                </c:pt>
                <c:pt idx="41">
                  <c:v>1.8606690896639653</c:v>
                </c:pt>
                <c:pt idx="42">
                  <c:v>2.2219433658008234</c:v>
                </c:pt>
                <c:pt idx="43">
                  <c:v>2.5773418347208441</c:v>
                </c:pt>
                <c:pt idx="44">
                  <c:v>2.9259246646890347</c:v>
                </c:pt>
                <c:pt idx="45">
                  <c:v>3.2667700475533428</c:v>
                </c:pt>
                <c:pt idx="46">
                  <c:v>3.5989766364156921</c:v>
                </c:pt>
                <c:pt idx="47">
                  <c:v>3.9216659291943685</c:v>
                </c:pt>
                <c:pt idx="48">
                  <c:v>4.2339845917745178</c:v>
                </c:pt>
                <c:pt idx="49">
                  <c:v>4.5351067146033657</c:v>
                </c:pt>
                <c:pt idx="50">
                  <c:v>4.8242359967626678</c:v>
                </c:pt>
                <c:pt idx="51">
                  <c:v>5.1006078517427706</c:v>
                </c:pt>
                <c:pt idx="52">
                  <c:v>5.363491429349641</c:v>
                </c:pt>
                <c:pt idx="53">
                  <c:v>5.6121915483980755</c:v>
                </c:pt>
                <c:pt idx="54">
                  <c:v>5.846050535080173</c:v>
                </c:pt>
                <c:pt idx="55">
                  <c:v>6.064449962147596</c:v>
                </c:pt>
                <c:pt idx="56">
                  <c:v>6.2668122843084761</c:v>
                </c:pt>
                <c:pt idx="57">
                  <c:v>6.4526023655142239</c:v>
                </c:pt>
                <c:pt idx="58">
                  <c:v>6.6213288940974149</c:v>
                </c:pt>
                <c:pt idx="59">
                  <c:v>6.772545682018527</c:v>
                </c:pt>
                <c:pt idx="60">
                  <c:v>6.9058528447857004</c:v>
                </c:pt>
                <c:pt idx="61">
                  <c:v>7.020897858927321</c:v>
                </c:pt>
                <c:pt idx="62">
                  <c:v>7.1173764942209798</c:v>
                </c:pt>
                <c:pt idx="63">
                  <c:v>7.1950336182135937</c:v>
                </c:pt>
                <c:pt idx="64">
                  <c:v>7.2536638709051662</c:v>
                </c:pt>
                <c:pt idx="65">
                  <c:v>7.2931122078120278</c:v>
                </c:pt>
                <c:pt idx="66">
                  <c:v>7.3132743099734654</c:v>
                </c:pt>
                <c:pt idx="67">
                  <c:v>7.3140968598174769</c:v>
                </c:pt>
                <c:pt idx="68">
                  <c:v>7.2955776821561669</c:v>
                </c:pt>
                <c:pt idx="69">
                  <c:v>7.2577657499379162</c:v>
                </c:pt>
                <c:pt idx="70">
                  <c:v>7.2007610547411005</c:v>
                </c:pt>
                <c:pt idx="71">
                  <c:v>7.1247143423518597</c:v>
                </c:pt>
                <c:pt idx="72">
                  <c:v>7.0298267141251403</c:v>
                </c:pt>
              </c:numCache>
            </c:numRef>
          </c:xVal>
          <c:yVal>
            <c:numRef>
              <c:f>Hook!$AE$3:$AE$75</c:f>
              <c:numCache>
                <c:formatCode>.00\"</c:formatCode>
                <c:ptCount val="73"/>
                <c:pt idx="0">
                  <c:v>2.0266167103784181</c:v>
                </c:pt>
                <c:pt idx="1">
                  <c:v>1.6625535965189693</c:v>
                </c:pt>
                <c:pt idx="2">
                  <c:v>1.2940939509696654</c:v>
                </c:pt>
                <c:pt idx="3">
                  <c:v>0.92221214502986271</c:v>
                </c:pt>
                <c:pt idx="4">
                  <c:v>0.54789159971414902</c:v>
                </c:pt>
                <c:pt idx="5">
                  <c:v>0.17212218514947247</c:v>
                </c:pt>
                <c:pt idx="6">
                  <c:v>-0.20410239708205172</c:v>
                </c:pt>
                <c:pt idx="7">
                  <c:v>-0.57978724173240836</c:v>
                </c:pt>
                <c:pt idx="8">
                  <c:v>-0.95393887085997675</c:v>
                </c:pt>
                <c:pt idx="9">
                  <c:v>-1.3255678610273922</c:v>
                </c:pt>
                <c:pt idx="10">
                  <c:v>-1.6936914597774948</c:v>
                </c:pt>
                <c:pt idx="11">
                  <c:v>-2.0573361844682343</c:v>
                </c:pt>
                <c:pt idx="12">
                  <c:v>-2.4155403965940625</c:v>
                </c:pt>
                <c:pt idx="13">
                  <c:v>-2.7673568447861516</c:v>
                </c:pt>
                <c:pt idx="14">
                  <c:v>-3.1118551697666255</c:v>
                </c:pt>
                <c:pt idx="15">
                  <c:v>-3.4481243646325783</c:v>
                </c:pt>
                <c:pt idx="16">
                  <c:v>-3.7752751839638057</c:v>
                </c:pt>
                <c:pt idx="17">
                  <c:v>-4.0924424953834828</c:v>
                </c:pt>
                <c:pt idx="18">
                  <c:v>-4.3987875673532342</c:v>
                </c:pt>
                <c:pt idx="19">
                  <c:v>-4.6935002871526237</c:v>
                </c:pt>
                <c:pt idx="20">
                  <c:v>-4.9758013031777608</c:v>
                </c:pt>
                <c:pt idx="21">
                  <c:v>-5.2449440858938194</c:v>
                </c:pt>
                <c:pt idx="22">
                  <c:v>-5.500216901991398</c:v>
                </c:pt>
                <c:pt idx="23">
                  <c:v>-5.7409446965261735</c:v>
                </c:pt>
                <c:pt idx="24">
                  <c:v>-5.9664908780646337</c:v>
                </c:pt>
                <c:pt idx="25">
                  <c:v>-6.1762590021151622</c:v>
                </c:pt>
                <c:pt idx="26">
                  <c:v>-6.3696943483927457</c:v>
                </c:pt>
                <c:pt idx="27">
                  <c:v>-6.5462853877463099</c:v>
                </c:pt>
                <c:pt idx="28">
                  <c:v>-6.7055651348694596</c:v>
                </c:pt>
                <c:pt idx="29">
                  <c:v>-6.8471123832174898</c:v>
                </c:pt>
                <c:pt idx="30">
                  <c:v>-6.9705528188649577</c:v>
                </c:pt>
                <c:pt idx="31">
                  <c:v>-7.0755600103583021</c:v>
                </c:pt>
                <c:pt idx="32">
                  <c:v>-7.1618562719458989</c:v>
                </c:pt>
                <c:pt idx="33">
                  <c:v>-7.2292133979027851</c:v>
                </c:pt>
                <c:pt idx="34">
                  <c:v>-7.2774532660081626</c:v>
                </c:pt>
                <c:pt idx="35">
                  <c:v>-7.3064483085798324</c:v>
                </c:pt>
                <c:pt idx="36">
                  <c:v>-7.3161218498199236</c:v>
                </c:pt>
                <c:pt idx="37">
                  <c:v>-7.3064483085798324</c:v>
                </c:pt>
                <c:pt idx="38">
                  <c:v>-7.2774532660081626</c:v>
                </c:pt>
                <c:pt idx="39">
                  <c:v>-7.2292133979027851</c:v>
                </c:pt>
                <c:pt idx="40">
                  <c:v>-7.1618562719458989</c:v>
                </c:pt>
                <c:pt idx="41">
                  <c:v>-7.0755600103583021</c:v>
                </c:pt>
                <c:pt idx="42">
                  <c:v>-6.9705528188649577</c:v>
                </c:pt>
                <c:pt idx="43">
                  <c:v>-6.8471123832174907</c:v>
                </c:pt>
                <c:pt idx="44">
                  <c:v>-6.7055651348694587</c:v>
                </c:pt>
                <c:pt idx="45">
                  <c:v>-6.5462853877463081</c:v>
                </c:pt>
                <c:pt idx="46">
                  <c:v>-6.3696943483927466</c:v>
                </c:pt>
                <c:pt idx="47">
                  <c:v>-6.1762590021151613</c:v>
                </c:pt>
                <c:pt idx="48">
                  <c:v>-5.9664908780646329</c:v>
                </c:pt>
                <c:pt idx="49">
                  <c:v>-5.7409446965261708</c:v>
                </c:pt>
                <c:pt idx="50">
                  <c:v>-5.5002169019913936</c:v>
                </c:pt>
                <c:pt idx="51">
                  <c:v>-5.2449440858938141</c:v>
                </c:pt>
                <c:pt idx="52">
                  <c:v>-4.9758013031777537</c:v>
                </c:pt>
                <c:pt idx="53">
                  <c:v>-4.6935002871526192</c:v>
                </c:pt>
                <c:pt idx="54">
                  <c:v>-4.398787567353228</c:v>
                </c:pt>
                <c:pt idx="55">
                  <c:v>-4.0924424953834748</c:v>
                </c:pt>
                <c:pt idx="56">
                  <c:v>-3.7752751839637959</c:v>
                </c:pt>
                <c:pt idx="57">
                  <c:v>-3.4481243646325686</c:v>
                </c:pt>
                <c:pt idx="58">
                  <c:v>-3.1118551697666144</c:v>
                </c:pt>
                <c:pt idx="59">
                  <c:v>-2.7673568447861423</c:v>
                </c:pt>
                <c:pt idx="60">
                  <c:v>-2.4155403965940518</c:v>
                </c:pt>
                <c:pt idx="61">
                  <c:v>-2.0573361844682228</c:v>
                </c:pt>
                <c:pt idx="62">
                  <c:v>-1.6936914597774817</c:v>
                </c:pt>
                <c:pt idx="63">
                  <c:v>-1.325567861027378</c:v>
                </c:pt>
                <c:pt idx="64">
                  <c:v>-0.9539388708599611</c:v>
                </c:pt>
                <c:pt idx="65">
                  <c:v>-0.57978724173239471</c:v>
                </c:pt>
                <c:pt idx="66">
                  <c:v>-0.20410239708203703</c:v>
                </c:pt>
                <c:pt idx="67">
                  <c:v>0.17212218514948832</c:v>
                </c:pt>
                <c:pt idx="68">
                  <c:v>0.5478915997141659</c:v>
                </c:pt>
                <c:pt idx="69">
                  <c:v>0.92221214502988058</c:v>
                </c:pt>
                <c:pt idx="70">
                  <c:v>1.2940939509696845</c:v>
                </c:pt>
                <c:pt idx="71">
                  <c:v>1.6625535965189862</c:v>
                </c:pt>
                <c:pt idx="72">
                  <c:v>2.0266167103784172</c:v>
                </c:pt>
              </c:numCache>
            </c:numRef>
          </c:yVal>
          <c:smooth val="1"/>
        </c:ser>
        <c:axId val="123223424"/>
        <c:axId val="123262080"/>
      </c:scatterChart>
      <c:valAx>
        <c:axId val="123223424"/>
        <c:scaling>
          <c:orientation val="minMax"/>
        </c:scaling>
        <c:axPos val="b"/>
        <c:majorGridlines>
          <c:spPr>
            <a:ln>
              <a:solidFill>
                <a:sysClr val="windowText" lastClr="000000">
                  <a:alpha val="10000"/>
                </a:sysClr>
              </a:solidFill>
            </a:ln>
          </c:spPr>
        </c:majorGridlines>
        <c:numFmt formatCode="0" sourceLinked="0"/>
        <c:majorTickMark val="cross"/>
        <c:minorTickMark val="in"/>
        <c:tickLblPos val="nextTo"/>
        <c:crossAx val="123262080"/>
        <c:crossesAt val="-1000"/>
        <c:crossBetween val="midCat"/>
        <c:majorUnit val="1"/>
        <c:minorUnit val="0.5"/>
      </c:valAx>
      <c:valAx>
        <c:axId val="123262080"/>
        <c:scaling>
          <c:orientation val="minMax"/>
        </c:scaling>
        <c:axPos val="l"/>
        <c:majorGridlines>
          <c:spPr>
            <a:ln>
              <a:solidFill>
                <a:sysClr val="windowText" lastClr="000000">
                  <a:alpha val="10000"/>
                </a:sysClr>
              </a:solidFill>
            </a:ln>
          </c:spPr>
        </c:majorGridlines>
        <c:numFmt formatCode="0" sourceLinked="0"/>
        <c:majorTickMark val="cross"/>
        <c:minorTickMark val="in"/>
        <c:tickLblPos val="nextTo"/>
        <c:crossAx val="123223424"/>
        <c:crossesAt val="-1000"/>
        <c:crossBetween val="midCat"/>
        <c:majorUnit val="1"/>
        <c:minorUnit val="0.5"/>
      </c:valAx>
      <c:spPr>
        <a:solidFill>
          <a:srgbClr val="4F81BD">
            <a:alpha val="0"/>
          </a:srgbClr>
        </a:solidFill>
      </c:spPr>
    </c:plotArea>
    <c:plotVisOnly val="1"/>
  </c:chart>
  <c:spPr>
    <a:solidFill>
      <a:srgbClr val="4F81BD">
        <a:alpha val="0"/>
      </a:srgbClr>
    </a:solidFill>
    <a:ln>
      <a:solidFill>
        <a:srgbClr val="0000FF">
          <a:alpha val="20000"/>
        </a:srgbClr>
      </a:solidFill>
    </a:ln>
  </c:spPr>
  <c:printSettings>
    <c:headerFooter/>
    <c:pageMargins b="0.75000000000000311" l="0.70000000000000062" r="0.70000000000000062" t="0.750000000000003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8649389366427336E-2"/>
          <c:y val="2.8878496786886414E-2"/>
          <c:w val="0.91116795752413104"/>
          <c:h val="0.92503652779443157"/>
        </c:manualLayout>
      </c:layout>
      <c:scatterChart>
        <c:scatterStyle val="lineMarker"/>
        <c:ser>
          <c:idx val="3"/>
          <c:order val="0"/>
          <c:tx>
            <c:v>1.00</c:v>
          </c:tx>
          <c:spPr>
            <a:ln w="12700">
              <a:solidFill>
                <a:srgbClr val="FF6600"/>
              </a:solidFill>
            </a:ln>
          </c:spPr>
          <c:marker>
            <c:symbol val="none"/>
          </c:marker>
          <c:xVal>
            <c:numRef>
              <c:f>Dual!$V$7:$V$210</c:f>
              <c:numCache>
                <c:formatCode>0.0</c:formatCode>
                <c:ptCount val="204"/>
                <c:pt idx="0">
                  <c:v>-0.9329160378516449</c:v>
                </c:pt>
                <c:pt idx="1">
                  <c:v>-0.91452437187538305</c:v>
                </c:pt>
                <c:pt idx="4">
                  <c:v>-0.91452437187538305</c:v>
                </c:pt>
                <c:pt idx="5">
                  <c:v>-0.89401751536487639</c:v>
                </c:pt>
                <c:pt idx="8">
                  <c:v>-0.89401751536487639</c:v>
                </c:pt>
                <c:pt idx="9">
                  <c:v>-0.87144289833961042</c:v>
                </c:pt>
                <c:pt idx="12">
                  <c:v>-0.87144289833961042</c:v>
                </c:pt>
                <c:pt idx="13">
                  <c:v>-0.84685273331323085</c:v>
                </c:pt>
                <c:pt idx="16">
                  <c:v>-0.84685273331323085</c:v>
                </c:pt>
                <c:pt idx="17">
                  <c:v>-0.82030389453195685</c:v>
                </c:pt>
                <c:pt idx="20">
                  <c:v>-0.82030389453195685</c:v>
                </c:pt>
                <c:pt idx="21">
                  <c:v>-0.79185778643093707</c:v>
                </c:pt>
                <c:pt idx="24">
                  <c:v>-0.79185778643093707</c:v>
                </c:pt>
                <c:pt idx="25">
                  <c:v>-0.7615802016127996</c:v>
                </c:pt>
                <c:pt idx="28">
                  <c:v>-0.7615802016127996</c:v>
                </c:pt>
                <c:pt idx="29">
                  <c:v>-0.72954116867686458</c:v>
                </c:pt>
                <c:pt idx="32">
                  <c:v>-0.72954116867686458</c:v>
                </c:pt>
                <c:pt idx="33">
                  <c:v>-0.6958147902509858</c:v>
                </c:pt>
                <c:pt idx="36">
                  <c:v>-0.6958147902509858</c:v>
                </c:pt>
                <c:pt idx="37">
                  <c:v>-0.66047907160062691</c:v>
                </c:pt>
                <c:pt idx="40">
                  <c:v>-0.66047907160062691</c:v>
                </c:pt>
                <c:pt idx="41">
                  <c:v>-0.62361574021158073</c:v>
                </c:pt>
                <c:pt idx="44">
                  <c:v>-0.62361574021158073</c:v>
                </c:pt>
                <c:pt idx="45">
                  <c:v>-0.58531005676362047</c:v>
                </c:pt>
                <c:pt idx="48">
                  <c:v>-0.58531005676362047</c:v>
                </c:pt>
                <c:pt idx="49">
                  <c:v>-0.54565061793227299</c:v>
                </c:pt>
                <c:pt idx="52">
                  <c:v>-0.54565061793227299</c:v>
                </c:pt>
                <c:pt idx="53">
                  <c:v>-0.50472915147481845</c:v>
                </c:pt>
                <c:pt idx="56">
                  <c:v>-0.50472915147481845</c:v>
                </c:pt>
                <c:pt idx="57">
                  <c:v>-0.4626403040744505</c:v>
                </c:pt>
                <c:pt idx="60">
                  <c:v>-0.4626403040744505</c:v>
                </c:pt>
                <c:pt idx="61">
                  <c:v>-0.41948142243329734</c:v>
                </c:pt>
                <c:pt idx="64">
                  <c:v>-0.41948142243329734</c:v>
                </c:pt>
                <c:pt idx="65">
                  <c:v>-0.37535232812060837</c:v>
                </c:pt>
                <c:pt idx="68">
                  <c:v>-0.37535232812060837</c:v>
                </c:pt>
                <c:pt idx="69">
                  <c:v>-0.33035508669684843</c:v>
                </c:pt>
                <c:pt idx="72">
                  <c:v>-0.33035508669684843</c:v>
                </c:pt>
                <c:pt idx="73">
                  <c:v>-0.2845937716477045</c:v>
                </c:pt>
                <c:pt idx="76">
                  <c:v>-0.2845937716477045</c:v>
                </c:pt>
                <c:pt idx="77">
                  <c:v>-0.2381742236739855</c:v>
                </c:pt>
                <c:pt idx="80">
                  <c:v>-0.2381742236739855</c:v>
                </c:pt>
                <c:pt idx="81">
                  <c:v>-0.19120380589415809</c:v>
                </c:pt>
                <c:pt idx="84">
                  <c:v>-0.19120380589415809</c:v>
                </c:pt>
                <c:pt idx="85">
                  <c:v>-0.14379115552570232</c:v>
                </c:pt>
                <c:pt idx="88">
                  <c:v>-0.14379115552570232</c:v>
                </c:pt>
                <c:pt idx="89">
                  <c:v>-9.6045932619618926E-2</c:v>
                </c:pt>
                <c:pt idx="92">
                  <c:v>-9.6045932619618926E-2</c:v>
                </c:pt>
                <c:pt idx="93">
                  <c:v>-4.8078566429247592E-2</c:v>
                </c:pt>
                <c:pt idx="96">
                  <c:v>-4.8078566429247592E-2</c:v>
                </c:pt>
                <c:pt idx="97">
                  <c:v>1.22514845490862E-16</c:v>
                </c:pt>
                <c:pt idx="100">
                  <c:v>1.22514845490862E-16</c:v>
                </c:pt>
                <c:pt idx="101">
                  <c:v>4.8078566429248286E-2</c:v>
                </c:pt>
                <c:pt idx="104">
                  <c:v>4.8078566429248286E-2</c:v>
                </c:pt>
                <c:pt idx="105">
                  <c:v>9.6045932619618732E-2</c:v>
                </c:pt>
                <c:pt idx="108">
                  <c:v>9.6045932619618732E-2</c:v>
                </c:pt>
                <c:pt idx="109">
                  <c:v>0.14379115552570257</c:v>
                </c:pt>
                <c:pt idx="112">
                  <c:v>0.14379115552570257</c:v>
                </c:pt>
                <c:pt idx="113">
                  <c:v>0.19120380589415875</c:v>
                </c:pt>
                <c:pt idx="116">
                  <c:v>0.19120380589415875</c:v>
                </c:pt>
                <c:pt idx="117">
                  <c:v>0.23817422367398572</c:v>
                </c:pt>
                <c:pt idx="120">
                  <c:v>0.23817422367398572</c:v>
                </c:pt>
                <c:pt idx="121">
                  <c:v>0.28459377164770516</c:v>
                </c:pt>
                <c:pt idx="124">
                  <c:v>0.28459377164770516</c:v>
                </c:pt>
                <c:pt idx="125">
                  <c:v>0.33035508669684865</c:v>
                </c:pt>
                <c:pt idx="128">
                  <c:v>0.33035508669684865</c:v>
                </c:pt>
                <c:pt idx="129">
                  <c:v>0.37535232812060898</c:v>
                </c:pt>
                <c:pt idx="132">
                  <c:v>0.37535232812060898</c:v>
                </c:pt>
                <c:pt idx="133">
                  <c:v>0.41948142243329795</c:v>
                </c:pt>
                <c:pt idx="136">
                  <c:v>0.41948142243329795</c:v>
                </c:pt>
                <c:pt idx="137">
                  <c:v>0.46264030407445034</c:v>
                </c:pt>
                <c:pt idx="140">
                  <c:v>0.46264030407445034</c:v>
                </c:pt>
                <c:pt idx="141">
                  <c:v>0.504729151474819</c:v>
                </c:pt>
                <c:pt idx="144">
                  <c:v>0.504729151474819</c:v>
                </c:pt>
                <c:pt idx="145">
                  <c:v>0.54565061793227321</c:v>
                </c:pt>
                <c:pt idx="148">
                  <c:v>0.54565061793227321</c:v>
                </c:pt>
                <c:pt idx="149">
                  <c:v>0.58531005676362069</c:v>
                </c:pt>
                <c:pt idx="152">
                  <c:v>0.58531005676362069</c:v>
                </c:pt>
                <c:pt idx="153">
                  <c:v>0.62361574021158128</c:v>
                </c:pt>
                <c:pt idx="156">
                  <c:v>0.62361574021158128</c:v>
                </c:pt>
                <c:pt idx="157">
                  <c:v>0.66047907160062713</c:v>
                </c:pt>
                <c:pt idx="160">
                  <c:v>0.66047907160062713</c:v>
                </c:pt>
                <c:pt idx="161">
                  <c:v>0.69581479025098592</c:v>
                </c:pt>
                <c:pt idx="164">
                  <c:v>0.69581479025098592</c:v>
                </c:pt>
                <c:pt idx="165">
                  <c:v>0.72954116867686447</c:v>
                </c:pt>
                <c:pt idx="168">
                  <c:v>0.72954116867686447</c:v>
                </c:pt>
                <c:pt idx="169">
                  <c:v>0.76158020161280005</c:v>
                </c:pt>
                <c:pt idx="172">
                  <c:v>0.76158020161280005</c:v>
                </c:pt>
                <c:pt idx="173">
                  <c:v>0.79185778643093729</c:v>
                </c:pt>
                <c:pt idx="176">
                  <c:v>0.79185778643093729</c:v>
                </c:pt>
                <c:pt idx="177">
                  <c:v>0.82030389453195673</c:v>
                </c:pt>
                <c:pt idx="180">
                  <c:v>0.82030389453195673</c:v>
                </c:pt>
                <c:pt idx="181">
                  <c:v>0.84685273331323074</c:v>
                </c:pt>
                <c:pt idx="184">
                  <c:v>0.84685273331323074</c:v>
                </c:pt>
                <c:pt idx="185">
                  <c:v>0.87144289833961053</c:v>
                </c:pt>
                <c:pt idx="188">
                  <c:v>0.87144289833961053</c:v>
                </c:pt>
                <c:pt idx="189">
                  <c:v>0.8940175153648765</c:v>
                </c:pt>
                <c:pt idx="192">
                  <c:v>0.8940175153648765</c:v>
                </c:pt>
                <c:pt idx="193">
                  <c:v>0.91452437187538316</c:v>
                </c:pt>
                <c:pt idx="196">
                  <c:v>0.91452437187538316</c:v>
                </c:pt>
                <c:pt idx="197">
                  <c:v>0.93291603785164479</c:v>
                </c:pt>
                <c:pt idx="200">
                  <c:v>0.93291603785164479</c:v>
                </c:pt>
              </c:numCache>
            </c:numRef>
          </c:xVal>
          <c:yVal>
            <c:numRef>
              <c:f>Dual!$W$7:$W$210</c:f>
              <c:numCache>
                <c:formatCode>0.0</c:formatCode>
                <c:ptCount val="204"/>
                <c:pt idx="0">
                  <c:v>0.36009396873481281</c:v>
                </c:pt>
                <c:pt idx="1">
                  <c:v>0.40453080630025712</c:v>
                </c:pt>
                <c:pt idx="4">
                  <c:v>0.40453080630025712</c:v>
                </c:pt>
                <c:pt idx="5">
                  <c:v>0.44803201026356693</c:v>
                </c:pt>
                <c:pt idx="8">
                  <c:v>0.44803201026356693</c:v>
                </c:pt>
                <c:pt idx="9">
                  <c:v>0.4904969673030195</c:v>
                </c:pt>
                <c:pt idx="12">
                  <c:v>0.4904969673030195</c:v>
                </c:pt>
                <c:pt idx="13">
                  <c:v>0.53182746081780119</c:v>
                </c:pt>
                <c:pt idx="16">
                  <c:v>0.53182746081780119</c:v>
                </c:pt>
                <c:pt idx="17">
                  <c:v>0.57192789809179989</c:v>
                </c:pt>
                <c:pt idx="20">
                  <c:v>0.57192789809179989</c:v>
                </c:pt>
                <c:pt idx="21">
                  <c:v>0.61070553138865247</c:v>
                </c:pt>
                <c:pt idx="24">
                  <c:v>0.61070553138865247</c:v>
                </c:pt>
                <c:pt idx="25">
                  <c:v>0.64807067246667438</c:v>
                </c:pt>
                <c:pt idx="28">
                  <c:v>0.64807067246667438</c:v>
                </c:pt>
                <c:pt idx="29">
                  <c:v>0.68393690001753416</c:v>
                </c:pt>
                <c:pt idx="32">
                  <c:v>0.68393690001753416</c:v>
                </c:pt>
                <c:pt idx="33">
                  <c:v>0.71822125954887794</c:v>
                </c:pt>
                <c:pt idx="36">
                  <c:v>0.71822125954887794</c:v>
                </c:pt>
                <c:pt idx="37">
                  <c:v>0.75084445524860466</c:v>
                </c:pt>
                <c:pt idx="40">
                  <c:v>0.75084445524860466</c:v>
                </c:pt>
                <c:pt idx="41">
                  <c:v>0.78173103338703542</c:v>
                </c:pt>
                <c:pt idx="44">
                  <c:v>0.78173103338703542</c:v>
                </c:pt>
                <c:pt idx="45">
                  <c:v>0.81080955683277889</c:v>
                </c:pt>
                <c:pt idx="48">
                  <c:v>0.81080955683277889</c:v>
                </c:pt>
                <c:pt idx="49">
                  <c:v>0.83801277027866861</c:v>
                </c:pt>
                <c:pt idx="52">
                  <c:v>0.83801277027866861</c:v>
                </c:pt>
                <c:pt idx="53">
                  <c:v>0.86327775579561283</c:v>
                </c:pt>
                <c:pt idx="56">
                  <c:v>0.86327775579561283</c:v>
                </c:pt>
                <c:pt idx="57">
                  <c:v>0.88654607835458843</c:v>
                </c:pt>
                <c:pt idx="60">
                  <c:v>0.88654607835458843</c:v>
                </c:pt>
                <c:pt idx="61">
                  <c:v>0.90776392098019487</c:v>
                </c:pt>
                <c:pt idx="64">
                  <c:v>0.90776392098019487</c:v>
                </c:pt>
                <c:pt idx="65">
                  <c:v>0.92688220922317799</c:v>
                </c:pt>
                <c:pt idx="68">
                  <c:v>0.92688220922317799</c:v>
                </c:pt>
                <c:pt idx="69">
                  <c:v>0.94385672466403381</c:v>
                </c:pt>
                <c:pt idx="72">
                  <c:v>0.94385672466403381</c:v>
                </c:pt>
                <c:pt idx="73">
                  <c:v>0.95864820718516663</c:v>
                </c:pt>
                <c:pt idx="76">
                  <c:v>0.95864820718516663</c:v>
                </c:pt>
                <c:pt idx="77">
                  <c:v>0.97122244577506256</c:v>
                </c:pt>
                <c:pt idx="80">
                  <c:v>0.97122244577506256</c:v>
                </c:pt>
                <c:pt idx="81">
                  <c:v>0.98155035765445531</c:v>
                </c:pt>
                <c:pt idx="84">
                  <c:v>0.98155035765445531</c:v>
                </c:pt>
                <c:pt idx="85">
                  <c:v>0.98960805554147713</c:v>
                </c:pt>
                <c:pt idx="88">
                  <c:v>0.98960805554147713</c:v>
                </c:pt>
                <c:pt idx="89">
                  <c:v>0.99537690290021685</c:v>
                </c:pt>
                <c:pt idx="92">
                  <c:v>0.99537690290021685</c:v>
                </c:pt>
                <c:pt idx="93">
                  <c:v>0.99884355704490002</c:v>
                </c:pt>
                <c:pt idx="96">
                  <c:v>0.99884355704490002</c:v>
                </c:pt>
                <c:pt idx="97">
                  <c:v>1</c:v>
                </c:pt>
                <c:pt idx="100">
                  <c:v>1</c:v>
                </c:pt>
                <c:pt idx="101">
                  <c:v>0.99884355704490002</c:v>
                </c:pt>
                <c:pt idx="104">
                  <c:v>0.99884355704490002</c:v>
                </c:pt>
                <c:pt idx="105">
                  <c:v>0.99537690290021685</c:v>
                </c:pt>
                <c:pt idx="108">
                  <c:v>0.99537690290021685</c:v>
                </c:pt>
                <c:pt idx="109">
                  <c:v>0.98960805554147713</c:v>
                </c:pt>
                <c:pt idx="112">
                  <c:v>0.98960805554147713</c:v>
                </c:pt>
                <c:pt idx="113">
                  <c:v>0.9815503576544552</c:v>
                </c:pt>
                <c:pt idx="116">
                  <c:v>0.9815503576544552</c:v>
                </c:pt>
                <c:pt idx="117">
                  <c:v>0.97122244577506245</c:v>
                </c:pt>
                <c:pt idx="120">
                  <c:v>0.97122244577506245</c:v>
                </c:pt>
                <c:pt idx="121">
                  <c:v>0.95864820718516641</c:v>
                </c:pt>
                <c:pt idx="124">
                  <c:v>0.95864820718516641</c:v>
                </c:pt>
                <c:pt idx="125">
                  <c:v>0.9438567246640337</c:v>
                </c:pt>
                <c:pt idx="128">
                  <c:v>0.9438567246640337</c:v>
                </c:pt>
                <c:pt idx="129">
                  <c:v>0.92688220922317777</c:v>
                </c:pt>
                <c:pt idx="132">
                  <c:v>0.92688220922317777</c:v>
                </c:pt>
                <c:pt idx="133">
                  <c:v>0.90776392098019465</c:v>
                </c:pt>
                <c:pt idx="136">
                  <c:v>0.90776392098019465</c:v>
                </c:pt>
                <c:pt idx="137">
                  <c:v>0.88654607835458854</c:v>
                </c:pt>
                <c:pt idx="140">
                  <c:v>0.88654607835458854</c:v>
                </c:pt>
                <c:pt idx="141">
                  <c:v>0.8632777557956125</c:v>
                </c:pt>
                <c:pt idx="144">
                  <c:v>0.8632777557956125</c:v>
                </c:pt>
                <c:pt idx="145">
                  <c:v>0.8380127702786685</c:v>
                </c:pt>
                <c:pt idx="148">
                  <c:v>0.8380127702786685</c:v>
                </c:pt>
                <c:pt idx="149">
                  <c:v>0.81080955683277878</c:v>
                </c:pt>
                <c:pt idx="152">
                  <c:v>0.81080955683277878</c:v>
                </c:pt>
                <c:pt idx="153">
                  <c:v>0.78173103338703498</c:v>
                </c:pt>
                <c:pt idx="156">
                  <c:v>0.78173103338703498</c:v>
                </c:pt>
                <c:pt idx="157">
                  <c:v>0.75084445524860455</c:v>
                </c:pt>
                <c:pt idx="160">
                  <c:v>0.75084445524860455</c:v>
                </c:pt>
                <c:pt idx="161">
                  <c:v>0.71822125954887772</c:v>
                </c:pt>
                <c:pt idx="164">
                  <c:v>0.71822125954887772</c:v>
                </c:pt>
                <c:pt idx="165">
                  <c:v>0.68393690001753438</c:v>
                </c:pt>
                <c:pt idx="168">
                  <c:v>0.68393690001753438</c:v>
                </c:pt>
                <c:pt idx="169">
                  <c:v>0.64807067246667382</c:v>
                </c:pt>
                <c:pt idx="172">
                  <c:v>0.64807067246667382</c:v>
                </c:pt>
                <c:pt idx="173">
                  <c:v>0.61070553138865225</c:v>
                </c:pt>
                <c:pt idx="176">
                  <c:v>0.61070553138865225</c:v>
                </c:pt>
                <c:pt idx="177">
                  <c:v>0.5719278980918</c:v>
                </c:pt>
                <c:pt idx="180">
                  <c:v>0.5719278980918</c:v>
                </c:pt>
                <c:pt idx="181">
                  <c:v>0.5318274608178013</c:v>
                </c:pt>
                <c:pt idx="184">
                  <c:v>0.5318274608178013</c:v>
                </c:pt>
                <c:pt idx="185">
                  <c:v>0.49049696730301934</c:v>
                </c:pt>
                <c:pt idx="188">
                  <c:v>0.49049696730301934</c:v>
                </c:pt>
                <c:pt idx="189">
                  <c:v>0.4480320102635667</c:v>
                </c:pt>
                <c:pt idx="192">
                  <c:v>0.4480320102635667</c:v>
                </c:pt>
                <c:pt idx="193">
                  <c:v>0.40453080630025667</c:v>
                </c:pt>
                <c:pt idx="196">
                  <c:v>0.40453080630025667</c:v>
                </c:pt>
                <c:pt idx="197">
                  <c:v>0.36009396873481297</c:v>
                </c:pt>
                <c:pt idx="200">
                  <c:v>0.36009396873481297</c:v>
                </c:pt>
              </c:numCache>
            </c:numRef>
          </c:yVal>
          <c:smooth val="1"/>
        </c:ser>
        <c:ser>
          <c:idx val="4"/>
          <c:order val="1"/>
          <c:tx>
            <c:v>0.75</c:v>
          </c:tx>
          <c:spPr>
            <a:ln w="12700">
              <a:solidFill>
                <a:srgbClr val="FF6600"/>
              </a:solidFill>
            </a:ln>
          </c:spPr>
          <c:marker>
            <c:symbol val="none"/>
          </c:marker>
          <c:xVal>
            <c:numRef>
              <c:f>Dual!$X$7:$X$210</c:f>
              <c:numCache>
                <c:formatCode>0.0</c:formatCode>
                <c:ptCount val="204"/>
                <c:pt idx="0">
                  <c:v>-0.69968702838873365</c:v>
                </c:pt>
                <c:pt idx="1">
                  <c:v>-0.68589327890653728</c:v>
                </c:pt>
                <c:pt idx="4">
                  <c:v>-0.68589327890653728</c:v>
                </c:pt>
                <c:pt idx="5">
                  <c:v>-0.67051313652365729</c:v>
                </c:pt>
                <c:pt idx="8">
                  <c:v>-0.67051313652365729</c:v>
                </c:pt>
                <c:pt idx="9">
                  <c:v>-0.65358217375470784</c:v>
                </c:pt>
                <c:pt idx="12">
                  <c:v>-0.65358217375470784</c:v>
                </c:pt>
                <c:pt idx="13">
                  <c:v>-0.63513954998492317</c:v>
                </c:pt>
                <c:pt idx="16">
                  <c:v>-0.63513954998492317</c:v>
                </c:pt>
                <c:pt idx="17">
                  <c:v>-0.61522792089896761</c:v>
                </c:pt>
                <c:pt idx="20">
                  <c:v>-0.61522792089896761</c:v>
                </c:pt>
                <c:pt idx="21">
                  <c:v>-0.5938933398232028</c:v>
                </c:pt>
                <c:pt idx="24">
                  <c:v>-0.5938933398232028</c:v>
                </c:pt>
                <c:pt idx="25">
                  <c:v>-0.57118515120959967</c:v>
                </c:pt>
                <c:pt idx="28">
                  <c:v>-0.57118515120959967</c:v>
                </c:pt>
                <c:pt idx="29">
                  <c:v>-0.54715587650764841</c:v>
                </c:pt>
                <c:pt idx="32">
                  <c:v>-0.54715587650764841</c:v>
                </c:pt>
                <c:pt idx="33">
                  <c:v>-0.52186109268823933</c:v>
                </c:pt>
                <c:pt idx="36">
                  <c:v>-0.52186109268823933</c:v>
                </c:pt>
                <c:pt idx="37">
                  <c:v>-0.49535930370047021</c:v>
                </c:pt>
                <c:pt idx="40">
                  <c:v>-0.49535930370047021</c:v>
                </c:pt>
                <c:pt idx="41">
                  <c:v>-0.46771180515868555</c:v>
                </c:pt>
                <c:pt idx="44">
                  <c:v>-0.46771180515868555</c:v>
                </c:pt>
                <c:pt idx="45">
                  <c:v>-0.43898254257271535</c:v>
                </c:pt>
                <c:pt idx="48">
                  <c:v>-0.43898254257271535</c:v>
                </c:pt>
                <c:pt idx="49">
                  <c:v>-0.40923796344920471</c:v>
                </c:pt>
                <c:pt idx="52">
                  <c:v>-0.40923796344920471</c:v>
                </c:pt>
                <c:pt idx="53">
                  <c:v>-0.37854686360611384</c:v>
                </c:pt>
                <c:pt idx="56">
                  <c:v>-0.37854686360611384</c:v>
                </c:pt>
                <c:pt idx="57">
                  <c:v>-0.34698022805583789</c:v>
                </c:pt>
                <c:pt idx="60">
                  <c:v>-0.34698022805583789</c:v>
                </c:pt>
                <c:pt idx="61">
                  <c:v>-0.31461106682497297</c:v>
                </c:pt>
                <c:pt idx="64">
                  <c:v>-0.31461106682497297</c:v>
                </c:pt>
                <c:pt idx="65">
                  <c:v>-0.28151424609045628</c:v>
                </c:pt>
                <c:pt idx="68">
                  <c:v>-0.28151424609045628</c:v>
                </c:pt>
                <c:pt idx="69">
                  <c:v>-0.24776631502263632</c:v>
                </c:pt>
                <c:pt idx="72">
                  <c:v>-0.24776631502263632</c:v>
                </c:pt>
                <c:pt idx="73">
                  <c:v>-0.21344532873577837</c:v>
                </c:pt>
                <c:pt idx="76">
                  <c:v>-0.21344532873577837</c:v>
                </c:pt>
                <c:pt idx="77">
                  <c:v>-0.17863066775548914</c:v>
                </c:pt>
                <c:pt idx="80">
                  <c:v>-0.17863066775548914</c:v>
                </c:pt>
                <c:pt idx="81">
                  <c:v>-0.14340285442061856</c:v>
                </c:pt>
                <c:pt idx="84">
                  <c:v>-0.14340285442061856</c:v>
                </c:pt>
                <c:pt idx="85">
                  <c:v>-0.10784336664427674</c:v>
                </c:pt>
                <c:pt idx="88">
                  <c:v>-0.10784336664427674</c:v>
                </c:pt>
                <c:pt idx="89">
                  <c:v>-7.2034449464714198E-2</c:v>
                </c:pt>
                <c:pt idx="92">
                  <c:v>-7.2034449464714198E-2</c:v>
                </c:pt>
                <c:pt idx="93">
                  <c:v>-3.6058924821935692E-2</c:v>
                </c:pt>
                <c:pt idx="96">
                  <c:v>-3.6058924821935692E-2</c:v>
                </c:pt>
                <c:pt idx="97">
                  <c:v>9.1886134118146501E-17</c:v>
                </c:pt>
                <c:pt idx="100">
                  <c:v>9.1886134118146501E-17</c:v>
                </c:pt>
                <c:pt idx="101">
                  <c:v>3.6058924821936213E-2</c:v>
                </c:pt>
                <c:pt idx="104">
                  <c:v>3.6058924821936213E-2</c:v>
                </c:pt>
                <c:pt idx="105">
                  <c:v>7.2034449464714045E-2</c:v>
                </c:pt>
                <c:pt idx="108">
                  <c:v>7.2034449464714045E-2</c:v>
                </c:pt>
                <c:pt idx="109">
                  <c:v>0.10784336664427693</c:v>
                </c:pt>
                <c:pt idx="112">
                  <c:v>0.10784336664427693</c:v>
                </c:pt>
                <c:pt idx="113">
                  <c:v>0.14340285442061906</c:v>
                </c:pt>
                <c:pt idx="116">
                  <c:v>0.14340285442061906</c:v>
                </c:pt>
                <c:pt idx="117">
                  <c:v>0.1786306677554893</c:v>
                </c:pt>
                <c:pt idx="120">
                  <c:v>0.1786306677554893</c:v>
                </c:pt>
                <c:pt idx="121">
                  <c:v>0.21344532873577887</c:v>
                </c:pt>
                <c:pt idx="124">
                  <c:v>0.21344532873577887</c:v>
                </c:pt>
                <c:pt idx="125">
                  <c:v>0.24776631502263649</c:v>
                </c:pt>
                <c:pt idx="128">
                  <c:v>0.24776631502263649</c:v>
                </c:pt>
                <c:pt idx="129">
                  <c:v>0.28151424609045672</c:v>
                </c:pt>
                <c:pt idx="132">
                  <c:v>0.28151424609045672</c:v>
                </c:pt>
                <c:pt idx="133">
                  <c:v>0.31461106682497347</c:v>
                </c:pt>
                <c:pt idx="136">
                  <c:v>0.31461106682497347</c:v>
                </c:pt>
                <c:pt idx="137">
                  <c:v>0.34698022805583772</c:v>
                </c:pt>
                <c:pt idx="140">
                  <c:v>0.34698022805583772</c:v>
                </c:pt>
                <c:pt idx="141">
                  <c:v>0.37854686360611423</c:v>
                </c:pt>
                <c:pt idx="144">
                  <c:v>0.37854686360611423</c:v>
                </c:pt>
                <c:pt idx="145">
                  <c:v>0.40923796344920493</c:v>
                </c:pt>
                <c:pt idx="148">
                  <c:v>0.40923796344920493</c:v>
                </c:pt>
                <c:pt idx="149">
                  <c:v>0.43898254257271552</c:v>
                </c:pt>
                <c:pt idx="152">
                  <c:v>0.43898254257271552</c:v>
                </c:pt>
                <c:pt idx="153">
                  <c:v>0.46771180515868593</c:v>
                </c:pt>
                <c:pt idx="156">
                  <c:v>0.46771180515868593</c:v>
                </c:pt>
                <c:pt idx="157">
                  <c:v>0.49535930370047032</c:v>
                </c:pt>
                <c:pt idx="160">
                  <c:v>0.49535930370047032</c:v>
                </c:pt>
                <c:pt idx="161">
                  <c:v>0.52186109268823944</c:v>
                </c:pt>
                <c:pt idx="164">
                  <c:v>0.52186109268823944</c:v>
                </c:pt>
                <c:pt idx="165">
                  <c:v>0.5471558765076483</c:v>
                </c:pt>
                <c:pt idx="168">
                  <c:v>0.5471558765076483</c:v>
                </c:pt>
                <c:pt idx="169">
                  <c:v>0.57118515120960001</c:v>
                </c:pt>
                <c:pt idx="172">
                  <c:v>0.57118515120960001</c:v>
                </c:pt>
                <c:pt idx="173">
                  <c:v>0.59389333982320291</c:v>
                </c:pt>
                <c:pt idx="176">
                  <c:v>0.59389333982320291</c:v>
                </c:pt>
                <c:pt idx="177">
                  <c:v>0.6152279208989675</c:v>
                </c:pt>
                <c:pt idx="180">
                  <c:v>0.6152279208989675</c:v>
                </c:pt>
                <c:pt idx="181">
                  <c:v>0.63513954998492306</c:v>
                </c:pt>
                <c:pt idx="184">
                  <c:v>0.63513954998492306</c:v>
                </c:pt>
                <c:pt idx="185">
                  <c:v>0.65358217375470784</c:v>
                </c:pt>
                <c:pt idx="188">
                  <c:v>0.65358217375470784</c:v>
                </c:pt>
                <c:pt idx="189">
                  <c:v>0.6705131365236574</c:v>
                </c:pt>
                <c:pt idx="192">
                  <c:v>0.6705131365236574</c:v>
                </c:pt>
                <c:pt idx="193">
                  <c:v>0.6858932789065374</c:v>
                </c:pt>
                <c:pt idx="196">
                  <c:v>0.6858932789065374</c:v>
                </c:pt>
                <c:pt idx="197">
                  <c:v>0.69968702838873353</c:v>
                </c:pt>
                <c:pt idx="200">
                  <c:v>0.69968702838873353</c:v>
                </c:pt>
              </c:numCache>
            </c:numRef>
          </c:xVal>
          <c:yVal>
            <c:numRef>
              <c:f>Dual!$Y$7:$Y$210</c:f>
              <c:numCache>
                <c:formatCode>0.0</c:formatCode>
                <c:ptCount val="204"/>
                <c:pt idx="0">
                  <c:v>0.27007047655110961</c:v>
                </c:pt>
                <c:pt idx="1">
                  <c:v>0.30339810472519285</c:v>
                </c:pt>
                <c:pt idx="4">
                  <c:v>0.30339810472519285</c:v>
                </c:pt>
                <c:pt idx="5">
                  <c:v>0.33602400769767521</c:v>
                </c:pt>
                <c:pt idx="8">
                  <c:v>0.33602400769767521</c:v>
                </c:pt>
                <c:pt idx="9">
                  <c:v>0.36787272547726463</c:v>
                </c:pt>
                <c:pt idx="12">
                  <c:v>0.36787272547726463</c:v>
                </c:pt>
                <c:pt idx="13">
                  <c:v>0.39887059561335092</c:v>
                </c:pt>
                <c:pt idx="16">
                  <c:v>0.39887059561335092</c:v>
                </c:pt>
                <c:pt idx="17">
                  <c:v>0.42894592356884992</c:v>
                </c:pt>
                <c:pt idx="20">
                  <c:v>0.42894592356884992</c:v>
                </c:pt>
                <c:pt idx="21">
                  <c:v>0.45802914854148935</c:v>
                </c:pt>
                <c:pt idx="24">
                  <c:v>0.45802914854148935</c:v>
                </c:pt>
                <c:pt idx="25">
                  <c:v>0.48605300435000576</c:v>
                </c:pt>
                <c:pt idx="28">
                  <c:v>0.48605300435000576</c:v>
                </c:pt>
                <c:pt idx="29">
                  <c:v>0.51295267501315056</c:v>
                </c:pt>
                <c:pt idx="32">
                  <c:v>0.51295267501315056</c:v>
                </c:pt>
                <c:pt idx="33">
                  <c:v>0.5386659446616584</c:v>
                </c:pt>
                <c:pt idx="36">
                  <c:v>0.5386659446616584</c:v>
                </c:pt>
                <c:pt idx="37">
                  <c:v>0.56313334143645344</c:v>
                </c:pt>
                <c:pt idx="40">
                  <c:v>0.56313334143645344</c:v>
                </c:pt>
                <c:pt idx="41">
                  <c:v>0.58629827504027654</c:v>
                </c:pt>
                <c:pt idx="44">
                  <c:v>0.58629827504027654</c:v>
                </c:pt>
                <c:pt idx="45">
                  <c:v>0.60810716762458417</c:v>
                </c:pt>
                <c:pt idx="48">
                  <c:v>0.60810716762458417</c:v>
                </c:pt>
                <c:pt idx="49">
                  <c:v>0.62850957770900151</c:v>
                </c:pt>
                <c:pt idx="52">
                  <c:v>0.62850957770900151</c:v>
                </c:pt>
                <c:pt idx="53">
                  <c:v>0.64745831684670963</c:v>
                </c:pt>
                <c:pt idx="56">
                  <c:v>0.64745831684670963</c:v>
                </c:pt>
                <c:pt idx="57">
                  <c:v>0.66490955876594127</c:v>
                </c:pt>
                <c:pt idx="60">
                  <c:v>0.66490955876594127</c:v>
                </c:pt>
                <c:pt idx="61">
                  <c:v>0.68082294073514615</c:v>
                </c:pt>
                <c:pt idx="64">
                  <c:v>0.68082294073514615</c:v>
                </c:pt>
                <c:pt idx="65">
                  <c:v>0.69516165691738352</c:v>
                </c:pt>
                <c:pt idx="68">
                  <c:v>0.69516165691738352</c:v>
                </c:pt>
                <c:pt idx="69">
                  <c:v>0.70789254349802533</c:v>
                </c:pt>
                <c:pt idx="72">
                  <c:v>0.70789254349802533</c:v>
                </c:pt>
                <c:pt idx="73">
                  <c:v>0.718986155388875</c:v>
                </c:pt>
                <c:pt idx="76">
                  <c:v>0.718986155388875</c:v>
                </c:pt>
                <c:pt idx="77">
                  <c:v>0.72841683433129689</c:v>
                </c:pt>
                <c:pt idx="80">
                  <c:v>0.72841683433129689</c:v>
                </c:pt>
                <c:pt idx="81">
                  <c:v>0.73616276824084148</c:v>
                </c:pt>
                <c:pt idx="84">
                  <c:v>0.73616276824084148</c:v>
                </c:pt>
                <c:pt idx="85">
                  <c:v>0.74220604165610782</c:v>
                </c:pt>
                <c:pt idx="88">
                  <c:v>0.74220604165610782</c:v>
                </c:pt>
                <c:pt idx="89">
                  <c:v>0.74653267717516258</c:v>
                </c:pt>
                <c:pt idx="92">
                  <c:v>0.74653267717516258</c:v>
                </c:pt>
                <c:pt idx="93">
                  <c:v>0.74913266778367504</c:v>
                </c:pt>
                <c:pt idx="96">
                  <c:v>0.74913266778367504</c:v>
                </c:pt>
                <c:pt idx="97">
                  <c:v>0.75</c:v>
                </c:pt>
                <c:pt idx="100">
                  <c:v>0.75</c:v>
                </c:pt>
                <c:pt idx="101">
                  <c:v>0.74913266778367504</c:v>
                </c:pt>
                <c:pt idx="104">
                  <c:v>0.74913266778367504</c:v>
                </c:pt>
                <c:pt idx="105">
                  <c:v>0.74653267717516258</c:v>
                </c:pt>
                <c:pt idx="108">
                  <c:v>0.74653267717516258</c:v>
                </c:pt>
                <c:pt idx="109">
                  <c:v>0.74220604165610782</c:v>
                </c:pt>
                <c:pt idx="112">
                  <c:v>0.74220604165610782</c:v>
                </c:pt>
                <c:pt idx="113">
                  <c:v>0.73616276824084137</c:v>
                </c:pt>
                <c:pt idx="116">
                  <c:v>0.73616276824084137</c:v>
                </c:pt>
                <c:pt idx="117">
                  <c:v>0.72841683433129689</c:v>
                </c:pt>
                <c:pt idx="120">
                  <c:v>0.72841683433129689</c:v>
                </c:pt>
                <c:pt idx="121">
                  <c:v>0.71898615538887478</c:v>
                </c:pt>
                <c:pt idx="124">
                  <c:v>0.71898615538887478</c:v>
                </c:pt>
                <c:pt idx="125">
                  <c:v>0.70789254349802522</c:v>
                </c:pt>
                <c:pt idx="128">
                  <c:v>0.70789254349802522</c:v>
                </c:pt>
                <c:pt idx="129">
                  <c:v>0.6951616569173833</c:v>
                </c:pt>
                <c:pt idx="132">
                  <c:v>0.6951616569173833</c:v>
                </c:pt>
                <c:pt idx="133">
                  <c:v>0.68082294073514604</c:v>
                </c:pt>
                <c:pt idx="136">
                  <c:v>0.68082294073514604</c:v>
                </c:pt>
                <c:pt idx="137">
                  <c:v>0.66490955876594138</c:v>
                </c:pt>
                <c:pt idx="140">
                  <c:v>0.66490955876594138</c:v>
                </c:pt>
                <c:pt idx="141">
                  <c:v>0.6474583168467094</c:v>
                </c:pt>
                <c:pt idx="144">
                  <c:v>0.6474583168467094</c:v>
                </c:pt>
                <c:pt idx="145">
                  <c:v>0.6285095777090014</c:v>
                </c:pt>
                <c:pt idx="148">
                  <c:v>0.6285095777090014</c:v>
                </c:pt>
                <c:pt idx="149">
                  <c:v>0.60810716762458406</c:v>
                </c:pt>
                <c:pt idx="152">
                  <c:v>0.60810716762458406</c:v>
                </c:pt>
                <c:pt idx="153">
                  <c:v>0.58629827504027621</c:v>
                </c:pt>
                <c:pt idx="156">
                  <c:v>0.58629827504027621</c:v>
                </c:pt>
                <c:pt idx="157">
                  <c:v>0.56313334143645344</c:v>
                </c:pt>
                <c:pt idx="160">
                  <c:v>0.56313334143645344</c:v>
                </c:pt>
                <c:pt idx="161">
                  <c:v>0.53866594466165829</c:v>
                </c:pt>
                <c:pt idx="164">
                  <c:v>0.53866594466165829</c:v>
                </c:pt>
                <c:pt idx="165">
                  <c:v>0.51295267501315078</c:v>
                </c:pt>
                <c:pt idx="168">
                  <c:v>0.51295267501315078</c:v>
                </c:pt>
                <c:pt idx="169">
                  <c:v>0.48605300435000537</c:v>
                </c:pt>
                <c:pt idx="172">
                  <c:v>0.48605300435000537</c:v>
                </c:pt>
                <c:pt idx="173">
                  <c:v>0.45802914854148918</c:v>
                </c:pt>
                <c:pt idx="176">
                  <c:v>0.45802914854148918</c:v>
                </c:pt>
                <c:pt idx="177">
                  <c:v>0.42894592356884997</c:v>
                </c:pt>
                <c:pt idx="180">
                  <c:v>0.42894592356884997</c:v>
                </c:pt>
                <c:pt idx="181">
                  <c:v>0.39887059561335098</c:v>
                </c:pt>
                <c:pt idx="184">
                  <c:v>0.39887059561335098</c:v>
                </c:pt>
                <c:pt idx="185">
                  <c:v>0.36787272547726452</c:v>
                </c:pt>
                <c:pt idx="188">
                  <c:v>0.36787272547726452</c:v>
                </c:pt>
                <c:pt idx="189">
                  <c:v>0.33602400769767504</c:v>
                </c:pt>
                <c:pt idx="192">
                  <c:v>0.33602400769767504</c:v>
                </c:pt>
                <c:pt idx="193">
                  <c:v>0.30339810472519252</c:v>
                </c:pt>
                <c:pt idx="196">
                  <c:v>0.30339810472519252</c:v>
                </c:pt>
                <c:pt idx="197">
                  <c:v>0.27007047655110972</c:v>
                </c:pt>
                <c:pt idx="200">
                  <c:v>0.27007047655110972</c:v>
                </c:pt>
              </c:numCache>
            </c:numRef>
          </c:yVal>
          <c:smooth val="1"/>
        </c:ser>
        <c:ser>
          <c:idx val="5"/>
          <c:order val="2"/>
          <c:tx>
            <c:v>0.50</c:v>
          </c:tx>
          <c:spPr>
            <a:ln w="12700">
              <a:solidFill>
                <a:srgbClr val="FF6600"/>
              </a:solidFill>
            </a:ln>
          </c:spPr>
          <c:marker>
            <c:symbol val="none"/>
          </c:marker>
          <c:xVal>
            <c:numRef>
              <c:f>Dual!$Z$7:$Z$210</c:f>
              <c:numCache>
                <c:formatCode>0.0</c:formatCode>
                <c:ptCount val="204"/>
                <c:pt idx="0">
                  <c:v>-0.46645801892582245</c:v>
                </c:pt>
                <c:pt idx="1">
                  <c:v>-0.45726218593769152</c:v>
                </c:pt>
                <c:pt idx="4">
                  <c:v>-0.45726218593769152</c:v>
                </c:pt>
                <c:pt idx="5">
                  <c:v>-0.4470087576824382</c:v>
                </c:pt>
                <c:pt idx="8">
                  <c:v>-0.4470087576824382</c:v>
                </c:pt>
                <c:pt idx="9">
                  <c:v>-0.43572144916980521</c:v>
                </c:pt>
                <c:pt idx="12">
                  <c:v>-0.43572144916980521</c:v>
                </c:pt>
                <c:pt idx="13">
                  <c:v>-0.42342636665661543</c:v>
                </c:pt>
                <c:pt idx="16">
                  <c:v>-0.42342636665661543</c:v>
                </c:pt>
                <c:pt idx="17">
                  <c:v>-0.41015194726597842</c:v>
                </c:pt>
                <c:pt idx="20">
                  <c:v>-0.41015194726597842</c:v>
                </c:pt>
                <c:pt idx="21">
                  <c:v>-0.39592889321546854</c:v>
                </c:pt>
                <c:pt idx="24">
                  <c:v>-0.39592889321546854</c:v>
                </c:pt>
                <c:pt idx="25">
                  <c:v>-0.3807901008063998</c:v>
                </c:pt>
                <c:pt idx="28">
                  <c:v>-0.3807901008063998</c:v>
                </c:pt>
                <c:pt idx="29">
                  <c:v>-0.36477058433843229</c:v>
                </c:pt>
                <c:pt idx="32">
                  <c:v>-0.36477058433843229</c:v>
                </c:pt>
                <c:pt idx="33">
                  <c:v>-0.3479073951254929</c:v>
                </c:pt>
                <c:pt idx="36">
                  <c:v>-0.3479073951254929</c:v>
                </c:pt>
                <c:pt idx="37">
                  <c:v>-0.33023953580031346</c:v>
                </c:pt>
                <c:pt idx="40">
                  <c:v>-0.33023953580031346</c:v>
                </c:pt>
                <c:pt idx="41">
                  <c:v>-0.31180787010579036</c:v>
                </c:pt>
                <c:pt idx="44">
                  <c:v>-0.31180787010579036</c:v>
                </c:pt>
                <c:pt idx="45">
                  <c:v>-0.29265502838181023</c:v>
                </c:pt>
                <c:pt idx="48">
                  <c:v>-0.29265502838181023</c:v>
                </c:pt>
                <c:pt idx="49">
                  <c:v>-0.27282530896613649</c:v>
                </c:pt>
                <c:pt idx="52">
                  <c:v>-0.27282530896613649</c:v>
                </c:pt>
                <c:pt idx="53">
                  <c:v>-0.25236457573740922</c:v>
                </c:pt>
                <c:pt idx="56">
                  <c:v>-0.25236457573740922</c:v>
                </c:pt>
                <c:pt idx="57">
                  <c:v>-0.23132015203722525</c:v>
                </c:pt>
                <c:pt idx="60">
                  <c:v>-0.23132015203722525</c:v>
                </c:pt>
                <c:pt idx="61">
                  <c:v>-0.20974071121664867</c:v>
                </c:pt>
                <c:pt idx="64">
                  <c:v>-0.20974071121664867</c:v>
                </c:pt>
                <c:pt idx="65">
                  <c:v>-0.18767616406030418</c:v>
                </c:pt>
                <c:pt idx="68">
                  <c:v>-0.18767616406030418</c:v>
                </c:pt>
                <c:pt idx="69">
                  <c:v>-0.16517754334842422</c:v>
                </c:pt>
                <c:pt idx="72">
                  <c:v>-0.16517754334842422</c:v>
                </c:pt>
                <c:pt idx="73">
                  <c:v>-0.14229688582385225</c:v>
                </c:pt>
                <c:pt idx="76">
                  <c:v>-0.14229688582385225</c:v>
                </c:pt>
                <c:pt idx="77">
                  <c:v>-0.11908711183699275</c:v>
                </c:pt>
                <c:pt idx="80">
                  <c:v>-0.11908711183699275</c:v>
                </c:pt>
                <c:pt idx="81">
                  <c:v>-9.5601902947079043E-2</c:v>
                </c:pt>
                <c:pt idx="84">
                  <c:v>-9.5601902947079043E-2</c:v>
                </c:pt>
                <c:pt idx="85">
                  <c:v>-7.1895577762851159E-2</c:v>
                </c:pt>
                <c:pt idx="88">
                  <c:v>-7.1895577762851159E-2</c:v>
                </c:pt>
                <c:pt idx="89">
                  <c:v>-4.8022966309809463E-2</c:v>
                </c:pt>
                <c:pt idx="92">
                  <c:v>-4.8022966309809463E-2</c:v>
                </c:pt>
                <c:pt idx="93">
                  <c:v>-2.4039283214623796E-2</c:v>
                </c:pt>
                <c:pt idx="96">
                  <c:v>-2.4039283214623796E-2</c:v>
                </c:pt>
                <c:pt idx="97">
                  <c:v>6.1257422745431001E-17</c:v>
                </c:pt>
                <c:pt idx="100">
                  <c:v>6.1257422745431001E-17</c:v>
                </c:pt>
                <c:pt idx="101">
                  <c:v>2.4039283214624143E-2</c:v>
                </c:pt>
                <c:pt idx="104">
                  <c:v>2.4039283214624143E-2</c:v>
                </c:pt>
                <c:pt idx="105">
                  <c:v>4.8022966309809366E-2</c:v>
                </c:pt>
                <c:pt idx="108">
                  <c:v>4.8022966309809366E-2</c:v>
                </c:pt>
                <c:pt idx="109">
                  <c:v>7.1895577762851284E-2</c:v>
                </c:pt>
                <c:pt idx="112">
                  <c:v>7.1895577762851284E-2</c:v>
                </c:pt>
                <c:pt idx="113">
                  <c:v>9.5601902947079376E-2</c:v>
                </c:pt>
                <c:pt idx="116">
                  <c:v>9.5601902947079376E-2</c:v>
                </c:pt>
                <c:pt idx="117">
                  <c:v>0.11908711183699286</c:v>
                </c:pt>
                <c:pt idx="120">
                  <c:v>0.11908711183699286</c:v>
                </c:pt>
                <c:pt idx="121">
                  <c:v>0.14229688582385258</c:v>
                </c:pt>
                <c:pt idx="124">
                  <c:v>0.14229688582385258</c:v>
                </c:pt>
                <c:pt idx="125">
                  <c:v>0.16517754334842433</c:v>
                </c:pt>
                <c:pt idx="128">
                  <c:v>0.16517754334842433</c:v>
                </c:pt>
                <c:pt idx="129">
                  <c:v>0.18767616406030449</c:v>
                </c:pt>
                <c:pt idx="132">
                  <c:v>0.18767616406030449</c:v>
                </c:pt>
                <c:pt idx="133">
                  <c:v>0.20974071121664897</c:v>
                </c:pt>
                <c:pt idx="136">
                  <c:v>0.20974071121664897</c:v>
                </c:pt>
                <c:pt idx="137">
                  <c:v>0.23132015203722517</c:v>
                </c:pt>
                <c:pt idx="140">
                  <c:v>0.23132015203722517</c:v>
                </c:pt>
                <c:pt idx="141">
                  <c:v>0.2523645757374095</c:v>
                </c:pt>
                <c:pt idx="144">
                  <c:v>0.2523645757374095</c:v>
                </c:pt>
                <c:pt idx="145">
                  <c:v>0.2728253089661366</c:v>
                </c:pt>
                <c:pt idx="148">
                  <c:v>0.2728253089661366</c:v>
                </c:pt>
                <c:pt idx="149">
                  <c:v>0.29265502838181034</c:v>
                </c:pt>
                <c:pt idx="152">
                  <c:v>0.29265502838181034</c:v>
                </c:pt>
                <c:pt idx="153">
                  <c:v>0.31180787010579064</c:v>
                </c:pt>
                <c:pt idx="156">
                  <c:v>0.31180787010579064</c:v>
                </c:pt>
                <c:pt idx="157">
                  <c:v>0.33023953580031357</c:v>
                </c:pt>
                <c:pt idx="160">
                  <c:v>0.33023953580031357</c:v>
                </c:pt>
                <c:pt idx="161">
                  <c:v>0.34790739512549296</c:v>
                </c:pt>
                <c:pt idx="164">
                  <c:v>0.34790739512549296</c:v>
                </c:pt>
                <c:pt idx="165">
                  <c:v>0.36477058433843224</c:v>
                </c:pt>
                <c:pt idx="168">
                  <c:v>0.36477058433843224</c:v>
                </c:pt>
                <c:pt idx="169">
                  <c:v>0.38079010080640002</c:v>
                </c:pt>
                <c:pt idx="172">
                  <c:v>0.38079010080640002</c:v>
                </c:pt>
                <c:pt idx="173">
                  <c:v>0.39592889321546865</c:v>
                </c:pt>
                <c:pt idx="176">
                  <c:v>0.39592889321546865</c:v>
                </c:pt>
                <c:pt idx="177">
                  <c:v>0.41015194726597837</c:v>
                </c:pt>
                <c:pt idx="180">
                  <c:v>0.41015194726597837</c:v>
                </c:pt>
                <c:pt idx="181">
                  <c:v>0.42342636665661537</c:v>
                </c:pt>
                <c:pt idx="184">
                  <c:v>0.42342636665661537</c:v>
                </c:pt>
                <c:pt idx="185">
                  <c:v>0.43572144916980526</c:v>
                </c:pt>
                <c:pt idx="188">
                  <c:v>0.43572144916980526</c:v>
                </c:pt>
                <c:pt idx="189">
                  <c:v>0.44700875768243825</c:v>
                </c:pt>
                <c:pt idx="192">
                  <c:v>0.44700875768243825</c:v>
                </c:pt>
                <c:pt idx="193">
                  <c:v>0.45726218593769158</c:v>
                </c:pt>
                <c:pt idx="196">
                  <c:v>0.45726218593769158</c:v>
                </c:pt>
                <c:pt idx="197">
                  <c:v>0.46645801892582239</c:v>
                </c:pt>
                <c:pt idx="200">
                  <c:v>0.46645801892582239</c:v>
                </c:pt>
              </c:numCache>
            </c:numRef>
          </c:xVal>
          <c:yVal>
            <c:numRef>
              <c:f>Dual!$AA$7:$AA$210</c:f>
              <c:numCache>
                <c:formatCode>0.0</c:formatCode>
                <c:ptCount val="204"/>
                <c:pt idx="0">
                  <c:v>0.1800469843674064</c:v>
                </c:pt>
                <c:pt idx="1">
                  <c:v>0.20226540315012856</c:v>
                </c:pt>
                <c:pt idx="4">
                  <c:v>0.20226540315012856</c:v>
                </c:pt>
                <c:pt idx="5">
                  <c:v>0.22401600513178346</c:v>
                </c:pt>
                <c:pt idx="8">
                  <c:v>0.22401600513178346</c:v>
                </c:pt>
                <c:pt idx="9">
                  <c:v>0.24524848365150975</c:v>
                </c:pt>
                <c:pt idx="12">
                  <c:v>0.24524848365150975</c:v>
                </c:pt>
                <c:pt idx="13">
                  <c:v>0.26591373040890059</c:v>
                </c:pt>
                <c:pt idx="16">
                  <c:v>0.26591373040890059</c:v>
                </c:pt>
                <c:pt idx="17">
                  <c:v>0.28596394904589995</c:v>
                </c:pt>
                <c:pt idx="20">
                  <c:v>0.28596394904589995</c:v>
                </c:pt>
                <c:pt idx="21">
                  <c:v>0.30535276569432623</c:v>
                </c:pt>
                <c:pt idx="24">
                  <c:v>0.30535276569432623</c:v>
                </c:pt>
                <c:pt idx="25">
                  <c:v>0.32403533623333719</c:v>
                </c:pt>
                <c:pt idx="28">
                  <c:v>0.32403533623333719</c:v>
                </c:pt>
                <c:pt idx="29">
                  <c:v>0.34196845000876708</c:v>
                </c:pt>
                <c:pt idx="32">
                  <c:v>0.34196845000876708</c:v>
                </c:pt>
                <c:pt idx="33">
                  <c:v>0.35911062977443897</c:v>
                </c:pt>
                <c:pt idx="36">
                  <c:v>0.35911062977443897</c:v>
                </c:pt>
                <c:pt idx="37">
                  <c:v>0.37542222762430233</c:v>
                </c:pt>
                <c:pt idx="40">
                  <c:v>0.37542222762430233</c:v>
                </c:pt>
                <c:pt idx="41">
                  <c:v>0.39086551669351771</c:v>
                </c:pt>
                <c:pt idx="44">
                  <c:v>0.39086551669351771</c:v>
                </c:pt>
                <c:pt idx="45">
                  <c:v>0.40540477841638944</c:v>
                </c:pt>
                <c:pt idx="48">
                  <c:v>0.40540477841638944</c:v>
                </c:pt>
                <c:pt idx="49">
                  <c:v>0.4190063851393343</c:v>
                </c:pt>
                <c:pt idx="52">
                  <c:v>0.4190063851393343</c:v>
                </c:pt>
                <c:pt idx="53">
                  <c:v>0.43163887789780642</c:v>
                </c:pt>
                <c:pt idx="56">
                  <c:v>0.43163887789780642</c:v>
                </c:pt>
                <c:pt idx="57">
                  <c:v>0.44327303917729421</c:v>
                </c:pt>
                <c:pt idx="60">
                  <c:v>0.44327303917729421</c:v>
                </c:pt>
                <c:pt idx="61">
                  <c:v>0.45388196049009744</c:v>
                </c:pt>
                <c:pt idx="64">
                  <c:v>0.45388196049009744</c:v>
                </c:pt>
                <c:pt idx="65">
                  <c:v>0.46344110461158899</c:v>
                </c:pt>
                <c:pt idx="68">
                  <c:v>0.46344110461158899</c:v>
                </c:pt>
                <c:pt idx="69">
                  <c:v>0.4719283623320169</c:v>
                </c:pt>
                <c:pt idx="72">
                  <c:v>0.4719283623320169</c:v>
                </c:pt>
                <c:pt idx="73">
                  <c:v>0.47932410359258332</c:v>
                </c:pt>
                <c:pt idx="76">
                  <c:v>0.47932410359258332</c:v>
                </c:pt>
                <c:pt idx="77">
                  <c:v>0.48561122288753128</c:v>
                </c:pt>
                <c:pt idx="80">
                  <c:v>0.48561122288753128</c:v>
                </c:pt>
                <c:pt idx="81">
                  <c:v>0.49077517882722765</c:v>
                </c:pt>
                <c:pt idx="84">
                  <c:v>0.49077517882722765</c:v>
                </c:pt>
                <c:pt idx="85">
                  <c:v>0.49480402777073856</c:v>
                </c:pt>
                <c:pt idx="88">
                  <c:v>0.49480402777073856</c:v>
                </c:pt>
                <c:pt idx="89">
                  <c:v>0.49768845145010843</c:v>
                </c:pt>
                <c:pt idx="92">
                  <c:v>0.49768845145010843</c:v>
                </c:pt>
                <c:pt idx="93">
                  <c:v>0.49942177852245001</c:v>
                </c:pt>
                <c:pt idx="96">
                  <c:v>0.49942177852245001</c:v>
                </c:pt>
                <c:pt idx="97">
                  <c:v>0.5</c:v>
                </c:pt>
                <c:pt idx="100">
                  <c:v>0.5</c:v>
                </c:pt>
                <c:pt idx="101">
                  <c:v>0.49942177852245001</c:v>
                </c:pt>
                <c:pt idx="104">
                  <c:v>0.49942177852245001</c:v>
                </c:pt>
                <c:pt idx="105">
                  <c:v>0.49768845145010843</c:v>
                </c:pt>
                <c:pt idx="108">
                  <c:v>0.49768845145010843</c:v>
                </c:pt>
                <c:pt idx="109">
                  <c:v>0.49480402777073856</c:v>
                </c:pt>
                <c:pt idx="112">
                  <c:v>0.49480402777073856</c:v>
                </c:pt>
                <c:pt idx="113">
                  <c:v>0.4907751788272276</c:v>
                </c:pt>
                <c:pt idx="116">
                  <c:v>0.4907751788272276</c:v>
                </c:pt>
                <c:pt idx="117">
                  <c:v>0.48561122288753122</c:v>
                </c:pt>
                <c:pt idx="120">
                  <c:v>0.48561122288753122</c:v>
                </c:pt>
                <c:pt idx="121">
                  <c:v>0.47932410359258321</c:v>
                </c:pt>
                <c:pt idx="124">
                  <c:v>0.47932410359258321</c:v>
                </c:pt>
                <c:pt idx="125">
                  <c:v>0.47192836233201685</c:v>
                </c:pt>
                <c:pt idx="128">
                  <c:v>0.47192836233201685</c:v>
                </c:pt>
                <c:pt idx="129">
                  <c:v>0.46344110461158888</c:v>
                </c:pt>
                <c:pt idx="132">
                  <c:v>0.46344110461158888</c:v>
                </c:pt>
                <c:pt idx="133">
                  <c:v>0.45388196049009732</c:v>
                </c:pt>
                <c:pt idx="136">
                  <c:v>0.45388196049009732</c:v>
                </c:pt>
                <c:pt idx="137">
                  <c:v>0.44327303917729427</c:v>
                </c:pt>
                <c:pt idx="140">
                  <c:v>0.44327303917729427</c:v>
                </c:pt>
                <c:pt idx="141">
                  <c:v>0.43163887789780625</c:v>
                </c:pt>
                <c:pt idx="144">
                  <c:v>0.43163887789780625</c:v>
                </c:pt>
                <c:pt idx="145">
                  <c:v>0.41900638513933425</c:v>
                </c:pt>
                <c:pt idx="148">
                  <c:v>0.41900638513933425</c:v>
                </c:pt>
                <c:pt idx="149">
                  <c:v>0.40540477841638939</c:v>
                </c:pt>
                <c:pt idx="152">
                  <c:v>0.40540477841638939</c:v>
                </c:pt>
                <c:pt idx="153">
                  <c:v>0.39086551669351749</c:v>
                </c:pt>
                <c:pt idx="156">
                  <c:v>0.39086551669351749</c:v>
                </c:pt>
                <c:pt idx="157">
                  <c:v>0.37542222762430227</c:v>
                </c:pt>
                <c:pt idx="160">
                  <c:v>0.37542222762430227</c:v>
                </c:pt>
                <c:pt idx="161">
                  <c:v>0.35911062977443886</c:v>
                </c:pt>
                <c:pt idx="164">
                  <c:v>0.35911062977443886</c:v>
                </c:pt>
                <c:pt idx="165">
                  <c:v>0.34196845000876719</c:v>
                </c:pt>
                <c:pt idx="168">
                  <c:v>0.34196845000876719</c:v>
                </c:pt>
                <c:pt idx="169">
                  <c:v>0.32403533623333691</c:v>
                </c:pt>
                <c:pt idx="172">
                  <c:v>0.32403533623333691</c:v>
                </c:pt>
                <c:pt idx="173">
                  <c:v>0.30535276569432612</c:v>
                </c:pt>
                <c:pt idx="176">
                  <c:v>0.30535276569432612</c:v>
                </c:pt>
                <c:pt idx="177">
                  <c:v>0.2859639490459</c:v>
                </c:pt>
                <c:pt idx="180">
                  <c:v>0.2859639490459</c:v>
                </c:pt>
                <c:pt idx="181">
                  <c:v>0.26591373040890065</c:v>
                </c:pt>
                <c:pt idx="184">
                  <c:v>0.26591373040890065</c:v>
                </c:pt>
                <c:pt idx="185">
                  <c:v>0.24524848365150967</c:v>
                </c:pt>
                <c:pt idx="188">
                  <c:v>0.24524848365150967</c:v>
                </c:pt>
                <c:pt idx="189">
                  <c:v>0.22401600513178335</c:v>
                </c:pt>
                <c:pt idx="192">
                  <c:v>0.22401600513178335</c:v>
                </c:pt>
                <c:pt idx="193">
                  <c:v>0.20226540315012834</c:v>
                </c:pt>
                <c:pt idx="196">
                  <c:v>0.20226540315012834</c:v>
                </c:pt>
                <c:pt idx="197">
                  <c:v>0.18004698436740649</c:v>
                </c:pt>
                <c:pt idx="200">
                  <c:v>0.18004698436740649</c:v>
                </c:pt>
              </c:numCache>
            </c:numRef>
          </c:yVal>
          <c:smooth val="1"/>
        </c:ser>
        <c:ser>
          <c:idx val="6"/>
          <c:order val="3"/>
          <c:tx>
            <c:v>0.25</c:v>
          </c:tx>
          <c:spPr>
            <a:ln w="12700">
              <a:solidFill>
                <a:srgbClr val="FF6600"/>
              </a:solidFill>
            </a:ln>
          </c:spPr>
          <c:marker>
            <c:symbol val="none"/>
          </c:marker>
          <c:xVal>
            <c:numRef>
              <c:f>Dual!$AB$7:$AB$210</c:f>
              <c:numCache>
                <c:formatCode>0.0</c:formatCode>
                <c:ptCount val="204"/>
                <c:pt idx="0">
                  <c:v>-0.23322900946291122</c:v>
                </c:pt>
                <c:pt idx="1">
                  <c:v>-0.22863109296884576</c:v>
                </c:pt>
                <c:pt idx="4">
                  <c:v>-0.22863109296884576</c:v>
                </c:pt>
                <c:pt idx="5">
                  <c:v>-0.2235043788412191</c:v>
                </c:pt>
                <c:pt idx="8">
                  <c:v>-0.2235043788412191</c:v>
                </c:pt>
                <c:pt idx="9">
                  <c:v>-0.2178607245849026</c:v>
                </c:pt>
                <c:pt idx="12">
                  <c:v>-0.2178607245849026</c:v>
                </c:pt>
                <c:pt idx="13">
                  <c:v>-0.21171318332830771</c:v>
                </c:pt>
                <c:pt idx="16">
                  <c:v>-0.21171318332830771</c:v>
                </c:pt>
                <c:pt idx="17">
                  <c:v>-0.20507597363298921</c:v>
                </c:pt>
                <c:pt idx="20">
                  <c:v>-0.20507597363298921</c:v>
                </c:pt>
                <c:pt idx="21">
                  <c:v>-0.19796444660773427</c:v>
                </c:pt>
                <c:pt idx="24">
                  <c:v>-0.19796444660773427</c:v>
                </c:pt>
                <c:pt idx="25">
                  <c:v>-0.1903950504031999</c:v>
                </c:pt>
                <c:pt idx="28">
                  <c:v>-0.1903950504031999</c:v>
                </c:pt>
                <c:pt idx="29">
                  <c:v>-0.18238529216921615</c:v>
                </c:pt>
                <c:pt idx="32">
                  <c:v>-0.18238529216921615</c:v>
                </c:pt>
                <c:pt idx="33">
                  <c:v>-0.17395369756274645</c:v>
                </c:pt>
                <c:pt idx="36">
                  <c:v>-0.17395369756274645</c:v>
                </c:pt>
                <c:pt idx="37">
                  <c:v>-0.16511976790015673</c:v>
                </c:pt>
                <c:pt idx="40">
                  <c:v>-0.16511976790015673</c:v>
                </c:pt>
                <c:pt idx="41">
                  <c:v>-0.15590393505289518</c:v>
                </c:pt>
                <c:pt idx="44">
                  <c:v>-0.15590393505289518</c:v>
                </c:pt>
                <c:pt idx="45">
                  <c:v>-0.14632751419090512</c:v>
                </c:pt>
                <c:pt idx="48">
                  <c:v>-0.14632751419090512</c:v>
                </c:pt>
                <c:pt idx="49">
                  <c:v>-0.13641265448306825</c:v>
                </c:pt>
                <c:pt idx="52">
                  <c:v>-0.13641265448306825</c:v>
                </c:pt>
                <c:pt idx="53">
                  <c:v>-0.12618228786870461</c:v>
                </c:pt>
                <c:pt idx="56">
                  <c:v>-0.12618228786870461</c:v>
                </c:pt>
                <c:pt idx="57">
                  <c:v>-0.11566007601861263</c:v>
                </c:pt>
                <c:pt idx="60">
                  <c:v>-0.11566007601861263</c:v>
                </c:pt>
                <c:pt idx="61">
                  <c:v>-0.10487035560832433</c:v>
                </c:pt>
                <c:pt idx="64">
                  <c:v>-0.10487035560832433</c:v>
                </c:pt>
                <c:pt idx="65">
                  <c:v>-9.3838082030152092E-2</c:v>
                </c:pt>
                <c:pt idx="68">
                  <c:v>-9.3838082030152092E-2</c:v>
                </c:pt>
                <c:pt idx="69">
                  <c:v>-8.2588771674212108E-2</c:v>
                </c:pt>
                <c:pt idx="72">
                  <c:v>-8.2588771674212108E-2</c:v>
                </c:pt>
                <c:pt idx="73">
                  <c:v>-7.1148442911926124E-2</c:v>
                </c:pt>
                <c:pt idx="76">
                  <c:v>-7.1148442911926124E-2</c:v>
                </c:pt>
                <c:pt idx="77">
                  <c:v>-5.9543555918496374E-2</c:v>
                </c:pt>
                <c:pt idx="80">
                  <c:v>-5.9543555918496374E-2</c:v>
                </c:pt>
                <c:pt idx="81">
                  <c:v>-4.7800951473539521E-2</c:v>
                </c:pt>
                <c:pt idx="84">
                  <c:v>-4.7800951473539521E-2</c:v>
                </c:pt>
                <c:pt idx="85">
                  <c:v>-3.594778888142558E-2</c:v>
                </c:pt>
                <c:pt idx="88">
                  <c:v>-3.594778888142558E-2</c:v>
                </c:pt>
                <c:pt idx="89">
                  <c:v>-2.4011483154904732E-2</c:v>
                </c:pt>
                <c:pt idx="92">
                  <c:v>-2.4011483154904732E-2</c:v>
                </c:pt>
                <c:pt idx="93">
                  <c:v>-1.2019641607311898E-2</c:v>
                </c:pt>
                <c:pt idx="96">
                  <c:v>-1.2019641607311898E-2</c:v>
                </c:pt>
                <c:pt idx="97">
                  <c:v>3.06287113727155E-17</c:v>
                </c:pt>
                <c:pt idx="100">
                  <c:v>3.06287113727155E-17</c:v>
                </c:pt>
                <c:pt idx="101">
                  <c:v>1.2019641607312071E-2</c:v>
                </c:pt>
                <c:pt idx="104">
                  <c:v>1.2019641607312071E-2</c:v>
                </c:pt>
                <c:pt idx="105">
                  <c:v>2.4011483154904683E-2</c:v>
                </c:pt>
                <c:pt idx="108">
                  <c:v>2.4011483154904683E-2</c:v>
                </c:pt>
                <c:pt idx="109">
                  <c:v>3.5947788881425642E-2</c:v>
                </c:pt>
                <c:pt idx="112">
                  <c:v>3.5947788881425642E-2</c:v>
                </c:pt>
                <c:pt idx="113">
                  <c:v>4.7800951473539688E-2</c:v>
                </c:pt>
                <c:pt idx="116">
                  <c:v>4.7800951473539688E-2</c:v>
                </c:pt>
                <c:pt idx="117">
                  <c:v>5.954355591849643E-2</c:v>
                </c:pt>
                <c:pt idx="120">
                  <c:v>5.954355591849643E-2</c:v>
                </c:pt>
                <c:pt idx="121">
                  <c:v>7.1148442911926291E-2</c:v>
                </c:pt>
                <c:pt idx="124">
                  <c:v>7.1148442911926291E-2</c:v>
                </c:pt>
                <c:pt idx="125">
                  <c:v>8.2588771674212164E-2</c:v>
                </c:pt>
                <c:pt idx="128">
                  <c:v>8.2588771674212164E-2</c:v>
                </c:pt>
                <c:pt idx="129">
                  <c:v>9.3838082030152245E-2</c:v>
                </c:pt>
                <c:pt idx="132">
                  <c:v>9.3838082030152245E-2</c:v>
                </c:pt>
                <c:pt idx="133">
                  <c:v>0.10487035560832449</c:v>
                </c:pt>
                <c:pt idx="136">
                  <c:v>0.10487035560832449</c:v>
                </c:pt>
                <c:pt idx="137">
                  <c:v>0.11566007601861258</c:v>
                </c:pt>
                <c:pt idx="140">
                  <c:v>0.11566007601861258</c:v>
                </c:pt>
                <c:pt idx="141">
                  <c:v>0.12618228786870475</c:v>
                </c:pt>
                <c:pt idx="144">
                  <c:v>0.12618228786870475</c:v>
                </c:pt>
                <c:pt idx="145">
                  <c:v>0.1364126544830683</c:v>
                </c:pt>
                <c:pt idx="148">
                  <c:v>0.1364126544830683</c:v>
                </c:pt>
                <c:pt idx="149">
                  <c:v>0.14632751419090517</c:v>
                </c:pt>
                <c:pt idx="152">
                  <c:v>0.14632751419090517</c:v>
                </c:pt>
                <c:pt idx="153">
                  <c:v>0.15590393505289532</c:v>
                </c:pt>
                <c:pt idx="156">
                  <c:v>0.15590393505289532</c:v>
                </c:pt>
                <c:pt idx="157">
                  <c:v>0.16511976790015678</c:v>
                </c:pt>
                <c:pt idx="160">
                  <c:v>0.16511976790015678</c:v>
                </c:pt>
                <c:pt idx="161">
                  <c:v>0.17395369756274648</c:v>
                </c:pt>
                <c:pt idx="164">
                  <c:v>0.17395369756274648</c:v>
                </c:pt>
                <c:pt idx="165">
                  <c:v>0.18238529216921612</c:v>
                </c:pt>
                <c:pt idx="168">
                  <c:v>0.18238529216921612</c:v>
                </c:pt>
                <c:pt idx="169">
                  <c:v>0.19039505040320001</c:v>
                </c:pt>
                <c:pt idx="172">
                  <c:v>0.19039505040320001</c:v>
                </c:pt>
                <c:pt idx="173">
                  <c:v>0.19796444660773432</c:v>
                </c:pt>
                <c:pt idx="176">
                  <c:v>0.19796444660773432</c:v>
                </c:pt>
                <c:pt idx="177">
                  <c:v>0.20507597363298918</c:v>
                </c:pt>
                <c:pt idx="180">
                  <c:v>0.20507597363298918</c:v>
                </c:pt>
                <c:pt idx="181">
                  <c:v>0.21171318332830769</c:v>
                </c:pt>
                <c:pt idx="184">
                  <c:v>0.21171318332830769</c:v>
                </c:pt>
                <c:pt idx="185">
                  <c:v>0.21786072458490263</c:v>
                </c:pt>
                <c:pt idx="188">
                  <c:v>0.21786072458490263</c:v>
                </c:pt>
                <c:pt idx="189">
                  <c:v>0.22350437884121913</c:v>
                </c:pt>
                <c:pt idx="192">
                  <c:v>0.22350437884121913</c:v>
                </c:pt>
                <c:pt idx="193">
                  <c:v>0.22863109296884579</c:v>
                </c:pt>
                <c:pt idx="196">
                  <c:v>0.22863109296884579</c:v>
                </c:pt>
                <c:pt idx="197">
                  <c:v>0.2332290094629112</c:v>
                </c:pt>
                <c:pt idx="200">
                  <c:v>0.2332290094629112</c:v>
                </c:pt>
              </c:numCache>
            </c:numRef>
          </c:xVal>
          <c:yVal>
            <c:numRef>
              <c:f>Dual!$AC$7:$AC$210</c:f>
              <c:numCache>
                <c:formatCode>0.0</c:formatCode>
                <c:ptCount val="204"/>
                <c:pt idx="0">
                  <c:v>9.0023492183703202E-2</c:v>
                </c:pt>
                <c:pt idx="1">
                  <c:v>0.10113270157506428</c:v>
                </c:pt>
                <c:pt idx="4">
                  <c:v>0.10113270157506428</c:v>
                </c:pt>
                <c:pt idx="5">
                  <c:v>0.11200800256589173</c:v>
                </c:pt>
                <c:pt idx="8">
                  <c:v>0.11200800256589173</c:v>
                </c:pt>
                <c:pt idx="9">
                  <c:v>0.12262424182575488</c:v>
                </c:pt>
                <c:pt idx="12">
                  <c:v>0.12262424182575488</c:v>
                </c:pt>
                <c:pt idx="13">
                  <c:v>0.1329568652044503</c:v>
                </c:pt>
                <c:pt idx="16">
                  <c:v>0.1329568652044503</c:v>
                </c:pt>
                <c:pt idx="17">
                  <c:v>0.14298197452294997</c:v>
                </c:pt>
                <c:pt idx="20">
                  <c:v>0.14298197452294997</c:v>
                </c:pt>
                <c:pt idx="21">
                  <c:v>0.15267638284716312</c:v>
                </c:pt>
                <c:pt idx="24">
                  <c:v>0.15267638284716312</c:v>
                </c:pt>
                <c:pt idx="25">
                  <c:v>0.1620176681166686</c:v>
                </c:pt>
                <c:pt idx="28">
                  <c:v>0.1620176681166686</c:v>
                </c:pt>
                <c:pt idx="29">
                  <c:v>0.17098422500438354</c:v>
                </c:pt>
                <c:pt idx="32">
                  <c:v>0.17098422500438354</c:v>
                </c:pt>
                <c:pt idx="33">
                  <c:v>0.17955531488721949</c:v>
                </c:pt>
                <c:pt idx="36">
                  <c:v>0.17955531488721949</c:v>
                </c:pt>
                <c:pt idx="37">
                  <c:v>0.18771111381215116</c:v>
                </c:pt>
                <c:pt idx="40">
                  <c:v>0.18771111381215116</c:v>
                </c:pt>
                <c:pt idx="41">
                  <c:v>0.19543275834675886</c:v>
                </c:pt>
                <c:pt idx="44">
                  <c:v>0.19543275834675886</c:v>
                </c:pt>
                <c:pt idx="45">
                  <c:v>0.20270238920819472</c:v>
                </c:pt>
                <c:pt idx="48">
                  <c:v>0.20270238920819472</c:v>
                </c:pt>
                <c:pt idx="49">
                  <c:v>0.20950319256966715</c:v>
                </c:pt>
                <c:pt idx="52">
                  <c:v>0.20950319256966715</c:v>
                </c:pt>
                <c:pt idx="53">
                  <c:v>0.21581943894890321</c:v>
                </c:pt>
                <c:pt idx="56">
                  <c:v>0.21581943894890321</c:v>
                </c:pt>
                <c:pt idx="57">
                  <c:v>0.22163651958864711</c:v>
                </c:pt>
                <c:pt idx="60">
                  <c:v>0.22163651958864711</c:v>
                </c:pt>
                <c:pt idx="61">
                  <c:v>0.22694098024504872</c:v>
                </c:pt>
                <c:pt idx="64">
                  <c:v>0.22694098024504872</c:v>
                </c:pt>
                <c:pt idx="65">
                  <c:v>0.2317205523057945</c:v>
                </c:pt>
                <c:pt idx="68">
                  <c:v>0.2317205523057945</c:v>
                </c:pt>
                <c:pt idx="69">
                  <c:v>0.23596418116600845</c:v>
                </c:pt>
                <c:pt idx="72">
                  <c:v>0.23596418116600845</c:v>
                </c:pt>
                <c:pt idx="73">
                  <c:v>0.23966205179629166</c:v>
                </c:pt>
                <c:pt idx="76">
                  <c:v>0.23966205179629166</c:v>
                </c:pt>
                <c:pt idx="77">
                  <c:v>0.24280561144376564</c:v>
                </c:pt>
                <c:pt idx="80">
                  <c:v>0.24280561144376564</c:v>
                </c:pt>
                <c:pt idx="81">
                  <c:v>0.24538758941361383</c:v>
                </c:pt>
                <c:pt idx="84">
                  <c:v>0.24538758941361383</c:v>
                </c:pt>
                <c:pt idx="85">
                  <c:v>0.24740201388536928</c:v>
                </c:pt>
                <c:pt idx="88">
                  <c:v>0.24740201388536928</c:v>
                </c:pt>
                <c:pt idx="89">
                  <c:v>0.24884422572505421</c:v>
                </c:pt>
                <c:pt idx="92">
                  <c:v>0.24884422572505421</c:v>
                </c:pt>
                <c:pt idx="93">
                  <c:v>0.24971088926122501</c:v>
                </c:pt>
                <c:pt idx="96">
                  <c:v>0.24971088926122501</c:v>
                </c:pt>
                <c:pt idx="97">
                  <c:v>0.25</c:v>
                </c:pt>
                <c:pt idx="100">
                  <c:v>0.25</c:v>
                </c:pt>
                <c:pt idx="101">
                  <c:v>0.24971088926122501</c:v>
                </c:pt>
                <c:pt idx="104">
                  <c:v>0.24971088926122501</c:v>
                </c:pt>
                <c:pt idx="105">
                  <c:v>0.24884422572505421</c:v>
                </c:pt>
                <c:pt idx="108">
                  <c:v>0.24884422572505421</c:v>
                </c:pt>
                <c:pt idx="109">
                  <c:v>0.24740201388536928</c:v>
                </c:pt>
                <c:pt idx="112">
                  <c:v>0.24740201388536928</c:v>
                </c:pt>
                <c:pt idx="113">
                  <c:v>0.2453875894136138</c:v>
                </c:pt>
                <c:pt idx="116">
                  <c:v>0.2453875894136138</c:v>
                </c:pt>
                <c:pt idx="117">
                  <c:v>0.24280561144376561</c:v>
                </c:pt>
                <c:pt idx="120">
                  <c:v>0.24280561144376561</c:v>
                </c:pt>
                <c:pt idx="121">
                  <c:v>0.2396620517962916</c:v>
                </c:pt>
                <c:pt idx="124">
                  <c:v>0.2396620517962916</c:v>
                </c:pt>
                <c:pt idx="125">
                  <c:v>0.23596418116600842</c:v>
                </c:pt>
                <c:pt idx="128">
                  <c:v>0.23596418116600842</c:v>
                </c:pt>
                <c:pt idx="129">
                  <c:v>0.23172055230579444</c:v>
                </c:pt>
                <c:pt idx="132">
                  <c:v>0.23172055230579444</c:v>
                </c:pt>
                <c:pt idx="133">
                  <c:v>0.22694098024504866</c:v>
                </c:pt>
                <c:pt idx="136">
                  <c:v>0.22694098024504866</c:v>
                </c:pt>
                <c:pt idx="137">
                  <c:v>0.22163651958864714</c:v>
                </c:pt>
                <c:pt idx="140">
                  <c:v>0.22163651958864714</c:v>
                </c:pt>
                <c:pt idx="141">
                  <c:v>0.21581943894890313</c:v>
                </c:pt>
                <c:pt idx="144">
                  <c:v>0.21581943894890313</c:v>
                </c:pt>
                <c:pt idx="145">
                  <c:v>0.20950319256966712</c:v>
                </c:pt>
                <c:pt idx="148">
                  <c:v>0.20950319256966712</c:v>
                </c:pt>
                <c:pt idx="149">
                  <c:v>0.20270238920819469</c:v>
                </c:pt>
                <c:pt idx="152">
                  <c:v>0.20270238920819469</c:v>
                </c:pt>
                <c:pt idx="153">
                  <c:v>0.19543275834675874</c:v>
                </c:pt>
                <c:pt idx="156">
                  <c:v>0.19543275834675874</c:v>
                </c:pt>
                <c:pt idx="157">
                  <c:v>0.18771111381215114</c:v>
                </c:pt>
                <c:pt idx="160">
                  <c:v>0.18771111381215114</c:v>
                </c:pt>
                <c:pt idx="161">
                  <c:v>0.17955531488721943</c:v>
                </c:pt>
                <c:pt idx="164">
                  <c:v>0.17955531488721943</c:v>
                </c:pt>
                <c:pt idx="165">
                  <c:v>0.17098422500438359</c:v>
                </c:pt>
                <c:pt idx="168">
                  <c:v>0.17098422500438359</c:v>
                </c:pt>
                <c:pt idx="169">
                  <c:v>0.16201766811666846</c:v>
                </c:pt>
                <c:pt idx="172">
                  <c:v>0.16201766811666846</c:v>
                </c:pt>
                <c:pt idx="173">
                  <c:v>0.15267638284716306</c:v>
                </c:pt>
                <c:pt idx="176">
                  <c:v>0.15267638284716306</c:v>
                </c:pt>
                <c:pt idx="177">
                  <c:v>0.14298197452295</c:v>
                </c:pt>
                <c:pt idx="180">
                  <c:v>0.14298197452295</c:v>
                </c:pt>
                <c:pt idx="181">
                  <c:v>0.13295686520445033</c:v>
                </c:pt>
                <c:pt idx="184">
                  <c:v>0.13295686520445033</c:v>
                </c:pt>
                <c:pt idx="185">
                  <c:v>0.12262424182575483</c:v>
                </c:pt>
                <c:pt idx="188">
                  <c:v>0.12262424182575483</c:v>
                </c:pt>
                <c:pt idx="189">
                  <c:v>0.11200800256589168</c:v>
                </c:pt>
                <c:pt idx="192">
                  <c:v>0.11200800256589168</c:v>
                </c:pt>
                <c:pt idx="193">
                  <c:v>0.10113270157506417</c:v>
                </c:pt>
                <c:pt idx="196">
                  <c:v>0.10113270157506417</c:v>
                </c:pt>
                <c:pt idx="197">
                  <c:v>9.0023492183703244E-2</c:v>
                </c:pt>
                <c:pt idx="200">
                  <c:v>9.0023492183703244E-2</c:v>
                </c:pt>
              </c:numCache>
            </c:numRef>
          </c:yVal>
          <c:smooth val="1"/>
        </c:ser>
        <c:ser>
          <c:idx val="7"/>
          <c:order val="4"/>
          <c:tx>
            <c:v>PVPanel</c:v>
          </c:tx>
          <c:spPr>
            <a:ln w="25400">
              <a:solidFill>
                <a:srgbClr val="0000FF">
                  <a:alpha val="50000"/>
                </a:srgbClr>
              </a:solidFill>
            </a:ln>
          </c:spPr>
          <c:marker>
            <c:symbol val="none"/>
          </c:marker>
          <c:dPt>
            <c:idx val="1"/>
            <c:spPr>
              <a:ln w="25400">
                <a:solidFill>
                  <a:srgbClr val="CC6600">
                    <a:alpha val="50000"/>
                  </a:srgbClr>
                </a:solidFill>
              </a:ln>
            </c:spPr>
          </c:dPt>
          <c:dPt>
            <c:idx val="3"/>
          </c:dPt>
          <c:dPt>
            <c:idx val="7"/>
            <c:spPr>
              <a:ln w="25400">
                <a:solidFill>
                  <a:srgbClr val="CC6600">
                    <a:alpha val="49804"/>
                  </a:srgbClr>
                </a:solidFill>
              </a:ln>
            </c:spPr>
          </c:dPt>
          <c:dPt>
            <c:idx val="9"/>
          </c:dPt>
          <c:xVal>
            <c:numRef>
              <c:f>Dual!$AD$7:$AD$18</c:f>
              <c:numCache>
                <c:formatCode>0.00</c:formatCode>
                <c:ptCount val="12"/>
                <c:pt idx="0">
                  <c:v>0.36009396873481281</c:v>
                </c:pt>
                <c:pt idx="1">
                  <c:v>-0.36009396873481281</c:v>
                </c:pt>
                <c:pt idx="2">
                  <c:v>-0.43532913307768739</c:v>
                </c:pt>
                <c:pt idx="3">
                  <c:v>0.28485880439193823</c:v>
                </c:pt>
                <c:pt idx="4">
                  <c:v>0.36009396873481281</c:v>
                </c:pt>
                <c:pt idx="6">
                  <c:v>0.36009396873481297</c:v>
                </c:pt>
                <c:pt idx="7">
                  <c:v>-0.36009396873481297</c:v>
                </c:pt>
                <c:pt idx="8">
                  <c:v>-0.28485880439193839</c:v>
                </c:pt>
                <c:pt idx="9">
                  <c:v>0.43532913307768756</c:v>
                </c:pt>
                <c:pt idx="10">
                  <c:v>0.36009396873481297</c:v>
                </c:pt>
              </c:numCache>
            </c:numRef>
          </c:xVal>
          <c:yVal>
            <c:numRef>
              <c:f>Dual!$AE$7:$AE$18</c:f>
              <c:numCache>
                <c:formatCode>0.00</c:formatCode>
                <c:ptCount val="12"/>
                <c:pt idx="0">
                  <c:v>0.9329160378516449</c:v>
                </c:pt>
                <c:pt idx="1">
                  <c:v>-0.9329160378516449</c:v>
                </c:pt>
                <c:pt idx="2">
                  <c:v>-0.90387620166335358</c:v>
                </c:pt>
                <c:pt idx="3">
                  <c:v>0.96195587403993621</c:v>
                </c:pt>
                <c:pt idx="4">
                  <c:v>0.9329160378516449</c:v>
                </c:pt>
                <c:pt idx="6">
                  <c:v>-0.93291603785164479</c:v>
                </c:pt>
                <c:pt idx="7">
                  <c:v>0.93291603785164479</c:v>
                </c:pt>
                <c:pt idx="8">
                  <c:v>0.9619558740399361</c:v>
                </c:pt>
                <c:pt idx="9">
                  <c:v>-0.90387620166335347</c:v>
                </c:pt>
                <c:pt idx="10">
                  <c:v>-0.93291603785164479</c:v>
                </c:pt>
              </c:numCache>
            </c:numRef>
          </c:yVal>
        </c:ser>
        <c:ser>
          <c:idx val="0"/>
          <c:order val="5"/>
          <c:tx>
            <c:v>PV</c:v>
          </c:tx>
          <c:spPr>
            <a:ln w="12700">
              <a:solidFill>
                <a:srgbClr val="66CCFF"/>
              </a:solidFill>
            </a:ln>
          </c:spPr>
          <c:marker>
            <c:symbol val="circle"/>
            <c:size val="2"/>
          </c:marker>
          <c:xVal>
            <c:numRef>
              <c:f>Dual!$F$7:$F$210</c:f>
              <c:numCache>
                <c:formatCode>0.0</c:formatCode>
                <c:ptCount val="204"/>
                <c:pt idx="0">
                  <c:v>-0.87033233368081153</c:v>
                </c:pt>
                <c:pt idx="1">
                  <c:v>0</c:v>
                </c:pt>
                <c:pt idx="2">
                  <c:v>0.9329160378516449</c:v>
                </c:pt>
                <c:pt idx="4">
                  <c:v>-0.83635482675406436</c:v>
                </c:pt>
                <c:pt idx="5">
                  <c:v>0</c:v>
                </c:pt>
                <c:pt idx="6">
                  <c:v>0.91452437187538305</c:v>
                </c:pt>
                <c:pt idx="8">
                  <c:v>-0.79926731777918725</c:v>
                </c:pt>
                <c:pt idx="9">
                  <c:v>0</c:v>
                </c:pt>
                <c:pt idx="10">
                  <c:v>0.89401751536487639</c:v>
                </c:pt>
                <c:pt idx="12">
                  <c:v>-0.75941272506654078</c:v>
                </c:pt>
                <c:pt idx="13">
                  <c:v>0</c:v>
                </c:pt>
                <c:pt idx="14">
                  <c:v>0.87144289833961042</c:v>
                </c:pt>
                <c:pt idx="16">
                  <c:v>-0.71715955192008995</c:v>
                </c:pt>
                <c:pt idx="17">
                  <c:v>0</c:v>
                </c:pt>
                <c:pt idx="18">
                  <c:v>0.84685273331323085</c:v>
                </c:pt>
                <c:pt idx="20">
                  <c:v>-0.67289847938429537</c:v>
                </c:pt>
                <c:pt idx="21">
                  <c:v>0</c:v>
                </c:pt>
                <c:pt idx="22">
                  <c:v>0.82030389453195685</c:v>
                </c:pt>
                <c:pt idx="24">
                  <c:v>-0.62703875393130393</c:v>
                </c:pt>
                <c:pt idx="25">
                  <c:v>0</c:v>
                </c:pt>
                <c:pt idx="26">
                  <c:v>0.79185778643093707</c:v>
                </c:pt>
                <c:pt idx="28">
                  <c:v>-0.58000440348859261</c:v>
                </c:pt>
                <c:pt idx="29">
                  <c:v>0</c:v>
                </c:pt>
                <c:pt idx="30">
                  <c:v>0.7615802016127996</c:v>
                </c:pt>
                <c:pt idx="32">
                  <c:v>-0.53223031679440536</c:v>
                </c:pt>
                <c:pt idx="33">
                  <c:v>0</c:v>
                </c:pt>
                <c:pt idx="34">
                  <c:v>0.72954116867686458</c:v>
                </c:pt>
                <c:pt idx="36">
                  <c:v>-0.48415822233202338</c:v>
                </c:pt>
                <c:pt idx="37">
                  <c:v>0</c:v>
                </c:pt>
                <c:pt idx="38">
                  <c:v>0.6958147902509858</c:v>
                </c:pt>
                <c:pt idx="40">
                  <c:v>-0.43623260402242603</c:v>
                </c:pt>
                <c:pt idx="41">
                  <c:v>0</c:v>
                </c:pt>
                <c:pt idx="42">
                  <c:v>0.66047907160062691</c:v>
                </c:pt>
                <c:pt idx="44">
                  <c:v>-0.38889659143963801</c:v>
                </c:pt>
                <c:pt idx="45">
                  <c:v>0</c:v>
                </c:pt>
                <c:pt idx="46">
                  <c:v>0.62361574021158073</c:v>
                </c:pt>
                <c:pt idx="48">
                  <c:v>-0.34258786254863277</c:v>
                </c:pt>
                <c:pt idx="49">
                  <c:v>0</c:v>
                </c:pt>
                <c:pt idx="50">
                  <c:v>0.58531005676362047</c:v>
                </c:pt>
                <c:pt idx="52">
                  <c:v>-0.29773459684987158</c:v>
                </c:pt>
                <c:pt idx="53">
                  <c:v>0</c:v>
                </c:pt>
                <c:pt idx="54">
                  <c:v>0.54565061793227299</c:v>
                </c:pt>
                <c:pt idx="56">
                  <c:v>-0.25475151634849036</c:v>
                </c:pt>
                <c:pt idx="57">
                  <c:v>0</c:v>
                </c:pt>
                <c:pt idx="58">
                  <c:v>0.50472915147481845</c:v>
                </c:pt>
                <c:pt idx="60">
                  <c:v>-0.21403605095409986</c:v>
                </c:pt>
                <c:pt idx="61">
                  <c:v>0</c:v>
                </c:pt>
                <c:pt idx="62">
                  <c:v>0.4626403040744505</c:v>
                </c:pt>
                <c:pt idx="64">
                  <c:v>-0.17596466376666281</c:v>
                </c:pt>
                <c:pt idx="65">
                  <c:v>0</c:v>
                </c:pt>
                <c:pt idx="66">
                  <c:v>0.41948142243329734</c:v>
                </c:pt>
                <c:pt idx="68">
                  <c:v>-0.14088937022556106</c:v>
                </c:pt>
                <c:pt idx="69">
                  <c:v>0</c:v>
                </c:pt>
                <c:pt idx="70">
                  <c:v>0.37535232812060837</c:v>
                </c:pt>
                <c:pt idx="72">
                  <c:v>-0.10913448330648227</c:v>
                </c:pt>
                <c:pt idx="73">
                  <c:v>0</c:v>
                </c:pt>
                <c:pt idx="74">
                  <c:v>0.33035508669684843</c:v>
                </c:pt>
                <c:pt idx="76">
                  <c:v>-8.0993614860665739E-2</c:v>
                </c:pt>
                <c:pt idx="77">
                  <c:v>0</c:v>
                </c:pt>
                <c:pt idx="78">
                  <c:v>0.2845937716477045</c:v>
                </c:pt>
                <c:pt idx="80">
                  <c:v>-5.6726960822705737E-2</c:v>
                </c:pt>
                <c:pt idx="81">
                  <c:v>0</c:v>
                </c:pt>
                <c:pt idx="82">
                  <c:v>0.2381742236739855</c:v>
                </c:pt>
                <c:pt idx="84">
                  <c:v>-3.6558895388411013E-2</c:v>
                </c:pt>
                <c:pt idx="85">
                  <c:v>0</c:v>
                </c:pt>
                <c:pt idx="86">
                  <c:v>0.19120380589415809</c:v>
                </c:pt>
                <c:pt idx="88">
                  <c:v>-2.0675896407416666E-2</c:v>
                </c:pt>
                <c:pt idx="89">
                  <c:v>0</c:v>
                </c:pt>
                <c:pt idx="90">
                  <c:v>0.14379115552570232</c:v>
                </c:pt>
                <c:pt idx="92">
                  <c:v>-9.2248211727723808E-3</c:v>
                </c:pt>
                <c:pt idx="93">
                  <c:v>0</c:v>
                </c:pt>
                <c:pt idx="94">
                  <c:v>9.6045932619618926E-2</c:v>
                </c:pt>
                <c:pt idx="96">
                  <c:v>-2.3115485498915954E-3</c:v>
                </c:pt>
                <c:pt idx="97">
                  <c:v>0</c:v>
                </c:pt>
                <c:pt idx="98">
                  <c:v>4.8078566429247592E-2</c:v>
                </c:pt>
                <c:pt idx="100">
                  <c:v>0</c:v>
                </c:pt>
                <c:pt idx="101">
                  <c:v>0</c:v>
                </c:pt>
                <c:pt idx="102">
                  <c:v>-1.22514845490862E-16</c:v>
                </c:pt>
                <c:pt idx="104">
                  <c:v>2.3115485498916197E-3</c:v>
                </c:pt>
                <c:pt idx="105">
                  <c:v>0</c:v>
                </c:pt>
                <c:pt idx="106">
                  <c:v>-4.8078566429248286E-2</c:v>
                </c:pt>
                <c:pt idx="108">
                  <c:v>9.2248211727724051E-3</c:v>
                </c:pt>
                <c:pt idx="109">
                  <c:v>0</c:v>
                </c:pt>
                <c:pt idx="110">
                  <c:v>-9.6045932619618732E-2</c:v>
                </c:pt>
                <c:pt idx="112">
                  <c:v>2.0675896407416666E-2</c:v>
                </c:pt>
                <c:pt idx="113">
                  <c:v>0</c:v>
                </c:pt>
                <c:pt idx="114">
                  <c:v>-0.14379115552570257</c:v>
                </c:pt>
                <c:pt idx="116">
                  <c:v>3.6558895388411103E-2</c:v>
                </c:pt>
                <c:pt idx="117">
                  <c:v>0</c:v>
                </c:pt>
                <c:pt idx="118">
                  <c:v>-0.19120380589415875</c:v>
                </c:pt>
                <c:pt idx="120">
                  <c:v>5.6726960822705792E-2</c:v>
                </c:pt>
                <c:pt idx="121">
                  <c:v>0</c:v>
                </c:pt>
                <c:pt idx="122">
                  <c:v>-0.23817422367398572</c:v>
                </c:pt>
                <c:pt idx="124">
                  <c:v>8.0993614860665863E-2</c:v>
                </c:pt>
                <c:pt idx="125">
                  <c:v>0</c:v>
                </c:pt>
                <c:pt idx="126">
                  <c:v>-0.28459377164770516</c:v>
                </c:pt>
                <c:pt idx="128">
                  <c:v>0.10913448330648243</c:v>
                </c:pt>
                <c:pt idx="129">
                  <c:v>0</c:v>
                </c:pt>
                <c:pt idx="130">
                  <c:v>-0.33035508669684865</c:v>
                </c:pt>
                <c:pt idx="132">
                  <c:v>0.14088937022556111</c:v>
                </c:pt>
                <c:pt idx="133">
                  <c:v>0</c:v>
                </c:pt>
                <c:pt idx="134">
                  <c:v>-0.37535232812060898</c:v>
                </c:pt>
                <c:pt idx="136">
                  <c:v>0.175964663766663</c:v>
                </c:pt>
                <c:pt idx="137">
                  <c:v>0</c:v>
                </c:pt>
                <c:pt idx="138">
                  <c:v>-0.41948142243329795</c:v>
                </c:pt>
                <c:pt idx="140">
                  <c:v>0.21403605095409997</c:v>
                </c:pt>
                <c:pt idx="141">
                  <c:v>0</c:v>
                </c:pt>
                <c:pt idx="142">
                  <c:v>-0.46264030407445034</c:v>
                </c:pt>
                <c:pt idx="144">
                  <c:v>0.25475151634849047</c:v>
                </c:pt>
                <c:pt idx="145">
                  <c:v>0</c:v>
                </c:pt>
                <c:pt idx="146">
                  <c:v>-0.504729151474819</c:v>
                </c:pt>
                <c:pt idx="148">
                  <c:v>0.29773459684987186</c:v>
                </c:pt>
                <c:pt idx="149">
                  <c:v>0</c:v>
                </c:pt>
                <c:pt idx="150">
                  <c:v>-0.54565061793227321</c:v>
                </c:pt>
                <c:pt idx="152">
                  <c:v>0.34258786254863277</c:v>
                </c:pt>
                <c:pt idx="153">
                  <c:v>0</c:v>
                </c:pt>
                <c:pt idx="154">
                  <c:v>-0.58531005676362069</c:v>
                </c:pt>
                <c:pt idx="156">
                  <c:v>0.38889659143963817</c:v>
                </c:pt>
                <c:pt idx="157">
                  <c:v>0</c:v>
                </c:pt>
                <c:pt idx="158">
                  <c:v>-0.62361574021158128</c:v>
                </c:pt>
                <c:pt idx="160">
                  <c:v>0.4362326040224262</c:v>
                </c:pt>
                <c:pt idx="161">
                  <c:v>0</c:v>
                </c:pt>
                <c:pt idx="162">
                  <c:v>-0.66047907160062713</c:v>
                </c:pt>
                <c:pt idx="164">
                  <c:v>0.48415822233202355</c:v>
                </c:pt>
                <c:pt idx="165">
                  <c:v>0</c:v>
                </c:pt>
                <c:pt idx="166">
                  <c:v>-0.69581479025098592</c:v>
                </c:pt>
                <c:pt idx="168">
                  <c:v>0.53223031679440558</c:v>
                </c:pt>
                <c:pt idx="169">
                  <c:v>0</c:v>
                </c:pt>
                <c:pt idx="170">
                  <c:v>-0.72954116867686447</c:v>
                </c:pt>
                <c:pt idx="172">
                  <c:v>0.58000440348859283</c:v>
                </c:pt>
                <c:pt idx="173">
                  <c:v>0</c:v>
                </c:pt>
                <c:pt idx="174">
                  <c:v>-0.76158020161280005</c:v>
                </c:pt>
                <c:pt idx="176">
                  <c:v>0.62703875393130393</c:v>
                </c:pt>
                <c:pt idx="177">
                  <c:v>0</c:v>
                </c:pt>
                <c:pt idx="178">
                  <c:v>-0.79185778643093729</c:v>
                </c:pt>
                <c:pt idx="180">
                  <c:v>0.67289847938429559</c:v>
                </c:pt>
                <c:pt idx="181">
                  <c:v>0</c:v>
                </c:pt>
                <c:pt idx="182">
                  <c:v>-0.82030389453195673</c:v>
                </c:pt>
                <c:pt idx="184">
                  <c:v>0.71715955192009007</c:v>
                </c:pt>
                <c:pt idx="185">
                  <c:v>0</c:v>
                </c:pt>
                <c:pt idx="186">
                  <c:v>-0.84685273331323074</c:v>
                </c:pt>
                <c:pt idx="188">
                  <c:v>0.75941272506654101</c:v>
                </c:pt>
                <c:pt idx="189">
                  <c:v>0</c:v>
                </c:pt>
                <c:pt idx="190">
                  <c:v>-0.87144289833961053</c:v>
                </c:pt>
                <c:pt idx="192">
                  <c:v>0.79926731777918736</c:v>
                </c:pt>
                <c:pt idx="193">
                  <c:v>0</c:v>
                </c:pt>
                <c:pt idx="194">
                  <c:v>-0.8940175153648765</c:v>
                </c:pt>
                <c:pt idx="196">
                  <c:v>0.83635482675406436</c:v>
                </c:pt>
                <c:pt idx="197">
                  <c:v>0</c:v>
                </c:pt>
                <c:pt idx="198">
                  <c:v>-0.91452437187538316</c:v>
                </c:pt>
                <c:pt idx="200">
                  <c:v>0.87033233368081153</c:v>
                </c:pt>
                <c:pt idx="201">
                  <c:v>0</c:v>
                </c:pt>
                <c:pt idx="202">
                  <c:v>-0.93291603785164479</c:v>
                </c:pt>
              </c:numCache>
            </c:numRef>
          </c:xVal>
          <c:yVal>
            <c:numRef>
              <c:f>Dual!$G$7:$G$210</c:f>
              <c:numCache>
                <c:formatCode>0.0</c:formatCode>
                <c:ptCount val="204"/>
                <c:pt idx="0">
                  <c:v>0.33593743856635588</c:v>
                </c:pt>
                <c:pt idx="1">
                  <c:v>0</c:v>
                </c:pt>
                <c:pt idx="2">
                  <c:v>-0.36009396873481281</c:v>
                </c:pt>
                <c:pt idx="4">
                  <c:v>0.3699532815359845</c:v>
                </c:pt>
                <c:pt idx="5">
                  <c:v>0</c:v>
                </c:pt>
                <c:pt idx="6">
                  <c:v>-0.40453080630025712</c:v>
                </c:pt>
                <c:pt idx="8">
                  <c:v>0.40054846461976484</c:v>
                </c:pt>
                <c:pt idx="9">
                  <c:v>0</c:v>
                </c:pt>
                <c:pt idx="10">
                  <c:v>-0.44803201026356693</c:v>
                </c:pt>
                <c:pt idx="12">
                  <c:v>0.42744009881333245</c:v>
                </c:pt>
                <c:pt idx="13">
                  <c:v>0</c:v>
                </c:pt>
                <c:pt idx="14">
                  <c:v>-0.4904969673030195</c:v>
                </c:pt>
                <c:pt idx="16">
                  <c:v>0.45037953884459025</c:v>
                </c:pt>
                <c:pt idx="17">
                  <c:v>0</c:v>
                </c:pt>
                <c:pt idx="18">
                  <c:v>-0.53182746081780119</c:v>
                </c:pt>
                <c:pt idx="20">
                  <c:v>0.46915468219617973</c:v>
                </c:pt>
                <c:pt idx="21">
                  <c:v>0</c:v>
                </c:pt>
                <c:pt idx="22">
                  <c:v>-0.57192789809179989</c:v>
                </c:pt>
                <c:pt idx="24">
                  <c:v>0.48359193024654745</c:v>
                </c:pt>
                <c:pt idx="25">
                  <c:v>0</c:v>
                </c:pt>
                <c:pt idx="26">
                  <c:v>-0.61070553138865247</c:v>
                </c:pt>
                <c:pt idx="28">
                  <c:v>0.49355779339651246</c:v>
                </c:pt>
                <c:pt idx="29">
                  <c:v>0</c:v>
                </c:pt>
                <c:pt idx="30">
                  <c:v>-0.64807067246667438</c:v>
                </c:pt>
                <c:pt idx="32">
                  <c:v>0.49896012534002382</c:v>
                </c:pt>
                <c:pt idx="33">
                  <c:v>0</c:v>
                </c:pt>
                <c:pt idx="34">
                  <c:v>-0.68393690001753416</c:v>
                </c:pt>
                <c:pt idx="36">
                  <c:v>0.49974897506680127</c:v>
                </c:pt>
                <c:pt idx="37">
                  <c:v>0</c:v>
                </c:pt>
                <c:pt idx="38">
                  <c:v>-0.71822125954887794</c:v>
                </c:pt>
                <c:pt idx="40">
                  <c:v>0.49591704871907694</c:v>
                </c:pt>
                <c:pt idx="41">
                  <c:v>0</c:v>
                </c:pt>
                <c:pt idx="42">
                  <c:v>-0.75084445524860466</c:v>
                </c:pt>
                <c:pt idx="44">
                  <c:v>0.48749977703202013</c:v>
                </c:pt>
                <c:pt idx="45">
                  <c:v>0</c:v>
                </c:pt>
                <c:pt idx="46">
                  <c:v>-0.78173103338703542</c:v>
                </c:pt>
                <c:pt idx="48">
                  <c:v>0.47457498773427986</c:v>
                </c:pt>
                <c:pt idx="49">
                  <c:v>0</c:v>
                </c:pt>
                <c:pt idx="50">
                  <c:v>-0.81080955683277889</c:v>
                </c:pt>
                <c:pt idx="52">
                  <c:v>0.45726218593769158</c:v>
                </c:pt>
                <c:pt idx="53">
                  <c:v>0</c:v>
                </c:pt>
                <c:pt idx="54">
                  <c:v>-0.83801277027866861</c:v>
                </c:pt>
                <c:pt idx="56">
                  <c:v>0.43572144916980532</c:v>
                </c:pt>
                <c:pt idx="57">
                  <c:v>0</c:v>
                </c:pt>
                <c:pt idx="58">
                  <c:v>-0.86327775579561283</c:v>
                </c:pt>
                <c:pt idx="60">
                  <c:v>0.41015194726597826</c:v>
                </c:pt>
                <c:pt idx="61">
                  <c:v>0</c:v>
                </c:pt>
                <c:pt idx="62">
                  <c:v>-0.88654607835458843</c:v>
                </c:pt>
                <c:pt idx="64">
                  <c:v>0.3807901008063998</c:v>
                </c:pt>
                <c:pt idx="65">
                  <c:v>0</c:v>
                </c:pt>
                <c:pt idx="66">
                  <c:v>-0.90776392098019487</c:v>
                </c:pt>
                <c:pt idx="68">
                  <c:v>0.3479073951254929</c:v>
                </c:pt>
                <c:pt idx="69">
                  <c:v>0</c:v>
                </c:pt>
                <c:pt idx="70">
                  <c:v>-0.92688220922317799</c:v>
                </c:pt>
                <c:pt idx="72">
                  <c:v>0.31180787010579036</c:v>
                </c:pt>
                <c:pt idx="73">
                  <c:v>0</c:v>
                </c:pt>
                <c:pt idx="74">
                  <c:v>-0.94385672466403381</c:v>
                </c:pt>
                <c:pt idx="76">
                  <c:v>0.27282530896613655</c:v>
                </c:pt>
                <c:pt idx="77">
                  <c:v>0</c:v>
                </c:pt>
                <c:pt idx="78">
                  <c:v>-0.95864820718516663</c:v>
                </c:pt>
                <c:pt idx="80">
                  <c:v>0.23132015203722514</c:v>
                </c:pt>
                <c:pt idx="81">
                  <c:v>0</c:v>
                </c:pt>
                <c:pt idx="82">
                  <c:v>-0.97122244577506256</c:v>
                </c:pt>
                <c:pt idx="84">
                  <c:v>0.18767616406030421</c:v>
                </c:pt>
                <c:pt idx="85">
                  <c:v>0</c:v>
                </c:pt>
                <c:pt idx="86">
                  <c:v>-0.98155035765445531</c:v>
                </c:pt>
                <c:pt idx="88">
                  <c:v>0.14229688582385222</c:v>
                </c:pt>
                <c:pt idx="89">
                  <c:v>0</c:v>
                </c:pt>
                <c:pt idx="90">
                  <c:v>-0.98960805554147713</c:v>
                </c:pt>
                <c:pt idx="92">
                  <c:v>9.5601902947079195E-2</c:v>
                </c:pt>
                <c:pt idx="93">
                  <c:v>0</c:v>
                </c:pt>
                <c:pt idx="94">
                  <c:v>-0.99537690290021685</c:v>
                </c:pt>
                <c:pt idx="96">
                  <c:v>4.8022966309809408E-2</c:v>
                </c:pt>
                <c:pt idx="97">
                  <c:v>0</c:v>
                </c:pt>
                <c:pt idx="98">
                  <c:v>-0.99884355704490002</c:v>
                </c:pt>
                <c:pt idx="100">
                  <c:v>0</c:v>
                </c:pt>
                <c:pt idx="101">
                  <c:v>0</c:v>
                </c:pt>
                <c:pt idx="102">
                  <c:v>-1</c:v>
                </c:pt>
                <c:pt idx="104">
                  <c:v>4.8022966309809657E-2</c:v>
                </c:pt>
                <c:pt idx="105">
                  <c:v>0</c:v>
                </c:pt>
                <c:pt idx="106">
                  <c:v>-0.99884355704490002</c:v>
                </c:pt>
                <c:pt idx="108">
                  <c:v>9.560190294707932E-2</c:v>
                </c:pt>
                <c:pt idx="109">
                  <c:v>0</c:v>
                </c:pt>
                <c:pt idx="110">
                  <c:v>-0.99537690290021685</c:v>
                </c:pt>
                <c:pt idx="112">
                  <c:v>0.14229688582385222</c:v>
                </c:pt>
                <c:pt idx="113">
                  <c:v>0</c:v>
                </c:pt>
                <c:pt idx="114">
                  <c:v>-0.98960805554147713</c:v>
                </c:pt>
                <c:pt idx="116">
                  <c:v>0.18767616406030446</c:v>
                </c:pt>
                <c:pt idx="117">
                  <c:v>0</c:v>
                </c:pt>
                <c:pt idx="118">
                  <c:v>-0.9815503576544552</c:v>
                </c:pt>
                <c:pt idx="120">
                  <c:v>0.23132015203722522</c:v>
                </c:pt>
                <c:pt idx="121">
                  <c:v>0</c:v>
                </c:pt>
                <c:pt idx="122">
                  <c:v>-0.97122244577506245</c:v>
                </c:pt>
                <c:pt idx="124">
                  <c:v>0.27282530896613677</c:v>
                </c:pt>
                <c:pt idx="125">
                  <c:v>0</c:v>
                </c:pt>
                <c:pt idx="126">
                  <c:v>-0.95864820718516641</c:v>
                </c:pt>
                <c:pt idx="128">
                  <c:v>0.31180787010579053</c:v>
                </c:pt>
                <c:pt idx="129">
                  <c:v>0</c:v>
                </c:pt>
                <c:pt idx="130">
                  <c:v>-0.9438567246640337</c:v>
                </c:pt>
                <c:pt idx="132">
                  <c:v>0.34790739512549296</c:v>
                </c:pt>
                <c:pt idx="133">
                  <c:v>0</c:v>
                </c:pt>
                <c:pt idx="134">
                  <c:v>-0.92688220922317777</c:v>
                </c:pt>
                <c:pt idx="136">
                  <c:v>0.38079010080639997</c:v>
                </c:pt>
                <c:pt idx="137">
                  <c:v>0</c:v>
                </c:pt>
                <c:pt idx="138">
                  <c:v>-0.90776392098019465</c:v>
                </c:pt>
                <c:pt idx="140">
                  <c:v>0.41015194726597837</c:v>
                </c:pt>
                <c:pt idx="141">
                  <c:v>0</c:v>
                </c:pt>
                <c:pt idx="142">
                  <c:v>-0.88654607835458854</c:v>
                </c:pt>
                <c:pt idx="144">
                  <c:v>0.43572144916980532</c:v>
                </c:pt>
                <c:pt idx="145">
                  <c:v>0</c:v>
                </c:pt>
                <c:pt idx="146">
                  <c:v>-0.8632777557956125</c:v>
                </c:pt>
                <c:pt idx="148">
                  <c:v>0.45726218593769169</c:v>
                </c:pt>
                <c:pt idx="149">
                  <c:v>0</c:v>
                </c:pt>
                <c:pt idx="150">
                  <c:v>-0.8380127702786685</c:v>
                </c:pt>
                <c:pt idx="152">
                  <c:v>0.47457498773427986</c:v>
                </c:pt>
                <c:pt idx="153">
                  <c:v>0</c:v>
                </c:pt>
                <c:pt idx="154">
                  <c:v>-0.81080955683277878</c:v>
                </c:pt>
                <c:pt idx="156">
                  <c:v>0.48749977703202008</c:v>
                </c:pt>
                <c:pt idx="157">
                  <c:v>0</c:v>
                </c:pt>
                <c:pt idx="158">
                  <c:v>-0.78173103338703498</c:v>
                </c:pt>
                <c:pt idx="160">
                  <c:v>0.49591704871907688</c:v>
                </c:pt>
                <c:pt idx="161">
                  <c:v>0</c:v>
                </c:pt>
                <c:pt idx="162">
                  <c:v>-0.75084445524860455</c:v>
                </c:pt>
                <c:pt idx="164">
                  <c:v>0.49974897506680127</c:v>
                </c:pt>
                <c:pt idx="165">
                  <c:v>0</c:v>
                </c:pt>
                <c:pt idx="166">
                  <c:v>-0.71822125954887772</c:v>
                </c:pt>
                <c:pt idx="168">
                  <c:v>0.49896012534002376</c:v>
                </c:pt>
                <c:pt idx="169">
                  <c:v>0</c:v>
                </c:pt>
                <c:pt idx="170">
                  <c:v>-0.68393690001753438</c:v>
                </c:pt>
                <c:pt idx="172">
                  <c:v>0.49355779339651246</c:v>
                </c:pt>
                <c:pt idx="173">
                  <c:v>0</c:v>
                </c:pt>
                <c:pt idx="174">
                  <c:v>-0.64807067246667382</c:v>
                </c:pt>
                <c:pt idx="176">
                  <c:v>0.48359193024654745</c:v>
                </c:pt>
                <c:pt idx="177">
                  <c:v>0</c:v>
                </c:pt>
                <c:pt idx="178">
                  <c:v>-0.61070553138865225</c:v>
                </c:pt>
                <c:pt idx="180">
                  <c:v>0.46915468219617962</c:v>
                </c:pt>
                <c:pt idx="181">
                  <c:v>0</c:v>
                </c:pt>
                <c:pt idx="182">
                  <c:v>-0.5719278980918</c:v>
                </c:pt>
                <c:pt idx="184">
                  <c:v>0.4503795388445902</c:v>
                </c:pt>
                <c:pt idx="185">
                  <c:v>0</c:v>
                </c:pt>
                <c:pt idx="186">
                  <c:v>-0.5318274608178013</c:v>
                </c:pt>
                <c:pt idx="188">
                  <c:v>0.42744009881333228</c:v>
                </c:pt>
                <c:pt idx="189">
                  <c:v>0</c:v>
                </c:pt>
                <c:pt idx="190">
                  <c:v>-0.49049696730301934</c:v>
                </c:pt>
                <c:pt idx="192">
                  <c:v>0.40054846461976468</c:v>
                </c:pt>
                <c:pt idx="193">
                  <c:v>0</c:v>
                </c:pt>
                <c:pt idx="194">
                  <c:v>-0.4480320102635667</c:v>
                </c:pt>
                <c:pt idx="196">
                  <c:v>0.3699532815359845</c:v>
                </c:pt>
                <c:pt idx="197">
                  <c:v>0</c:v>
                </c:pt>
                <c:pt idx="198">
                  <c:v>-0.40453080630025667</c:v>
                </c:pt>
                <c:pt idx="200">
                  <c:v>0.33593743856635588</c:v>
                </c:pt>
                <c:pt idx="201">
                  <c:v>0</c:v>
                </c:pt>
                <c:pt idx="202">
                  <c:v>-0.36009396873481297</c:v>
                </c:pt>
              </c:numCache>
            </c:numRef>
          </c:yVal>
        </c:ser>
        <c:ser>
          <c:idx val="2"/>
          <c:order val="6"/>
          <c:tx>
            <c:v>GREEN</c:v>
          </c:tx>
          <c:spPr>
            <a:ln w="12700">
              <a:solidFill>
                <a:srgbClr val="00C400"/>
              </a:solidFill>
            </a:ln>
          </c:spPr>
          <c:marker>
            <c:symbol val="circle"/>
            <c:size val="2"/>
          </c:marker>
          <c:xVal>
            <c:numRef>
              <c:f>Dual!$J$7:$J$210</c:f>
              <c:numCache>
                <c:formatCode>0.00</c:formatCode>
                <c:ptCount val="204"/>
                <c:pt idx="0">
                  <c:v>-0.6</c:v>
                </c:pt>
                <c:pt idx="1">
                  <c:v>-0.6</c:v>
                </c:pt>
                <c:pt idx="2">
                  <c:v>0.9329160378516449</c:v>
                </c:pt>
                <c:pt idx="4">
                  <c:v>-0.6</c:v>
                </c:pt>
                <c:pt idx="5">
                  <c:v>-0.6</c:v>
                </c:pt>
                <c:pt idx="6">
                  <c:v>0.91452437187538305</c:v>
                </c:pt>
                <c:pt idx="8">
                  <c:v>-0.6</c:v>
                </c:pt>
                <c:pt idx="9">
                  <c:v>-0.6</c:v>
                </c:pt>
                <c:pt idx="10">
                  <c:v>0.89401751536487639</c:v>
                </c:pt>
                <c:pt idx="12">
                  <c:v>-0.6</c:v>
                </c:pt>
                <c:pt idx="13">
                  <c:v>-0.6</c:v>
                </c:pt>
                <c:pt idx="14">
                  <c:v>0.87144289833961042</c:v>
                </c:pt>
                <c:pt idx="16">
                  <c:v>-0.6</c:v>
                </c:pt>
                <c:pt idx="17">
                  <c:v>-0.6</c:v>
                </c:pt>
                <c:pt idx="18">
                  <c:v>0.84685273331323085</c:v>
                </c:pt>
                <c:pt idx="20">
                  <c:v>-0.6</c:v>
                </c:pt>
                <c:pt idx="21">
                  <c:v>-0.6</c:v>
                </c:pt>
                <c:pt idx="22">
                  <c:v>0.82030389453195685</c:v>
                </c:pt>
                <c:pt idx="24">
                  <c:v>-0.6</c:v>
                </c:pt>
                <c:pt idx="25">
                  <c:v>-0.6</c:v>
                </c:pt>
                <c:pt idx="26">
                  <c:v>0.79185778643093707</c:v>
                </c:pt>
                <c:pt idx="28">
                  <c:v>-0.6</c:v>
                </c:pt>
                <c:pt idx="29">
                  <c:v>-0.6</c:v>
                </c:pt>
                <c:pt idx="30">
                  <c:v>0.7615802016127996</c:v>
                </c:pt>
                <c:pt idx="32">
                  <c:v>-0.6</c:v>
                </c:pt>
                <c:pt idx="33">
                  <c:v>-0.6</c:v>
                </c:pt>
                <c:pt idx="34">
                  <c:v>0.72954116867686458</c:v>
                </c:pt>
                <c:pt idx="36">
                  <c:v>-0.6</c:v>
                </c:pt>
                <c:pt idx="37">
                  <c:v>-0.6</c:v>
                </c:pt>
                <c:pt idx="38">
                  <c:v>0.6958147902509858</c:v>
                </c:pt>
                <c:pt idx="40">
                  <c:v>-0.6</c:v>
                </c:pt>
                <c:pt idx="41">
                  <c:v>-0.6</c:v>
                </c:pt>
                <c:pt idx="42">
                  <c:v>0.66047907160062691</c:v>
                </c:pt>
                <c:pt idx="44">
                  <c:v>-0.6</c:v>
                </c:pt>
                <c:pt idx="45">
                  <c:v>-0.6</c:v>
                </c:pt>
                <c:pt idx="46">
                  <c:v>0.62361574021158073</c:v>
                </c:pt>
                <c:pt idx="48">
                  <c:v>-0.6</c:v>
                </c:pt>
                <c:pt idx="49">
                  <c:v>-0.6</c:v>
                </c:pt>
                <c:pt idx="50">
                  <c:v>0.58531005676362047</c:v>
                </c:pt>
                <c:pt idx="52">
                  <c:v>-0.6</c:v>
                </c:pt>
                <c:pt idx="53">
                  <c:v>-0.6</c:v>
                </c:pt>
                <c:pt idx="54">
                  <c:v>0.54565061793227299</c:v>
                </c:pt>
                <c:pt idx="56">
                  <c:v>-0.6</c:v>
                </c:pt>
                <c:pt idx="57">
                  <c:v>-0.6</c:v>
                </c:pt>
                <c:pt idx="58">
                  <c:v>0.50472915147481845</c:v>
                </c:pt>
                <c:pt idx="60">
                  <c:v>-0.6</c:v>
                </c:pt>
                <c:pt idx="61">
                  <c:v>-0.6</c:v>
                </c:pt>
                <c:pt idx="62">
                  <c:v>0.4626403040744505</c:v>
                </c:pt>
                <c:pt idx="64">
                  <c:v>-0.6</c:v>
                </c:pt>
                <c:pt idx="65">
                  <c:v>-0.6</c:v>
                </c:pt>
                <c:pt idx="66">
                  <c:v>0.41948142243329734</c:v>
                </c:pt>
                <c:pt idx="68">
                  <c:v>-0.6</c:v>
                </c:pt>
                <c:pt idx="69">
                  <c:v>-0.6</c:v>
                </c:pt>
                <c:pt idx="70">
                  <c:v>0.37535232812060837</c:v>
                </c:pt>
                <c:pt idx="72">
                  <c:v>-0.6</c:v>
                </c:pt>
                <c:pt idx="73">
                  <c:v>-0.6</c:v>
                </c:pt>
                <c:pt idx="74">
                  <c:v>0.33035508669684843</c:v>
                </c:pt>
                <c:pt idx="76">
                  <c:v>-0.6</c:v>
                </c:pt>
                <c:pt idx="77">
                  <c:v>-0.6</c:v>
                </c:pt>
                <c:pt idx="78">
                  <c:v>0.2845937716477045</c:v>
                </c:pt>
                <c:pt idx="80">
                  <c:v>-0.6</c:v>
                </c:pt>
                <c:pt idx="81">
                  <c:v>-0.6</c:v>
                </c:pt>
                <c:pt idx="82">
                  <c:v>0.2381742236739855</c:v>
                </c:pt>
                <c:pt idx="84">
                  <c:v>-0.6</c:v>
                </c:pt>
                <c:pt idx="85">
                  <c:v>-0.6</c:v>
                </c:pt>
                <c:pt idx="86">
                  <c:v>0.19120380589415809</c:v>
                </c:pt>
                <c:pt idx="88">
                  <c:v>-0.6</c:v>
                </c:pt>
                <c:pt idx="89">
                  <c:v>-0.6</c:v>
                </c:pt>
                <c:pt idx="90">
                  <c:v>0.14379115552570232</c:v>
                </c:pt>
                <c:pt idx="92">
                  <c:v>-0.6</c:v>
                </c:pt>
                <c:pt idx="93">
                  <c:v>-0.6</c:v>
                </c:pt>
                <c:pt idx="94">
                  <c:v>9.6045932619618926E-2</c:v>
                </c:pt>
                <c:pt idx="96">
                  <c:v>-0.6</c:v>
                </c:pt>
                <c:pt idx="97">
                  <c:v>-0.6</c:v>
                </c:pt>
                <c:pt idx="98">
                  <c:v>4.8078566429247592E-2</c:v>
                </c:pt>
                <c:pt idx="100">
                  <c:v>-0.6</c:v>
                </c:pt>
                <c:pt idx="101">
                  <c:v>-0.6</c:v>
                </c:pt>
                <c:pt idx="102">
                  <c:v>-1.22514845490862E-16</c:v>
                </c:pt>
                <c:pt idx="104">
                  <c:v>-0.6</c:v>
                </c:pt>
                <c:pt idx="105">
                  <c:v>-0.6</c:v>
                </c:pt>
                <c:pt idx="106">
                  <c:v>-4.8078566429248286E-2</c:v>
                </c:pt>
                <c:pt idx="108">
                  <c:v>-0.6</c:v>
                </c:pt>
                <c:pt idx="109">
                  <c:v>-0.6</c:v>
                </c:pt>
                <c:pt idx="110">
                  <c:v>-9.6045932619618732E-2</c:v>
                </c:pt>
                <c:pt idx="112">
                  <c:v>-0.6</c:v>
                </c:pt>
                <c:pt idx="113">
                  <c:v>-0.6</c:v>
                </c:pt>
                <c:pt idx="114">
                  <c:v>-0.14379115552570257</c:v>
                </c:pt>
                <c:pt idx="116">
                  <c:v>-0.6</c:v>
                </c:pt>
                <c:pt idx="117">
                  <c:v>-0.6</c:v>
                </c:pt>
                <c:pt idx="118">
                  <c:v>-0.19120380589415875</c:v>
                </c:pt>
                <c:pt idx="120">
                  <c:v>-0.6</c:v>
                </c:pt>
                <c:pt idx="121">
                  <c:v>-0.6</c:v>
                </c:pt>
                <c:pt idx="122">
                  <c:v>-0.23817422367398572</c:v>
                </c:pt>
                <c:pt idx="124">
                  <c:v>-0.6</c:v>
                </c:pt>
                <c:pt idx="125">
                  <c:v>-0.6</c:v>
                </c:pt>
                <c:pt idx="126">
                  <c:v>-0.28459377164770516</c:v>
                </c:pt>
                <c:pt idx="128">
                  <c:v>-0.6</c:v>
                </c:pt>
                <c:pt idx="129">
                  <c:v>-0.6</c:v>
                </c:pt>
                <c:pt idx="130">
                  <c:v>-0.33035508669684865</c:v>
                </c:pt>
                <c:pt idx="132">
                  <c:v>-0.6</c:v>
                </c:pt>
                <c:pt idx="133">
                  <c:v>-0.6</c:v>
                </c:pt>
                <c:pt idx="134">
                  <c:v>-0.37535232812060898</c:v>
                </c:pt>
                <c:pt idx="136">
                  <c:v>-0.6</c:v>
                </c:pt>
                <c:pt idx="137">
                  <c:v>-0.6</c:v>
                </c:pt>
                <c:pt idx="138">
                  <c:v>-0.41948142243329795</c:v>
                </c:pt>
                <c:pt idx="140">
                  <c:v>-0.6</c:v>
                </c:pt>
                <c:pt idx="141">
                  <c:v>-0.6</c:v>
                </c:pt>
                <c:pt idx="142">
                  <c:v>-0.46264030407445034</c:v>
                </c:pt>
                <c:pt idx="144">
                  <c:v>-0.6</c:v>
                </c:pt>
                <c:pt idx="145">
                  <c:v>-0.6</c:v>
                </c:pt>
                <c:pt idx="146">
                  <c:v>-0.504729151474819</c:v>
                </c:pt>
                <c:pt idx="148">
                  <c:v>-0.6</c:v>
                </c:pt>
                <c:pt idx="149">
                  <c:v>-0.6</c:v>
                </c:pt>
                <c:pt idx="150">
                  <c:v>-0.54565061793227321</c:v>
                </c:pt>
                <c:pt idx="152">
                  <c:v>-0.6</c:v>
                </c:pt>
                <c:pt idx="153">
                  <c:v>-0.6</c:v>
                </c:pt>
                <c:pt idx="154">
                  <c:v>-0.58531005676362069</c:v>
                </c:pt>
                <c:pt idx="156">
                  <c:v>-0.6</c:v>
                </c:pt>
                <c:pt idx="157">
                  <c:v>-0.6</c:v>
                </c:pt>
                <c:pt idx="158">
                  <c:v>-0.62361574021158128</c:v>
                </c:pt>
                <c:pt idx="160">
                  <c:v>-0.6</c:v>
                </c:pt>
                <c:pt idx="161">
                  <c:v>-0.6</c:v>
                </c:pt>
                <c:pt idx="162">
                  <c:v>-0.66047907160062713</c:v>
                </c:pt>
                <c:pt idx="164">
                  <c:v>-0.6</c:v>
                </c:pt>
                <c:pt idx="165">
                  <c:v>-0.6</c:v>
                </c:pt>
                <c:pt idx="166">
                  <c:v>-0.69581479025098592</c:v>
                </c:pt>
                <c:pt idx="168">
                  <c:v>-0.6</c:v>
                </c:pt>
                <c:pt idx="169">
                  <c:v>-0.6</c:v>
                </c:pt>
                <c:pt idx="170">
                  <c:v>-0.72954116867686447</c:v>
                </c:pt>
                <c:pt idx="172">
                  <c:v>-0.6</c:v>
                </c:pt>
                <c:pt idx="173">
                  <c:v>-0.6</c:v>
                </c:pt>
                <c:pt idx="174">
                  <c:v>-0.76158020161280005</c:v>
                </c:pt>
                <c:pt idx="176">
                  <c:v>-0.6</c:v>
                </c:pt>
                <c:pt idx="177">
                  <c:v>-0.6</c:v>
                </c:pt>
                <c:pt idx="178">
                  <c:v>-0.79185778643093729</c:v>
                </c:pt>
                <c:pt idx="180">
                  <c:v>-0.6</c:v>
                </c:pt>
                <c:pt idx="181">
                  <c:v>-0.6</c:v>
                </c:pt>
                <c:pt idx="182">
                  <c:v>-0.82030389453195673</c:v>
                </c:pt>
                <c:pt idx="184">
                  <c:v>-0.6</c:v>
                </c:pt>
                <c:pt idx="185">
                  <c:v>-0.6</c:v>
                </c:pt>
                <c:pt idx="186">
                  <c:v>-0.84685273331323074</c:v>
                </c:pt>
                <c:pt idx="188">
                  <c:v>-0.6</c:v>
                </c:pt>
                <c:pt idx="189">
                  <c:v>-0.6</c:v>
                </c:pt>
                <c:pt idx="190">
                  <c:v>-0.87144289833961053</c:v>
                </c:pt>
                <c:pt idx="192">
                  <c:v>-0.6</c:v>
                </c:pt>
                <c:pt idx="193">
                  <c:v>-0.6</c:v>
                </c:pt>
                <c:pt idx="194">
                  <c:v>-0.8940175153648765</c:v>
                </c:pt>
                <c:pt idx="196">
                  <c:v>-0.6</c:v>
                </c:pt>
                <c:pt idx="197">
                  <c:v>-0.6</c:v>
                </c:pt>
                <c:pt idx="198">
                  <c:v>-0.91452437187538316</c:v>
                </c:pt>
                <c:pt idx="200">
                  <c:v>-0.6</c:v>
                </c:pt>
                <c:pt idx="201">
                  <c:v>-0.6</c:v>
                </c:pt>
                <c:pt idx="202">
                  <c:v>-0.93291603785164479</c:v>
                </c:pt>
              </c:numCache>
            </c:numRef>
          </c:xVal>
          <c:yVal>
            <c:numRef>
              <c:f>Dual!$K$7:$K$210</c:f>
              <c:numCache>
                <c:formatCode>0.00</c:formatCode>
                <c:ptCount val="204"/>
                <c:pt idx="0">
                  <c:v>-1.1000000000000001</c:v>
                </c:pt>
                <c:pt idx="1">
                  <c:v>-1.1000000000000001</c:v>
                </c:pt>
                <c:pt idx="2">
                  <c:v>-0.36009396873481281</c:v>
                </c:pt>
                <c:pt idx="4">
                  <c:v>-1.1000000000000001</c:v>
                </c:pt>
                <c:pt idx="5">
                  <c:v>-1.1000000000000001</c:v>
                </c:pt>
                <c:pt idx="6">
                  <c:v>-0.40453080630025712</c:v>
                </c:pt>
                <c:pt idx="8">
                  <c:v>-1.1000000000000001</c:v>
                </c:pt>
                <c:pt idx="9">
                  <c:v>-1.1000000000000001</c:v>
                </c:pt>
                <c:pt idx="10">
                  <c:v>-0.44803201026356693</c:v>
                </c:pt>
                <c:pt idx="12">
                  <c:v>-1.1000000000000001</c:v>
                </c:pt>
                <c:pt idx="13">
                  <c:v>-1.1000000000000001</c:v>
                </c:pt>
                <c:pt idx="14">
                  <c:v>-0.4904969673030195</c:v>
                </c:pt>
                <c:pt idx="16">
                  <c:v>-1.1000000000000001</c:v>
                </c:pt>
                <c:pt idx="17">
                  <c:v>-1.1000000000000001</c:v>
                </c:pt>
                <c:pt idx="18">
                  <c:v>-0.53182746081780119</c:v>
                </c:pt>
                <c:pt idx="20">
                  <c:v>-1.1000000000000001</c:v>
                </c:pt>
                <c:pt idx="21">
                  <c:v>-1.1000000000000001</c:v>
                </c:pt>
                <c:pt idx="22">
                  <c:v>-0.57192789809179989</c:v>
                </c:pt>
                <c:pt idx="24">
                  <c:v>-1.1000000000000001</c:v>
                </c:pt>
                <c:pt idx="25">
                  <c:v>-1.1000000000000001</c:v>
                </c:pt>
                <c:pt idx="26">
                  <c:v>-0.61070553138865247</c:v>
                </c:pt>
                <c:pt idx="28">
                  <c:v>-1.1000000000000001</c:v>
                </c:pt>
                <c:pt idx="29">
                  <c:v>-1.1000000000000001</c:v>
                </c:pt>
                <c:pt idx="30">
                  <c:v>-0.64807067246667438</c:v>
                </c:pt>
                <c:pt idx="32">
                  <c:v>-1.1000000000000001</c:v>
                </c:pt>
                <c:pt idx="33">
                  <c:v>-1.1000000000000001</c:v>
                </c:pt>
                <c:pt idx="34">
                  <c:v>-0.68393690001753416</c:v>
                </c:pt>
                <c:pt idx="36">
                  <c:v>-1.1000000000000001</c:v>
                </c:pt>
                <c:pt idx="37">
                  <c:v>-1.1000000000000001</c:v>
                </c:pt>
                <c:pt idx="38">
                  <c:v>-0.71822125954887794</c:v>
                </c:pt>
                <c:pt idx="40">
                  <c:v>-1.1000000000000001</c:v>
                </c:pt>
                <c:pt idx="41">
                  <c:v>-1.1000000000000001</c:v>
                </c:pt>
                <c:pt idx="42">
                  <c:v>-0.75084445524860466</c:v>
                </c:pt>
                <c:pt idx="44">
                  <c:v>-1.1000000000000001</c:v>
                </c:pt>
                <c:pt idx="45">
                  <c:v>-1.1000000000000001</c:v>
                </c:pt>
                <c:pt idx="46">
                  <c:v>-0.78173103338703542</c:v>
                </c:pt>
                <c:pt idx="48">
                  <c:v>-1.1000000000000001</c:v>
                </c:pt>
                <c:pt idx="49">
                  <c:v>-1.1000000000000001</c:v>
                </c:pt>
                <c:pt idx="50">
                  <c:v>-0.81080955683277889</c:v>
                </c:pt>
                <c:pt idx="52">
                  <c:v>-1.1000000000000001</c:v>
                </c:pt>
                <c:pt idx="53">
                  <c:v>-1.1000000000000001</c:v>
                </c:pt>
                <c:pt idx="54">
                  <c:v>-0.83801277027866861</c:v>
                </c:pt>
                <c:pt idx="56">
                  <c:v>-1.1000000000000001</c:v>
                </c:pt>
                <c:pt idx="57">
                  <c:v>-1.1000000000000001</c:v>
                </c:pt>
                <c:pt idx="58">
                  <c:v>-0.86327775579561283</c:v>
                </c:pt>
                <c:pt idx="60">
                  <c:v>-1.1000000000000001</c:v>
                </c:pt>
                <c:pt idx="61">
                  <c:v>-1.1000000000000001</c:v>
                </c:pt>
                <c:pt idx="62">
                  <c:v>-0.88654607835458843</c:v>
                </c:pt>
                <c:pt idx="64">
                  <c:v>-1.1000000000000001</c:v>
                </c:pt>
                <c:pt idx="65">
                  <c:v>-1.1000000000000001</c:v>
                </c:pt>
                <c:pt idx="66">
                  <c:v>-0.90776392098019487</c:v>
                </c:pt>
                <c:pt idx="68">
                  <c:v>-1.1000000000000001</c:v>
                </c:pt>
                <c:pt idx="69">
                  <c:v>-1.1000000000000001</c:v>
                </c:pt>
                <c:pt idx="70">
                  <c:v>-0.92688220922317799</c:v>
                </c:pt>
                <c:pt idx="72">
                  <c:v>-1.1000000000000001</c:v>
                </c:pt>
                <c:pt idx="73">
                  <c:v>-1.1000000000000001</c:v>
                </c:pt>
                <c:pt idx="74">
                  <c:v>-0.94385672466403381</c:v>
                </c:pt>
                <c:pt idx="76">
                  <c:v>-1.1000000000000001</c:v>
                </c:pt>
                <c:pt idx="77">
                  <c:v>-1.1000000000000001</c:v>
                </c:pt>
                <c:pt idx="78">
                  <c:v>-0.95864820718516663</c:v>
                </c:pt>
                <c:pt idx="80">
                  <c:v>-1.1000000000000001</c:v>
                </c:pt>
                <c:pt idx="81">
                  <c:v>-1.1000000000000001</c:v>
                </c:pt>
                <c:pt idx="82">
                  <c:v>-0.97122244577506256</c:v>
                </c:pt>
                <c:pt idx="84">
                  <c:v>-1.1000000000000001</c:v>
                </c:pt>
                <c:pt idx="85">
                  <c:v>-1.1000000000000001</c:v>
                </c:pt>
                <c:pt idx="86">
                  <c:v>-0.98155035765445531</c:v>
                </c:pt>
                <c:pt idx="88">
                  <c:v>-1.1000000000000001</c:v>
                </c:pt>
                <c:pt idx="89">
                  <c:v>-1.1000000000000001</c:v>
                </c:pt>
                <c:pt idx="90">
                  <c:v>-0.98960805554147713</c:v>
                </c:pt>
                <c:pt idx="92">
                  <c:v>-1.1000000000000001</c:v>
                </c:pt>
                <c:pt idx="93">
                  <c:v>-1.1000000000000001</c:v>
                </c:pt>
                <c:pt idx="94">
                  <c:v>-0.99537690290021685</c:v>
                </c:pt>
                <c:pt idx="96">
                  <c:v>-1.1000000000000001</c:v>
                </c:pt>
                <c:pt idx="97">
                  <c:v>-1.1000000000000001</c:v>
                </c:pt>
                <c:pt idx="98">
                  <c:v>-0.99884355704490002</c:v>
                </c:pt>
                <c:pt idx="100">
                  <c:v>-1.1000000000000001</c:v>
                </c:pt>
                <c:pt idx="101">
                  <c:v>-1.1000000000000001</c:v>
                </c:pt>
                <c:pt idx="102">
                  <c:v>-1</c:v>
                </c:pt>
                <c:pt idx="104">
                  <c:v>-1.1000000000000001</c:v>
                </c:pt>
                <c:pt idx="105">
                  <c:v>-1.1000000000000001</c:v>
                </c:pt>
                <c:pt idx="106">
                  <c:v>-0.99884355704490002</c:v>
                </c:pt>
                <c:pt idx="108">
                  <c:v>-1.1000000000000001</c:v>
                </c:pt>
                <c:pt idx="109">
                  <c:v>-1.1000000000000001</c:v>
                </c:pt>
                <c:pt idx="110">
                  <c:v>-0.99537690290021685</c:v>
                </c:pt>
                <c:pt idx="112">
                  <c:v>-1.1000000000000001</c:v>
                </c:pt>
                <c:pt idx="113">
                  <c:v>-1.1000000000000001</c:v>
                </c:pt>
                <c:pt idx="114">
                  <c:v>-0.98960805554147713</c:v>
                </c:pt>
                <c:pt idx="116">
                  <c:v>-1.1000000000000001</c:v>
                </c:pt>
                <c:pt idx="117">
                  <c:v>-1.1000000000000001</c:v>
                </c:pt>
                <c:pt idx="118">
                  <c:v>-0.9815503576544552</c:v>
                </c:pt>
                <c:pt idx="120">
                  <c:v>-1.1000000000000001</c:v>
                </c:pt>
                <c:pt idx="121">
                  <c:v>-1.1000000000000001</c:v>
                </c:pt>
                <c:pt idx="122">
                  <c:v>-0.97122244577506245</c:v>
                </c:pt>
                <c:pt idx="124">
                  <c:v>-1.1000000000000001</c:v>
                </c:pt>
                <c:pt idx="125">
                  <c:v>-1.1000000000000001</c:v>
                </c:pt>
                <c:pt idx="126">
                  <c:v>-0.95864820718516641</c:v>
                </c:pt>
                <c:pt idx="128">
                  <c:v>-1.1000000000000001</c:v>
                </c:pt>
                <c:pt idx="129">
                  <c:v>-1.1000000000000001</c:v>
                </c:pt>
                <c:pt idx="130">
                  <c:v>-0.9438567246640337</c:v>
                </c:pt>
                <c:pt idx="132">
                  <c:v>-1.1000000000000001</c:v>
                </c:pt>
                <c:pt idx="133">
                  <c:v>-1.1000000000000001</c:v>
                </c:pt>
                <c:pt idx="134">
                  <c:v>-0.92688220922317777</c:v>
                </c:pt>
                <c:pt idx="136">
                  <c:v>-1.1000000000000001</c:v>
                </c:pt>
                <c:pt idx="137">
                  <c:v>-1.1000000000000001</c:v>
                </c:pt>
                <c:pt idx="138">
                  <c:v>-0.90776392098019465</c:v>
                </c:pt>
                <c:pt idx="140">
                  <c:v>-1.1000000000000001</c:v>
                </c:pt>
                <c:pt idx="141">
                  <c:v>-1.1000000000000001</c:v>
                </c:pt>
                <c:pt idx="142">
                  <c:v>-0.88654607835458854</c:v>
                </c:pt>
                <c:pt idx="144">
                  <c:v>-1.1000000000000001</c:v>
                </c:pt>
                <c:pt idx="145">
                  <c:v>-1.1000000000000001</c:v>
                </c:pt>
                <c:pt idx="146">
                  <c:v>-0.8632777557956125</c:v>
                </c:pt>
                <c:pt idx="148">
                  <c:v>-1.1000000000000001</c:v>
                </c:pt>
                <c:pt idx="149">
                  <c:v>-1.1000000000000001</c:v>
                </c:pt>
                <c:pt idx="150">
                  <c:v>-0.8380127702786685</c:v>
                </c:pt>
                <c:pt idx="152">
                  <c:v>-1.1000000000000001</c:v>
                </c:pt>
                <c:pt idx="153">
                  <c:v>-1.1000000000000001</c:v>
                </c:pt>
                <c:pt idx="154">
                  <c:v>-0.81080955683277878</c:v>
                </c:pt>
                <c:pt idx="156">
                  <c:v>-1.1000000000000001</c:v>
                </c:pt>
                <c:pt idx="157">
                  <c:v>-1.1000000000000001</c:v>
                </c:pt>
                <c:pt idx="158">
                  <c:v>-0.78173103338703498</c:v>
                </c:pt>
                <c:pt idx="160">
                  <c:v>-1.1000000000000001</c:v>
                </c:pt>
                <c:pt idx="161">
                  <c:v>-1.1000000000000001</c:v>
                </c:pt>
                <c:pt idx="162">
                  <c:v>-0.75084445524860455</c:v>
                </c:pt>
                <c:pt idx="164">
                  <c:v>-1.1000000000000001</c:v>
                </c:pt>
                <c:pt idx="165">
                  <c:v>-1.1000000000000001</c:v>
                </c:pt>
                <c:pt idx="166">
                  <c:v>-0.71822125954887772</c:v>
                </c:pt>
                <c:pt idx="168">
                  <c:v>-1.1000000000000001</c:v>
                </c:pt>
                <c:pt idx="169">
                  <c:v>-1.1000000000000001</c:v>
                </c:pt>
                <c:pt idx="170">
                  <c:v>-0.68393690001753438</c:v>
                </c:pt>
                <c:pt idx="172">
                  <c:v>-1.1000000000000001</c:v>
                </c:pt>
                <c:pt idx="173">
                  <c:v>-1.1000000000000001</c:v>
                </c:pt>
                <c:pt idx="174">
                  <c:v>-0.64807067246667382</c:v>
                </c:pt>
                <c:pt idx="176">
                  <c:v>-1.1000000000000001</c:v>
                </c:pt>
                <c:pt idx="177">
                  <c:v>-1.1000000000000001</c:v>
                </c:pt>
                <c:pt idx="178">
                  <c:v>-0.61070553138865225</c:v>
                </c:pt>
                <c:pt idx="180">
                  <c:v>-1.1000000000000001</c:v>
                </c:pt>
                <c:pt idx="181">
                  <c:v>-1.1000000000000001</c:v>
                </c:pt>
                <c:pt idx="182">
                  <c:v>-0.5719278980918</c:v>
                </c:pt>
                <c:pt idx="184">
                  <c:v>-1.1000000000000001</c:v>
                </c:pt>
                <c:pt idx="185">
                  <c:v>-1.1000000000000001</c:v>
                </c:pt>
                <c:pt idx="186">
                  <c:v>-0.5318274608178013</c:v>
                </c:pt>
                <c:pt idx="188">
                  <c:v>-1.1000000000000001</c:v>
                </c:pt>
                <c:pt idx="189">
                  <c:v>-1.1000000000000001</c:v>
                </c:pt>
                <c:pt idx="190">
                  <c:v>-0.49049696730301934</c:v>
                </c:pt>
                <c:pt idx="192">
                  <c:v>-1.1000000000000001</c:v>
                </c:pt>
                <c:pt idx="193">
                  <c:v>-1.1000000000000001</c:v>
                </c:pt>
                <c:pt idx="194">
                  <c:v>-0.4480320102635667</c:v>
                </c:pt>
                <c:pt idx="196">
                  <c:v>-1.1000000000000001</c:v>
                </c:pt>
                <c:pt idx="197">
                  <c:v>-1.1000000000000001</c:v>
                </c:pt>
                <c:pt idx="198">
                  <c:v>-0.40453080630025667</c:v>
                </c:pt>
                <c:pt idx="200">
                  <c:v>-1.1000000000000001</c:v>
                </c:pt>
                <c:pt idx="201">
                  <c:v>-1.1000000000000001</c:v>
                </c:pt>
                <c:pt idx="202">
                  <c:v>-0.36009396873481297</c:v>
                </c:pt>
              </c:numCache>
            </c:numRef>
          </c:yVal>
        </c:ser>
        <c:ser>
          <c:idx val="1"/>
          <c:order val="7"/>
          <c:tx>
            <c:v>RED</c:v>
          </c:tx>
          <c:spPr>
            <a:ln w="12700">
              <a:solidFill>
                <a:srgbClr val="FF0000"/>
              </a:solidFill>
            </a:ln>
          </c:spPr>
          <c:marker>
            <c:symbol val="circle"/>
            <c:size val="2"/>
          </c:marker>
          <c:xVal>
            <c:numRef>
              <c:f>Dual!$H$7:$H$210</c:f>
              <c:numCache>
                <c:formatCode>0.00</c:formatCode>
                <c:ptCount val="204"/>
                <c:pt idx="0">
                  <c:v>0.6</c:v>
                </c:pt>
                <c:pt idx="1">
                  <c:v>0.6</c:v>
                </c:pt>
                <c:pt idx="2">
                  <c:v>0.9329160378516449</c:v>
                </c:pt>
                <c:pt idx="4">
                  <c:v>0.6</c:v>
                </c:pt>
                <c:pt idx="5">
                  <c:v>0.6</c:v>
                </c:pt>
                <c:pt idx="6">
                  <c:v>0.91452437187538305</c:v>
                </c:pt>
                <c:pt idx="8">
                  <c:v>0.6</c:v>
                </c:pt>
                <c:pt idx="9">
                  <c:v>0.6</c:v>
                </c:pt>
                <c:pt idx="10">
                  <c:v>0.89401751536487639</c:v>
                </c:pt>
                <c:pt idx="12">
                  <c:v>0.6</c:v>
                </c:pt>
                <c:pt idx="13">
                  <c:v>0.6</c:v>
                </c:pt>
                <c:pt idx="14">
                  <c:v>0.87144289833961042</c:v>
                </c:pt>
                <c:pt idx="16">
                  <c:v>0.6</c:v>
                </c:pt>
                <c:pt idx="17">
                  <c:v>0.6</c:v>
                </c:pt>
                <c:pt idx="18">
                  <c:v>0.84685273331323085</c:v>
                </c:pt>
                <c:pt idx="20">
                  <c:v>0.6</c:v>
                </c:pt>
                <c:pt idx="21">
                  <c:v>0.6</c:v>
                </c:pt>
                <c:pt idx="22">
                  <c:v>0.82030389453195685</c:v>
                </c:pt>
                <c:pt idx="24">
                  <c:v>0.6</c:v>
                </c:pt>
                <c:pt idx="25">
                  <c:v>0.6</c:v>
                </c:pt>
                <c:pt idx="26">
                  <c:v>0.79185778643093707</c:v>
                </c:pt>
                <c:pt idx="28">
                  <c:v>0.6</c:v>
                </c:pt>
                <c:pt idx="29">
                  <c:v>0.6</c:v>
                </c:pt>
                <c:pt idx="30">
                  <c:v>0.7615802016127996</c:v>
                </c:pt>
                <c:pt idx="32">
                  <c:v>0.6</c:v>
                </c:pt>
                <c:pt idx="33">
                  <c:v>0.6</c:v>
                </c:pt>
                <c:pt idx="34">
                  <c:v>0.72954116867686458</c:v>
                </c:pt>
                <c:pt idx="36">
                  <c:v>0.6</c:v>
                </c:pt>
                <c:pt idx="37">
                  <c:v>0.6</c:v>
                </c:pt>
                <c:pt idx="38">
                  <c:v>0.6958147902509858</c:v>
                </c:pt>
                <c:pt idx="40">
                  <c:v>0.6</c:v>
                </c:pt>
                <c:pt idx="41">
                  <c:v>0.6</c:v>
                </c:pt>
                <c:pt idx="42">
                  <c:v>0.66047907160062691</c:v>
                </c:pt>
                <c:pt idx="44">
                  <c:v>0.6</c:v>
                </c:pt>
                <c:pt idx="45">
                  <c:v>0.6</c:v>
                </c:pt>
                <c:pt idx="46">
                  <c:v>0.62361574021158073</c:v>
                </c:pt>
                <c:pt idx="48">
                  <c:v>0.6</c:v>
                </c:pt>
                <c:pt idx="49">
                  <c:v>0.6</c:v>
                </c:pt>
                <c:pt idx="50">
                  <c:v>0.58531005676362047</c:v>
                </c:pt>
                <c:pt idx="52">
                  <c:v>0.6</c:v>
                </c:pt>
                <c:pt idx="53">
                  <c:v>0.6</c:v>
                </c:pt>
                <c:pt idx="54">
                  <c:v>0.54565061793227299</c:v>
                </c:pt>
                <c:pt idx="56">
                  <c:v>0.6</c:v>
                </c:pt>
                <c:pt idx="57">
                  <c:v>0.6</c:v>
                </c:pt>
                <c:pt idx="58">
                  <c:v>0.50472915147481845</c:v>
                </c:pt>
                <c:pt idx="60">
                  <c:v>0.6</c:v>
                </c:pt>
                <c:pt idx="61">
                  <c:v>0.6</c:v>
                </c:pt>
                <c:pt idx="62">
                  <c:v>0.4626403040744505</c:v>
                </c:pt>
                <c:pt idx="64">
                  <c:v>0.6</c:v>
                </c:pt>
                <c:pt idx="65">
                  <c:v>0.6</c:v>
                </c:pt>
                <c:pt idx="66">
                  <c:v>0.41948142243329734</c:v>
                </c:pt>
                <c:pt idx="68">
                  <c:v>0.6</c:v>
                </c:pt>
                <c:pt idx="69">
                  <c:v>0.6</c:v>
                </c:pt>
                <c:pt idx="70">
                  <c:v>0.37535232812060837</c:v>
                </c:pt>
                <c:pt idx="72">
                  <c:v>0.6</c:v>
                </c:pt>
                <c:pt idx="73">
                  <c:v>0.6</c:v>
                </c:pt>
                <c:pt idx="74">
                  <c:v>0.33035508669684843</c:v>
                </c:pt>
                <c:pt idx="76">
                  <c:v>0.6</c:v>
                </c:pt>
                <c:pt idx="77">
                  <c:v>0.6</c:v>
                </c:pt>
                <c:pt idx="78">
                  <c:v>0.2845937716477045</c:v>
                </c:pt>
                <c:pt idx="80">
                  <c:v>0.6</c:v>
                </c:pt>
                <c:pt idx="81">
                  <c:v>0.6</c:v>
                </c:pt>
                <c:pt idx="82">
                  <c:v>0.2381742236739855</c:v>
                </c:pt>
                <c:pt idx="84">
                  <c:v>0.6</c:v>
                </c:pt>
                <c:pt idx="85">
                  <c:v>0.6</c:v>
                </c:pt>
                <c:pt idx="86">
                  <c:v>0.19120380589415809</c:v>
                </c:pt>
                <c:pt idx="88">
                  <c:v>0.6</c:v>
                </c:pt>
                <c:pt idx="89">
                  <c:v>0.6</c:v>
                </c:pt>
                <c:pt idx="90">
                  <c:v>0.14379115552570232</c:v>
                </c:pt>
                <c:pt idx="92">
                  <c:v>0.6</c:v>
                </c:pt>
                <c:pt idx="93">
                  <c:v>0.6</c:v>
                </c:pt>
                <c:pt idx="94">
                  <c:v>9.6045932619618926E-2</c:v>
                </c:pt>
                <c:pt idx="96">
                  <c:v>0.6</c:v>
                </c:pt>
                <c:pt idx="97">
                  <c:v>0.6</c:v>
                </c:pt>
                <c:pt idx="98">
                  <c:v>4.8078566429247592E-2</c:v>
                </c:pt>
                <c:pt idx="100">
                  <c:v>0.6</c:v>
                </c:pt>
                <c:pt idx="101">
                  <c:v>0.6</c:v>
                </c:pt>
                <c:pt idx="102">
                  <c:v>-1.22514845490862E-16</c:v>
                </c:pt>
                <c:pt idx="104">
                  <c:v>0.6</c:v>
                </c:pt>
                <c:pt idx="105">
                  <c:v>0.6</c:v>
                </c:pt>
                <c:pt idx="106">
                  <c:v>-4.8078566429248286E-2</c:v>
                </c:pt>
                <c:pt idx="108">
                  <c:v>0.6</c:v>
                </c:pt>
                <c:pt idx="109">
                  <c:v>0.6</c:v>
                </c:pt>
                <c:pt idx="110">
                  <c:v>-9.6045932619618732E-2</c:v>
                </c:pt>
                <c:pt idx="112">
                  <c:v>0.6</c:v>
                </c:pt>
                <c:pt idx="113">
                  <c:v>0.6</c:v>
                </c:pt>
                <c:pt idx="114">
                  <c:v>-0.14379115552570257</c:v>
                </c:pt>
                <c:pt idx="116">
                  <c:v>0.6</c:v>
                </c:pt>
                <c:pt idx="117">
                  <c:v>0.6</c:v>
                </c:pt>
                <c:pt idx="118">
                  <c:v>-0.19120380589415875</c:v>
                </c:pt>
                <c:pt idx="120">
                  <c:v>0.6</c:v>
                </c:pt>
                <c:pt idx="121">
                  <c:v>0.6</c:v>
                </c:pt>
                <c:pt idx="122">
                  <c:v>-0.23817422367398572</c:v>
                </c:pt>
                <c:pt idx="124">
                  <c:v>0.6</c:v>
                </c:pt>
                <c:pt idx="125">
                  <c:v>0.6</c:v>
                </c:pt>
                <c:pt idx="126">
                  <c:v>-0.28459377164770516</c:v>
                </c:pt>
                <c:pt idx="128">
                  <c:v>0.6</c:v>
                </c:pt>
                <c:pt idx="129">
                  <c:v>0.6</c:v>
                </c:pt>
                <c:pt idx="130">
                  <c:v>-0.33035508669684865</c:v>
                </c:pt>
                <c:pt idx="132">
                  <c:v>0.6</c:v>
                </c:pt>
                <c:pt idx="133">
                  <c:v>0.6</c:v>
                </c:pt>
                <c:pt idx="134">
                  <c:v>-0.37535232812060898</c:v>
                </c:pt>
                <c:pt idx="136">
                  <c:v>0.6</c:v>
                </c:pt>
                <c:pt idx="137">
                  <c:v>0.6</c:v>
                </c:pt>
                <c:pt idx="138">
                  <c:v>-0.41948142243329795</c:v>
                </c:pt>
                <c:pt idx="140">
                  <c:v>0.6</c:v>
                </c:pt>
                <c:pt idx="141">
                  <c:v>0.6</c:v>
                </c:pt>
                <c:pt idx="142">
                  <c:v>-0.46264030407445034</c:v>
                </c:pt>
                <c:pt idx="144">
                  <c:v>0.6</c:v>
                </c:pt>
                <c:pt idx="145">
                  <c:v>0.6</c:v>
                </c:pt>
                <c:pt idx="146">
                  <c:v>-0.504729151474819</c:v>
                </c:pt>
                <c:pt idx="148">
                  <c:v>0.6</c:v>
                </c:pt>
                <c:pt idx="149">
                  <c:v>0.6</c:v>
                </c:pt>
                <c:pt idx="150">
                  <c:v>-0.54565061793227321</c:v>
                </c:pt>
                <c:pt idx="152">
                  <c:v>0.6</c:v>
                </c:pt>
                <c:pt idx="153">
                  <c:v>0.6</c:v>
                </c:pt>
                <c:pt idx="154">
                  <c:v>-0.58531005676362069</c:v>
                </c:pt>
                <c:pt idx="156">
                  <c:v>0.6</c:v>
                </c:pt>
                <c:pt idx="157">
                  <c:v>0.6</c:v>
                </c:pt>
                <c:pt idx="158">
                  <c:v>-0.62361574021158128</c:v>
                </c:pt>
                <c:pt idx="160">
                  <c:v>0.6</c:v>
                </c:pt>
                <c:pt idx="161">
                  <c:v>0.6</c:v>
                </c:pt>
                <c:pt idx="162">
                  <c:v>-0.66047907160062713</c:v>
                </c:pt>
                <c:pt idx="164">
                  <c:v>0.6</c:v>
                </c:pt>
                <c:pt idx="165">
                  <c:v>0.6</c:v>
                </c:pt>
                <c:pt idx="166">
                  <c:v>-0.69581479025098592</c:v>
                </c:pt>
                <c:pt idx="168">
                  <c:v>0.6</c:v>
                </c:pt>
                <c:pt idx="169">
                  <c:v>0.6</c:v>
                </c:pt>
                <c:pt idx="170">
                  <c:v>-0.72954116867686447</c:v>
                </c:pt>
                <c:pt idx="172">
                  <c:v>0.6</c:v>
                </c:pt>
                <c:pt idx="173">
                  <c:v>0.6</c:v>
                </c:pt>
                <c:pt idx="174">
                  <c:v>-0.76158020161280005</c:v>
                </c:pt>
                <c:pt idx="176">
                  <c:v>0.6</c:v>
                </c:pt>
                <c:pt idx="177">
                  <c:v>0.6</c:v>
                </c:pt>
                <c:pt idx="178">
                  <c:v>-0.79185778643093729</c:v>
                </c:pt>
                <c:pt idx="180">
                  <c:v>0.6</c:v>
                </c:pt>
                <c:pt idx="181">
                  <c:v>0.6</c:v>
                </c:pt>
                <c:pt idx="182">
                  <c:v>-0.82030389453195673</c:v>
                </c:pt>
                <c:pt idx="184">
                  <c:v>0.6</c:v>
                </c:pt>
                <c:pt idx="185">
                  <c:v>0.6</c:v>
                </c:pt>
                <c:pt idx="186">
                  <c:v>-0.84685273331323074</c:v>
                </c:pt>
                <c:pt idx="188">
                  <c:v>0.6</c:v>
                </c:pt>
                <c:pt idx="189">
                  <c:v>0.6</c:v>
                </c:pt>
                <c:pt idx="190">
                  <c:v>-0.87144289833961053</c:v>
                </c:pt>
                <c:pt idx="192">
                  <c:v>0.6</c:v>
                </c:pt>
                <c:pt idx="193">
                  <c:v>0.6</c:v>
                </c:pt>
                <c:pt idx="194">
                  <c:v>-0.8940175153648765</c:v>
                </c:pt>
                <c:pt idx="196">
                  <c:v>0.6</c:v>
                </c:pt>
                <c:pt idx="197">
                  <c:v>0.6</c:v>
                </c:pt>
                <c:pt idx="198">
                  <c:v>-0.91452437187538316</c:v>
                </c:pt>
                <c:pt idx="200">
                  <c:v>0.6</c:v>
                </c:pt>
                <c:pt idx="201">
                  <c:v>0.6</c:v>
                </c:pt>
                <c:pt idx="202">
                  <c:v>-0.93291603785164479</c:v>
                </c:pt>
              </c:numCache>
            </c:numRef>
          </c:xVal>
          <c:yVal>
            <c:numRef>
              <c:f>Dual!$I$7:$I$210</c:f>
              <c:numCache>
                <c:formatCode>0.00</c:formatCode>
                <c:ptCount val="204"/>
                <c:pt idx="0">
                  <c:v>-1.1000000000000001</c:v>
                </c:pt>
                <c:pt idx="1">
                  <c:v>-1.1000000000000001</c:v>
                </c:pt>
                <c:pt idx="2">
                  <c:v>-0.36009396873481281</c:v>
                </c:pt>
                <c:pt idx="4">
                  <c:v>-1.1000000000000001</c:v>
                </c:pt>
                <c:pt idx="5">
                  <c:v>-1.1000000000000001</c:v>
                </c:pt>
                <c:pt idx="6">
                  <c:v>-0.40453080630025712</c:v>
                </c:pt>
                <c:pt idx="8">
                  <c:v>-1.1000000000000001</c:v>
                </c:pt>
                <c:pt idx="9">
                  <c:v>-1.1000000000000001</c:v>
                </c:pt>
                <c:pt idx="10">
                  <c:v>-0.44803201026356693</c:v>
                </c:pt>
                <c:pt idx="12">
                  <c:v>-1.1000000000000001</c:v>
                </c:pt>
                <c:pt idx="13">
                  <c:v>-1.1000000000000001</c:v>
                </c:pt>
                <c:pt idx="14">
                  <c:v>-0.4904969673030195</c:v>
                </c:pt>
                <c:pt idx="16">
                  <c:v>-1.1000000000000001</c:v>
                </c:pt>
                <c:pt idx="17">
                  <c:v>-1.1000000000000001</c:v>
                </c:pt>
                <c:pt idx="18">
                  <c:v>-0.53182746081780119</c:v>
                </c:pt>
                <c:pt idx="20">
                  <c:v>-1.1000000000000001</c:v>
                </c:pt>
                <c:pt idx="21">
                  <c:v>-1.1000000000000001</c:v>
                </c:pt>
                <c:pt idx="22">
                  <c:v>-0.57192789809179989</c:v>
                </c:pt>
                <c:pt idx="24">
                  <c:v>-1.1000000000000001</c:v>
                </c:pt>
                <c:pt idx="25">
                  <c:v>-1.1000000000000001</c:v>
                </c:pt>
                <c:pt idx="26">
                  <c:v>-0.61070553138865247</c:v>
                </c:pt>
                <c:pt idx="28">
                  <c:v>-1.1000000000000001</c:v>
                </c:pt>
                <c:pt idx="29">
                  <c:v>-1.1000000000000001</c:v>
                </c:pt>
                <c:pt idx="30">
                  <c:v>-0.64807067246667438</c:v>
                </c:pt>
                <c:pt idx="32">
                  <c:v>-1.1000000000000001</c:v>
                </c:pt>
                <c:pt idx="33">
                  <c:v>-1.1000000000000001</c:v>
                </c:pt>
                <c:pt idx="34">
                  <c:v>-0.68393690001753416</c:v>
                </c:pt>
                <c:pt idx="36">
                  <c:v>-1.1000000000000001</c:v>
                </c:pt>
                <c:pt idx="37">
                  <c:v>-1.1000000000000001</c:v>
                </c:pt>
                <c:pt idx="38">
                  <c:v>-0.71822125954887794</c:v>
                </c:pt>
                <c:pt idx="40">
                  <c:v>-1.1000000000000001</c:v>
                </c:pt>
                <c:pt idx="41">
                  <c:v>-1.1000000000000001</c:v>
                </c:pt>
                <c:pt idx="42">
                  <c:v>-0.75084445524860466</c:v>
                </c:pt>
                <c:pt idx="44">
                  <c:v>-1.1000000000000001</c:v>
                </c:pt>
                <c:pt idx="45">
                  <c:v>-1.1000000000000001</c:v>
                </c:pt>
                <c:pt idx="46">
                  <c:v>-0.78173103338703542</c:v>
                </c:pt>
                <c:pt idx="48">
                  <c:v>-1.1000000000000001</c:v>
                </c:pt>
                <c:pt idx="49">
                  <c:v>-1.1000000000000001</c:v>
                </c:pt>
                <c:pt idx="50">
                  <c:v>-0.81080955683277889</c:v>
                </c:pt>
                <c:pt idx="52">
                  <c:v>-1.1000000000000001</c:v>
                </c:pt>
                <c:pt idx="53">
                  <c:v>-1.1000000000000001</c:v>
                </c:pt>
                <c:pt idx="54">
                  <c:v>-0.83801277027866861</c:v>
                </c:pt>
                <c:pt idx="56">
                  <c:v>-1.1000000000000001</c:v>
                </c:pt>
                <c:pt idx="57">
                  <c:v>-1.1000000000000001</c:v>
                </c:pt>
                <c:pt idx="58">
                  <c:v>-0.86327775579561283</c:v>
                </c:pt>
                <c:pt idx="60">
                  <c:v>-1.1000000000000001</c:v>
                </c:pt>
                <c:pt idx="61">
                  <c:v>-1.1000000000000001</c:v>
                </c:pt>
                <c:pt idx="62">
                  <c:v>-0.88654607835458843</c:v>
                </c:pt>
                <c:pt idx="64">
                  <c:v>-1.1000000000000001</c:v>
                </c:pt>
                <c:pt idx="65">
                  <c:v>-1.1000000000000001</c:v>
                </c:pt>
                <c:pt idx="66">
                  <c:v>-0.90776392098019487</c:v>
                </c:pt>
                <c:pt idx="68">
                  <c:v>-1.1000000000000001</c:v>
                </c:pt>
                <c:pt idx="69">
                  <c:v>-1.1000000000000001</c:v>
                </c:pt>
                <c:pt idx="70">
                  <c:v>-0.92688220922317799</c:v>
                </c:pt>
                <c:pt idx="72">
                  <c:v>-1.1000000000000001</c:v>
                </c:pt>
                <c:pt idx="73">
                  <c:v>-1.1000000000000001</c:v>
                </c:pt>
                <c:pt idx="74">
                  <c:v>-0.94385672466403381</c:v>
                </c:pt>
                <c:pt idx="76">
                  <c:v>-1.1000000000000001</c:v>
                </c:pt>
                <c:pt idx="77">
                  <c:v>-1.1000000000000001</c:v>
                </c:pt>
                <c:pt idx="78">
                  <c:v>-0.95864820718516663</c:v>
                </c:pt>
                <c:pt idx="80">
                  <c:v>-1.1000000000000001</c:v>
                </c:pt>
                <c:pt idx="81">
                  <c:v>-1.1000000000000001</c:v>
                </c:pt>
                <c:pt idx="82">
                  <c:v>-0.97122244577506256</c:v>
                </c:pt>
                <c:pt idx="84">
                  <c:v>-1.1000000000000001</c:v>
                </c:pt>
                <c:pt idx="85">
                  <c:v>-1.1000000000000001</c:v>
                </c:pt>
                <c:pt idx="86">
                  <c:v>-0.98155035765445531</c:v>
                </c:pt>
                <c:pt idx="88">
                  <c:v>-1.1000000000000001</c:v>
                </c:pt>
                <c:pt idx="89">
                  <c:v>-1.1000000000000001</c:v>
                </c:pt>
                <c:pt idx="90">
                  <c:v>-0.98960805554147713</c:v>
                </c:pt>
                <c:pt idx="92">
                  <c:v>-1.1000000000000001</c:v>
                </c:pt>
                <c:pt idx="93">
                  <c:v>-1.1000000000000001</c:v>
                </c:pt>
                <c:pt idx="94">
                  <c:v>-0.99537690290021685</c:v>
                </c:pt>
                <c:pt idx="96">
                  <c:v>-1.1000000000000001</c:v>
                </c:pt>
                <c:pt idx="97">
                  <c:v>-1.1000000000000001</c:v>
                </c:pt>
                <c:pt idx="98">
                  <c:v>-0.99884355704490002</c:v>
                </c:pt>
                <c:pt idx="100">
                  <c:v>-1.1000000000000001</c:v>
                </c:pt>
                <c:pt idx="101">
                  <c:v>-1.1000000000000001</c:v>
                </c:pt>
                <c:pt idx="102">
                  <c:v>-1</c:v>
                </c:pt>
                <c:pt idx="104">
                  <c:v>-1.1000000000000001</c:v>
                </c:pt>
                <c:pt idx="105">
                  <c:v>-1.1000000000000001</c:v>
                </c:pt>
                <c:pt idx="106">
                  <c:v>-0.99884355704490002</c:v>
                </c:pt>
                <c:pt idx="108">
                  <c:v>-1.1000000000000001</c:v>
                </c:pt>
                <c:pt idx="109">
                  <c:v>-1.1000000000000001</c:v>
                </c:pt>
                <c:pt idx="110">
                  <c:v>-0.99537690290021685</c:v>
                </c:pt>
                <c:pt idx="112">
                  <c:v>-1.1000000000000001</c:v>
                </c:pt>
                <c:pt idx="113">
                  <c:v>-1.1000000000000001</c:v>
                </c:pt>
                <c:pt idx="114">
                  <c:v>-0.98960805554147713</c:v>
                </c:pt>
                <c:pt idx="116">
                  <c:v>-1.1000000000000001</c:v>
                </c:pt>
                <c:pt idx="117">
                  <c:v>-1.1000000000000001</c:v>
                </c:pt>
                <c:pt idx="118">
                  <c:v>-0.9815503576544552</c:v>
                </c:pt>
                <c:pt idx="120">
                  <c:v>-1.1000000000000001</c:v>
                </c:pt>
                <c:pt idx="121">
                  <c:v>-1.1000000000000001</c:v>
                </c:pt>
                <c:pt idx="122">
                  <c:v>-0.97122244577506245</c:v>
                </c:pt>
                <c:pt idx="124">
                  <c:v>-1.1000000000000001</c:v>
                </c:pt>
                <c:pt idx="125">
                  <c:v>-1.1000000000000001</c:v>
                </c:pt>
                <c:pt idx="126">
                  <c:v>-0.95864820718516641</c:v>
                </c:pt>
                <c:pt idx="128">
                  <c:v>-1.1000000000000001</c:v>
                </c:pt>
                <c:pt idx="129">
                  <c:v>-1.1000000000000001</c:v>
                </c:pt>
                <c:pt idx="130">
                  <c:v>-0.9438567246640337</c:v>
                </c:pt>
                <c:pt idx="132">
                  <c:v>-1.1000000000000001</c:v>
                </c:pt>
                <c:pt idx="133">
                  <c:v>-1.1000000000000001</c:v>
                </c:pt>
                <c:pt idx="134">
                  <c:v>-0.92688220922317777</c:v>
                </c:pt>
                <c:pt idx="136">
                  <c:v>-1.1000000000000001</c:v>
                </c:pt>
                <c:pt idx="137">
                  <c:v>-1.1000000000000001</c:v>
                </c:pt>
                <c:pt idx="138">
                  <c:v>-0.90776392098019465</c:v>
                </c:pt>
                <c:pt idx="140">
                  <c:v>-1.1000000000000001</c:v>
                </c:pt>
                <c:pt idx="141">
                  <c:v>-1.1000000000000001</c:v>
                </c:pt>
                <c:pt idx="142">
                  <c:v>-0.88654607835458854</c:v>
                </c:pt>
                <c:pt idx="144">
                  <c:v>-1.1000000000000001</c:v>
                </c:pt>
                <c:pt idx="145">
                  <c:v>-1.1000000000000001</c:v>
                </c:pt>
                <c:pt idx="146">
                  <c:v>-0.8632777557956125</c:v>
                </c:pt>
                <c:pt idx="148">
                  <c:v>-1.1000000000000001</c:v>
                </c:pt>
                <c:pt idx="149">
                  <c:v>-1.1000000000000001</c:v>
                </c:pt>
                <c:pt idx="150">
                  <c:v>-0.8380127702786685</c:v>
                </c:pt>
                <c:pt idx="152">
                  <c:v>-1.1000000000000001</c:v>
                </c:pt>
                <c:pt idx="153">
                  <c:v>-1.1000000000000001</c:v>
                </c:pt>
                <c:pt idx="154">
                  <c:v>-0.81080955683277878</c:v>
                </c:pt>
                <c:pt idx="156">
                  <c:v>-1.1000000000000001</c:v>
                </c:pt>
                <c:pt idx="157">
                  <c:v>-1.1000000000000001</c:v>
                </c:pt>
                <c:pt idx="158">
                  <c:v>-0.78173103338703498</c:v>
                </c:pt>
                <c:pt idx="160">
                  <c:v>-1.1000000000000001</c:v>
                </c:pt>
                <c:pt idx="161">
                  <c:v>-1.1000000000000001</c:v>
                </c:pt>
                <c:pt idx="162">
                  <c:v>-0.75084445524860455</c:v>
                </c:pt>
                <c:pt idx="164">
                  <c:v>-1.1000000000000001</c:v>
                </c:pt>
                <c:pt idx="165">
                  <c:v>-1.1000000000000001</c:v>
                </c:pt>
                <c:pt idx="166">
                  <c:v>-0.71822125954887772</c:v>
                </c:pt>
                <c:pt idx="168">
                  <c:v>-1.1000000000000001</c:v>
                </c:pt>
                <c:pt idx="169">
                  <c:v>-1.1000000000000001</c:v>
                </c:pt>
                <c:pt idx="170">
                  <c:v>-0.68393690001753438</c:v>
                </c:pt>
                <c:pt idx="172">
                  <c:v>-1.1000000000000001</c:v>
                </c:pt>
                <c:pt idx="173">
                  <c:v>-1.1000000000000001</c:v>
                </c:pt>
                <c:pt idx="174">
                  <c:v>-0.64807067246667382</c:v>
                </c:pt>
                <c:pt idx="176">
                  <c:v>-1.1000000000000001</c:v>
                </c:pt>
                <c:pt idx="177">
                  <c:v>-1.1000000000000001</c:v>
                </c:pt>
                <c:pt idx="178">
                  <c:v>-0.61070553138865225</c:v>
                </c:pt>
                <c:pt idx="180">
                  <c:v>-1.1000000000000001</c:v>
                </c:pt>
                <c:pt idx="181">
                  <c:v>-1.1000000000000001</c:v>
                </c:pt>
                <c:pt idx="182">
                  <c:v>-0.5719278980918</c:v>
                </c:pt>
                <c:pt idx="184">
                  <c:v>-1.1000000000000001</c:v>
                </c:pt>
                <c:pt idx="185">
                  <c:v>-1.1000000000000001</c:v>
                </c:pt>
                <c:pt idx="186">
                  <c:v>-0.5318274608178013</c:v>
                </c:pt>
                <c:pt idx="188">
                  <c:v>-1.1000000000000001</c:v>
                </c:pt>
                <c:pt idx="189">
                  <c:v>-1.1000000000000001</c:v>
                </c:pt>
                <c:pt idx="190">
                  <c:v>-0.49049696730301934</c:v>
                </c:pt>
                <c:pt idx="192">
                  <c:v>-1.1000000000000001</c:v>
                </c:pt>
                <c:pt idx="193">
                  <c:v>-1.1000000000000001</c:v>
                </c:pt>
                <c:pt idx="194">
                  <c:v>-0.4480320102635667</c:v>
                </c:pt>
                <c:pt idx="196">
                  <c:v>-1.1000000000000001</c:v>
                </c:pt>
                <c:pt idx="197">
                  <c:v>-1.1000000000000001</c:v>
                </c:pt>
                <c:pt idx="198">
                  <c:v>-0.40453080630025667</c:v>
                </c:pt>
                <c:pt idx="200">
                  <c:v>-1.1000000000000001</c:v>
                </c:pt>
                <c:pt idx="201">
                  <c:v>-1.1000000000000001</c:v>
                </c:pt>
                <c:pt idx="202">
                  <c:v>-0.36009396873481297</c:v>
                </c:pt>
              </c:numCache>
            </c:numRef>
          </c:yVal>
        </c:ser>
        <c:ser>
          <c:idx val="8"/>
          <c:order val="8"/>
          <c:tx>
            <c:v>Torque</c:v>
          </c:tx>
          <c:spPr>
            <a:ln w="19050">
              <a:solidFill>
                <a:srgbClr val="996633"/>
              </a:solidFill>
            </a:ln>
          </c:spPr>
          <c:marker>
            <c:symbol val="none"/>
          </c:marker>
          <c:xVal>
            <c:numRef>
              <c:f>Dual!$R$7:$R$210</c:f>
              <c:numCache>
                <c:formatCode>0.00</c:formatCode>
                <c:ptCount val="204"/>
                <c:pt idx="0">
                  <c:v>-0.75211592467563071</c:v>
                </c:pt>
                <c:pt idx="1">
                  <c:v>-0.73148670233824542</c:v>
                </c:pt>
                <c:pt idx="4">
                  <c:v>-0.73148670233824542</c:v>
                </c:pt>
                <c:pt idx="5">
                  <c:v>-0.70630126564842322</c:v>
                </c:pt>
                <c:pt idx="8">
                  <c:v>-0.70630126564842322</c:v>
                </c:pt>
                <c:pt idx="9">
                  <c:v>-0.67673786157642601</c:v>
                </c:pt>
                <c:pt idx="12">
                  <c:v>-0.67673786157642601</c:v>
                </c:pt>
                <c:pt idx="13">
                  <c:v>-0.64300768400003472</c:v>
                </c:pt>
                <c:pt idx="16">
                  <c:v>-0.64300768400003472</c:v>
                </c:pt>
                <c:pt idx="17">
                  <c:v>-0.6053445441174633</c:v>
                </c:pt>
                <c:pt idx="20">
                  <c:v>-0.6053445441174633</c:v>
                </c:pt>
                <c:pt idx="21">
                  <c:v>-0.56399190891747564</c:v>
                </c:pt>
                <c:pt idx="24">
                  <c:v>-0.56399190891747564</c:v>
                </c:pt>
                <c:pt idx="25">
                  <c:v>-0.51918796691453351</c:v>
                </c:pt>
                <c:pt idx="28">
                  <c:v>-0.51918796691453351</c:v>
                </c:pt>
                <c:pt idx="29">
                  <c:v>-0.471151853125514</c:v>
                </c:pt>
                <c:pt idx="32">
                  <c:v>-0.471151853125514</c:v>
                </c:pt>
                <c:pt idx="33">
                  <c:v>-0.42008084211123026</c:v>
                </c:pt>
                <c:pt idx="36">
                  <c:v>-0.42008084211123026</c:v>
                </c:pt>
                <c:pt idx="37">
                  <c:v>-0.36618437433431639</c:v>
                </c:pt>
                <c:pt idx="40">
                  <c:v>-0.36618437433431639</c:v>
                </c:pt>
                <c:pt idx="41">
                  <c:v>-0.309812872513683</c:v>
                </c:pt>
                <c:pt idx="44">
                  <c:v>-0.309812872513683</c:v>
                </c:pt>
                <c:pt idx="45">
                  <c:v>-0.25177823713493824</c:v>
                </c:pt>
                <c:pt idx="48">
                  <c:v>-0.25177823713493824</c:v>
                </c:pt>
                <c:pt idx="49">
                  <c:v>-0.19391711156364869</c:v>
                </c:pt>
                <c:pt idx="52">
                  <c:v>-0.19391711156364869</c:v>
                </c:pt>
                <c:pt idx="53">
                  <c:v>-0.13957714493935061</c:v>
                </c:pt>
                <c:pt idx="56">
                  <c:v>-0.13957714493935061</c:v>
                </c:pt>
                <c:pt idx="57">
                  <c:v>-0.11247577967902576</c:v>
                </c:pt>
                <c:pt idx="60">
                  <c:v>-0.11247577967902576</c:v>
                </c:pt>
                <c:pt idx="61">
                  <c:v>-0.11309096430198476</c:v>
                </c:pt>
                <c:pt idx="64">
                  <c:v>-0.11309096430198476</c:v>
                </c:pt>
                <c:pt idx="65">
                  <c:v>-0.10448890297694266</c:v>
                </c:pt>
                <c:pt idx="68">
                  <c:v>-0.10448890297694266</c:v>
                </c:pt>
                <c:pt idx="69">
                  <c:v>-8.9313821561582948E-2</c:v>
                </c:pt>
                <c:pt idx="72">
                  <c:v>-8.9313821561582948E-2</c:v>
                </c:pt>
                <c:pt idx="73">
                  <c:v>-7.0868190381699545E-2</c:v>
                </c:pt>
                <c:pt idx="76">
                  <c:v>-7.0868190381699545E-2</c:v>
                </c:pt>
                <c:pt idx="77">
                  <c:v>-5.1941004092688071E-2</c:v>
                </c:pt>
                <c:pt idx="80">
                  <c:v>-5.1941004092688071E-2</c:v>
                </c:pt>
                <c:pt idx="81">
                  <c:v>-3.4522577114390642E-2</c:v>
                </c:pt>
                <c:pt idx="84">
                  <c:v>-3.4522577114390642E-2</c:v>
                </c:pt>
                <c:pt idx="85">
                  <c:v>-1.9931836740952807E-2</c:v>
                </c:pt>
                <c:pt idx="88">
                  <c:v>-1.9931836740952807E-2</c:v>
                </c:pt>
                <c:pt idx="89">
                  <c:v>-9.0111221002266376E-3</c:v>
                </c:pt>
                <c:pt idx="92">
                  <c:v>-9.0111221002266376E-3</c:v>
                </c:pt>
                <c:pt idx="93">
                  <c:v>-2.2747018384175702E-3</c:v>
                </c:pt>
                <c:pt idx="96">
                  <c:v>-2.2747018384175702E-3</c:v>
                </c:pt>
                <c:pt idx="97">
                  <c:v>0</c:v>
                </c:pt>
                <c:pt idx="100">
                  <c:v>0</c:v>
                </c:pt>
                <c:pt idx="101">
                  <c:v>2.2747018384176145E-3</c:v>
                </c:pt>
                <c:pt idx="104">
                  <c:v>2.2747018384176145E-3</c:v>
                </c:pt>
                <c:pt idx="105">
                  <c:v>9.0111221002266307E-3</c:v>
                </c:pt>
                <c:pt idx="108">
                  <c:v>9.0111221002266307E-3</c:v>
                </c:pt>
                <c:pt idx="109">
                  <c:v>1.9931836740952842E-2</c:v>
                </c:pt>
                <c:pt idx="112">
                  <c:v>1.9931836740952842E-2</c:v>
                </c:pt>
                <c:pt idx="113">
                  <c:v>3.4522577114390787E-2</c:v>
                </c:pt>
                <c:pt idx="116">
                  <c:v>3.4522577114390787E-2</c:v>
                </c:pt>
                <c:pt idx="117">
                  <c:v>5.1941004092688127E-2</c:v>
                </c:pt>
                <c:pt idx="120">
                  <c:v>5.1941004092688127E-2</c:v>
                </c:pt>
                <c:pt idx="121">
                  <c:v>7.0868190381699711E-2</c:v>
                </c:pt>
                <c:pt idx="124">
                  <c:v>7.0868190381699711E-2</c:v>
                </c:pt>
                <c:pt idx="125">
                  <c:v>8.9313821561583046E-2</c:v>
                </c:pt>
                <c:pt idx="128">
                  <c:v>8.9313821561583046E-2</c:v>
                </c:pt>
                <c:pt idx="129">
                  <c:v>0.10448890297694265</c:v>
                </c:pt>
                <c:pt idx="132">
                  <c:v>0.10448890297694265</c:v>
                </c:pt>
                <c:pt idx="133">
                  <c:v>0.11309096430198469</c:v>
                </c:pt>
                <c:pt idx="136">
                  <c:v>0.11309096430198469</c:v>
                </c:pt>
                <c:pt idx="137">
                  <c:v>0.11247577967902524</c:v>
                </c:pt>
                <c:pt idx="140">
                  <c:v>0.11247577967902524</c:v>
                </c:pt>
                <c:pt idx="141">
                  <c:v>0.13957714493935156</c:v>
                </c:pt>
                <c:pt idx="144">
                  <c:v>0.13957714493935156</c:v>
                </c:pt>
                <c:pt idx="145">
                  <c:v>0.19391711156364891</c:v>
                </c:pt>
                <c:pt idx="148">
                  <c:v>0.19391711156364891</c:v>
                </c:pt>
                <c:pt idx="149">
                  <c:v>0.25177823713493852</c:v>
                </c:pt>
                <c:pt idx="152">
                  <c:v>0.25177823713493852</c:v>
                </c:pt>
                <c:pt idx="153">
                  <c:v>0.30981287251368356</c:v>
                </c:pt>
                <c:pt idx="156">
                  <c:v>0.30981287251368356</c:v>
                </c:pt>
                <c:pt idx="157">
                  <c:v>0.36618437433431666</c:v>
                </c:pt>
                <c:pt idx="160">
                  <c:v>0.36618437433431666</c:v>
                </c:pt>
                <c:pt idx="161">
                  <c:v>0.42008084211123042</c:v>
                </c:pt>
                <c:pt idx="164">
                  <c:v>0.42008084211123042</c:v>
                </c:pt>
                <c:pt idx="165">
                  <c:v>0.47115185312551394</c:v>
                </c:pt>
                <c:pt idx="168">
                  <c:v>0.47115185312551394</c:v>
                </c:pt>
                <c:pt idx="169">
                  <c:v>0.51918796691453395</c:v>
                </c:pt>
                <c:pt idx="172">
                  <c:v>0.51918796691453395</c:v>
                </c:pt>
                <c:pt idx="173">
                  <c:v>0.56399190891747553</c:v>
                </c:pt>
                <c:pt idx="176">
                  <c:v>0.56399190891747553</c:v>
                </c:pt>
                <c:pt idx="177">
                  <c:v>0.60534454411746341</c:v>
                </c:pt>
                <c:pt idx="180">
                  <c:v>0.60534454411746341</c:v>
                </c:pt>
                <c:pt idx="181">
                  <c:v>0.64300768400003472</c:v>
                </c:pt>
                <c:pt idx="184">
                  <c:v>0.64300768400003472</c:v>
                </c:pt>
                <c:pt idx="185">
                  <c:v>0.67673786157642624</c:v>
                </c:pt>
                <c:pt idx="188">
                  <c:v>0.67673786157642624</c:v>
                </c:pt>
                <c:pt idx="189">
                  <c:v>0.70630126564842333</c:v>
                </c:pt>
                <c:pt idx="192">
                  <c:v>0.70630126564842333</c:v>
                </c:pt>
                <c:pt idx="193">
                  <c:v>0.73148670233824553</c:v>
                </c:pt>
                <c:pt idx="196">
                  <c:v>0.73148670233824553</c:v>
                </c:pt>
                <c:pt idx="197">
                  <c:v>0.7521159246756306</c:v>
                </c:pt>
                <c:pt idx="200">
                  <c:v>0.7521159246756306</c:v>
                </c:pt>
              </c:numCache>
            </c:numRef>
          </c:xVal>
          <c:yVal>
            <c:numRef>
              <c:f>Dual!$S$7:$S$210</c:f>
              <c:numCache>
                <c:formatCode>0.00</c:formatCode>
                <c:ptCount val="204"/>
                <c:pt idx="0">
                  <c:v>0.29030737738069623</c:v>
                </c:pt>
                <c:pt idx="1">
                  <c:v>0.32356590441433136</c:v>
                </c:pt>
                <c:pt idx="4">
                  <c:v>0.32356590441433136</c:v>
                </c:pt>
                <c:pt idx="5">
                  <c:v>0.35395903375675292</c:v>
                </c:pt>
                <c:pt idx="8">
                  <c:v>0.35395903375675292</c:v>
                </c:pt>
                <c:pt idx="9">
                  <c:v>0.38090604604710188</c:v>
                </c:pt>
                <c:pt idx="12">
                  <c:v>0.38090604604710188</c:v>
                </c:pt>
                <c:pt idx="13">
                  <c:v>0.40381182042142294</c:v>
                </c:pt>
                <c:pt idx="16">
                  <c:v>0.40381182042142294</c:v>
                </c:pt>
                <c:pt idx="17">
                  <c:v>0.42205508842059025</c:v>
                </c:pt>
                <c:pt idx="20">
                  <c:v>0.42205508842059025</c:v>
                </c:pt>
                <c:pt idx="21">
                  <c:v>0.43496822830621695</c:v>
                </c:pt>
                <c:pt idx="24">
                  <c:v>0.43496822830621695</c:v>
                </c:pt>
                <c:pt idx="25">
                  <c:v>0.44180572727910089</c:v>
                </c:pt>
                <c:pt idx="28">
                  <c:v>0.44180572727910089</c:v>
                </c:pt>
                <c:pt idx="29">
                  <c:v>0.44169973087140396</c:v>
                </c:pt>
                <c:pt idx="32">
                  <c:v>0.44169973087140396</c:v>
                </c:pt>
                <c:pt idx="33">
                  <c:v>0.43360818965151865</c:v>
                </c:pt>
                <c:pt idx="36">
                  <c:v>0.43360818965151865</c:v>
                </c:pt>
                <c:pt idx="37">
                  <c:v>0.41628496479272842</c:v>
                </c:pt>
                <c:pt idx="40">
                  <c:v>0.41628496479272842</c:v>
                </c:pt>
                <c:pt idx="41">
                  <c:v>0.3883646953884724</c:v>
                </c:pt>
                <c:pt idx="44">
                  <c:v>0.3883646953884724</c:v>
                </c:pt>
                <c:pt idx="45">
                  <c:v>0.34877958871969617</c:v>
                </c:pt>
                <c:pt idx="48">
                  <c:v>0.34877958871969617</c:v>
                </c:pt>
                <c:pt idx="49">
                  <c:v>0.29781880662336435</c:v>
                </c:pt>
                <c:pt idx="52">
                  <c:v>0.29781880662336435</c:v>
                </c:pt>
                <c:pt idx="53">
                  <c:v>0.2387297109578842</c:v>
                </c:pt>
                <c:pt idx="56">
                  <c:v>0.2387297109578842</c:v>
                </c:pt>
                <c:pt idx="57">
                  <c:v>0.21553453191632943</c:v>
                </c:pt>
                <c:pt idx="60">
                  <c:v>0.21553453191632943</c:v>
                </c:pt>
                <c:pt idx="61">
                  <c:v>0.24473049744777459</c:v>
                </c:pt>
                <c:pt idx="64">
                  <c:v>0.24473049744777459</c:v>
                </c:pt>
                <c:pt idx="65">
                  <c:v>0.25802132549836054</c:v>
                </c:pt>
                <c:pt idx="68">
                  <c:v>0.25802132549836054</c:v>
                </c:pt>
                <c:pt idx="69">
                  <c:v>0.25517830504514477</c:v>
                </c:pt>
                <c:pt idx="72">
                  <c:v>0.25517830504514477</c:v>
                </c:pt>
                <c:pt idx="73">
                  <c:v>0.23871802697064159</c:v>
                </c:pt>
                <c:pt idx="76">
                  <c:v>0.23871802697064159</c:v>
                </c:pt>
                <c:pt idx="77">
                  <c:v>0.21180406616949549</c:v>
                </c:pt>
                <c:pt idx="80">
                  <c:v>0.21180406616949549</c:v>
                </c:pt>
                <c:pt idx="81">
                  <c:v>0.17722266434665651</c:v>
                </c:pt>
                <c:pt idx="84">
                  <c:v>0.17722266434665651</c:v>
                </c:pt>
                <c:pt idx="85">
                  <c:v>0.13717607406707805</c:v>
                </c:pt>
                <c:pt idx="88">
                  <c:v>0.13717607406707805</c:v>
                </c:pt>
                <c:pt idx="89">
                  <c:v>9.3387221750472441E-2</c:v>
                </c:pt>
                <c:pt idx="92">
                  <c:v>9.3387221750472441E-2</c:v>
                </c:pt>
                <c:pt idx="93">
                  <c:v>4.72574671885269E-2</c:v>
                </c:pt>
                <c:pt idx="96">
                  <c:v>4.72574671885269E-2</c:v>
                </c:pt>
                <c:pt idx="97">
                  <c:v>0</c:v>
                </c:pt>
                <c:pt idx="100">
                  <c:v>0</c:v>
                </c:pt>
                <c:pt idx="101">
                  <c:v>4.7257467188527143E-2</c:v>
                </c:pt>
                <c:pt idx="104">
                  <c:v>4.7257467188527143E-2</c:v>
                </c:pt>
                <c:pt idx="105">
                  <c:v>9.3387221750472565E-2</c:v>
                </c:pt>
                <c:pt idx="108">
                  <c:v>9.3387221750472565E-2</c:v>
                </c:pt>
                <c:pt idx="109">
                  <c:v>0.13717607406707805</c:v>
                </c:pt>
                <c:pt idx="112">
                  <c:v>0.13717607406707805</c:v>
                </c:pt>
                <c:pt idx="113">
                  <c:v>0.17722266434665665</c:v>
                </c:pt>
                <c:pt idx="116">
                  <c:v>0.17722266434665665</c:v>
                </c:pt>
                <c:pt idx="117">
                  <c:v>0.21180406616949551</c:v>
                </c:pt>
                <c:pt idx="120">
                  <c:v>0.21180406616949551</c:v>
                </c:pt>
                <c:pt idx="121">
                  <c:v>0.23871802697064157</c:v>
                </c:pt>
                <c:pt idx="124">
                  <c:v>0.23871802697064157</c:v>
                </c:pt>
                <c:pt idx="125">
                  <c:v>0.25517830504514483</c:v>
                </c:pt>
                <c:pt idx="128">
                  <c:v>0.25517830504514483</c:v>
                </c:pt>
                <c:pt idx="129">
                  <c:v>0.25802132549835999</c:v>
                </c:pt>
                <c:pt idx="132">
                  <c:v>0.25802132549835999</c:v>
                </c:pt>
                <c:pt idx="133">
                  <c:v>0.24473049744777403</c:v>
                </c:pt>
                <c:pt idx="136">
                  <c:v>0.24473049744777403</c:v>
                </c:pt>
                <c:pt idx="137">
                  <c:v>0.21553453191632851</c:v>
                </c:pt>
                <c:pt idx="140">
                  <c:v>0.21553453191632851</c:v>
                </c:pt>
                <c:pt idx="141">
                  <c:v>0.2387297109578855</c:v>
                </c:pt>
                <c:pt idx="144">
                  <c:v>0.2387297109578855</c:v>
                </c:pt>
                <c:pt idx="145">
                  <c:v>0.29781880662336457</c:v>
                </c:pt>
                <c:pt idx="148">
                  <c:v>0.29781880662336457</c:v>
                </c:pt>
                <c:pt idx="149">
                  <c:v>0.34877958871969639</c:v>
                </c:pt>
                <c:pt idx="152">
                  <c:v>0.34877958871969639</c:v>
                </c:pt>
                <c:pt idx="153">
                  <c:v>0.38836469538847246</c:v>
                </c:pt>
                <c:pt idx="156">
                  <c:v>0.38836469538847246</c:v>
                </c:pt>
                <c:pt idx="157">
                  <c:v>0.41628496479272853</c:v>
                </c:pt>
                <c:pt idx="160">
                  <c:v>0.41628496479272853</c:v>
                </c:pt>
                <c:pt idx="161">
                  <c:v>0.43360818965151859</c:v>
                </c:pt>
                <c:pt idx="164">
                  <c:v>0.43360818965151859</c:v>
                </c:pt>
                <c:pt idx="165">
                  <c:v>0.44169973087140413</c:v>
                </c:pt>
                <c:pt idx="168">
                  <c:v>0.44169973087140413</c:v>
                </c:pt>
                <c:pt idx="169">
                  <c:v>0.44180572727910067</c:v>
                </c:pt>
                <c:pt idx="172">
                  <c:v>0.44180572727910067</c:v>
                </c:pt>
                <c:pt idx="173">
                  <c:v>0.43496822830621662</c:v>
                </c:pt>
                <c:pt idx="176">
                  <c:v>0.43496822830621662</c:v>
                </c:pt>
                <c:pt idx="177">
                  <c:v>0.42205508842059047</c:v>
                </c:pt>
                <c:pt idx="180">
                  <c:v>0.42205508842059047</c:v>
                </c:pt>
                <c:pt idx="181">
                  <c:v>0.40381182042142311</c:v>
                </c:pt>
                <c:pt idx="184">
                  <c:v>0.40381182042142311</c:v>
                </c:pt>
                <c:pt idx="185">
                  <c:v>0.38090604604710188</c:v>
                </c:pt>
                <c:pt idx="188">
                  <c:v>0.38090604604710188</c:v>
                </c:pt>
                <c:pt idx="189">
                  <c:v>0.35395903375675275</c:v>
                </c:pt>
                <c:pt idx="192">
                  <c:v>0.35395903375675275</c:v>
                </c:pt>
                <c:pt idx="193">
                  <c:v>0.32356590441433097</c:v>
                </c:pt>
                <c:pt idx="196">
                  <c:v>0.32356590441433097</c:v>
                </c:pt>
                <c:pt idx="197">
                  <c:v>0.2903073773806964</c:v>
                </c:pt>
                <c:pt idx="200">
                  <c:v>0.2903073773806964</c:v>
                </c:pt>
              </c:numCache>
            </c:numRef>
          </c:yVal>
          <c:smooth val="1"/>
        </c:ser>
        <c:axId val="123774848"/>
        <c:axId val="123776384"/>
      </c:scatterChart>
      <c:valAx>
        <c:axId val="123774848"/>
        <c:scaling>
          <c:orientation val="minMax"/>
          <c:max val="1.2"/>
          <c:min val="-1.2"/>
        </c:scaling>
        <c:axPos val="b"/>
        <c:majorGridlines>
          <c:spPr>
            <a:ln>
              <a:solidFill>
                <a:srgbClr val="DDDDDD"/>
              </a:solidFill>
            </a:ln>
          </c:spPr>
        </c:majorGridlines>
        <c:numFmt formatCode="0.0" sourceLinked="1"/>
        <c:tickLblPos val="nextTo"/>
        <c:spPr>
          <a:ln>
            <a:solidFill>
              <a:srgbClr val="DDDDDD"/>
            </a:solidFill>
          </a:ln>
        </c:spPr>
        <c:txPr>
          <a:bodyPr/>
          <a:lstStyle/>
          <a:p>
            <a:pPr>
              <a:defRPr sz="800" baseline="0"/>
            </a:pPr>
            <a:endParaRPr lang="en-US"/>
          </a:p>
        </c:txPr>
        <c:crossAx val="123776384"/>
        <c:crossesAt val="-10001"/>
        <c:crossBetween val="midCat"/>
        <c:majorUnit val="0.2"/>
        <c:minorUnit val="0.05"/>
      </c:valAx>
      <c:valAx>
        <c:axId val="123776384"/>
        <c:scaling>
          <c:orientation val="minMax"/>
          <c:max val="1.2"/>
          <c:min val="-1.2"/>
        </c:scaling>
        <c:axPos val="l"/>
        <c:majorGridlines>
          <c:spPr>
            <a:ln>
              <a:solidFill>
                <a:srgbClr val="DDDDDD"/>
              </a:solidFill>
            </a:ln>
          </c:spPr>
        </c:majorGridlines>
        <c:numFmt formatCode="0.0" sourceLinked="1"/>
        <c:tickLblPos val="nextTo"/>
        <c:spPr>
          <a:ln>
            <a:solidFill>
              <a:srgbClr val="DDDDDD"/>
            </a:solidFill>
          </a:ln>
        </c:spPr>
        <c:txPr>
          <a:bodyPr/>
          <a:lstStyle/>
          <a:p>
            <a:pPr>
              <a:defRPr sz="800" baseline="0"/>
            </a:pPr>
            <a:endParaRPr lang="en-US"/>
          </a:p>
        </c:txPr>
        <c:crossAx val="123774848"/>
        <c:crossesAt val="-10001"/>
        <c:crossBetween val="midCat"/>
        <c:majorUnit val="0.2"/>
        <c:minorUnit val="0.05"/>
      </c:valAx>
      <c:spPr>
        <a:solidFill>
          <a:sysClr val="window" lastClr="FFFFFF">
            <a:alpha val="0"/>
          </a:sysClr>
        </a:solidFill>
        <a:ln>
          <a:solidFill>
            <a:srgbClr val="DDDDDD"/>
          </a:solidFill>
        </a:ln>
      </c:spPr>
    </c:plotArea>
    <c:plotVisOnly val="1"/>
  </c:chart>
  <c:spPr>
    <a:solidFill>
      <a:sysClr val="window" lastClr="FFFFFF">
        <a:alpha val="0"/>
      </a:sysClr>
    </a:solidFill>
  </c:spPr>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8351331377304222E-2"/>
          <c:y val="5.9690940779383313E-2"/>
          <c:w val="0.90748977046023349"/>
          <c:h val="0.83250451591545338"/>
        </c:manualLayout>
      </c:layout>
      <c:scatterChart>
        <c:scatterStyle val="lineMarker"/>
        <c:ser>
          <c:idx val="0"/>
          <c:order val="0"/>
          <c:spPr>
            <a:ln>
              <a:solidFill>
                <a:srgbClr val="00B4FF"/>
              </a:solidFill>
            </a:ln>
          </c:spPr>
          <c:marker>
            <c:symbol val="none"/>
          </c:marker>
          <c:dPt>
            <c:idx val="5"/>
            <c:spPr>
              <a:ln>
                <a:noFill/>
              </a:ln>
            </c:spPr>
          </c:dPt>
          <c:dPt>
            <c:idx val="6"/>
            <c:spPr>
              <a:ln>
                <a:solidFill>
                  <a:srgbClr val="FF0000"/>
                </a:solidFill>
              </a:ln>
            </c:spPr>
          </c:dPt>
          <c:dPt>
            <c:idx val="7"/>
            <c:spPr>
              <a:ln>
                <a:noFill/>
              </a:ln>
            </c:spPr>
          </c:dPt>
          <c:dPt>
            <c:idx val="8"/>
            <c:spPr>
              <a:ln>
                <a:solidFill>
                  <a:srgbClr val="FF0000"/>
                </a:solidFill>
              </a:ln>
            </c:spPr>
          </c:dPt>
          <c:dPt>
            <c:idx val="9"/>
            <c:spPr>
              <a:ln>
                <a:noFill/>
              </a:ln>
            </c:spPr>
          </c:dPt>
          <c:dPt>
            <c:idx val="10"/>
            <c:spPr>
              <a:ln>
                <a:solidFill>
                  <a:srgbClr val="FF0000"/>
                </a:solidFill>
              </a:ln>
            </c:spPr>
          </c:dPt>
          <c:dPt>
            <c:idx val="11"/>
            <c:spPr>
              <a:ln>
                <a:noFill/>
              </a:ln>
            </c:spPr>
          </c:dPt>
          <c:dPt>
            <c:idx val="12"/>
            <c:spPr>
              <a:ln>
                <a:solidFill>
                  <a:srgbClr val="FF0000"/>
                </a:solidFill>
              </a:ln>
            </c:spPr>
          </c:dPt>
          <c:dPt>
            <c:idx val="14"/>
            <c:spPr>
              <a:ln>
                <a:noFill/>
              </a:ln>
            </c:spPr>
          </c:dPt>
          <c:dPt>
            <c:idx val="15"/>
            <c:spPr>
              <a:ln>
                <a:solidFill>
                  <a:srgbClr val="FF0000"/>
                </a:solidFill>
              </a:ln>
            </c:spPr>
          </c:dPt>
          <c:dPt>
            <c:idx val="16"/>
            <c:spPr>
              <a:ln>
                <a:noFill/>
              </a:ln>
            </c:spPr>
          </c:dPt>
          <c:dPt>
            <c:idx val="17"/>
            <c:spPr>
              <a:ln>
                <a:solidFill>
                  <a:srgbClr val="FF0000"/>
                </a:solidFill>
              </a:ln>
            </c:spPr>
          </c:dPt>
          <c:dPt>
            <c:idx val="18"/>
            <c:spPr>
              <a:ln>
                <a:noFill/>
              </a:ln>
            </c:spPr>
          </c:dPt>
          <c:dPt>
            <c:idx val="19"/>
            <c:spPr>
              <a:ln>
                <a:solidFill>
                  <a:srgbClr val="FF0000"/>
                </a:solidFill>
              </a:ln>
            </c:spPr>
          </c:dPt>
          <c:dPt>
            <c:idx val="20"/>
            <c:spPr>
              <a:ln>
                <a:noFill/>
              </a:ln>
            </c:spPr>
          </c:dPt>
          <c:dPt>
            <c:idx val="21"/>
            <c:spPr>
              <a:ln>
                <a:solidFill>
                  <a:srgbClr val="FF0000"/>
                </a:solidFill>
              </a:ln>
            </c:spPr>
          </c:dPt>
          <c:dPt>
            <c:idx val="22"/>
            <c:spPr>
              <a:ln>
                <a:noFill/>
              </a:ln>
            </c:spPr>
          </c:dPt>
          <c:dPt>
            <c:idx val="23"/>
            <c:spPr>
              <a:ln>
                <a:solidFill>
                  <a:srgbClr val="FF0000"/>
                </a:solidFill>
              </a:ln>
            </c:spPr>
          </c:dPt>
          <c:dPt>
            <c:idx val="25"/>
            <c:spPr>
              <a:ln>
                <a:solidFill>
                  <a:srgbClr val="FF0000"/>
                </a:solidFill>
              </a:ln>
            </c:spPr>
          </c:dPt>
          <c:xVal>
            <c:numRef>
              <c:f>PV!$F$47:$F$59</c:f>
              <c:numCache>
                <c:formatCode>0</c:formatCode>
                <c:ptCount val="13"/>
                <c:pt idx="0">
                  <c:v>0</c:v>
                </c:pt>
                <c:pt idx="1">
                  <c:v>21.522309711286088</c:v>
                </c:pt>
                <c:pt idx="2">
                  <c:v>21.522309711286088</c:v>
                </c:pt>
                <c:pt idx="3">
                  <c:v>0</c:v>
                </c:pt>
                <c:pt idx="4">
                  <c:v>0</c:v>
                </c:pt>
                <c:pt idx="5">
                  <c:v>10.243864829396324</c:v>
                </c:pt>
                <c:pt idx="6">
                  <c:v>11.278444881889763</c:v>
                </c:pt>
                <c:pt idx="7">
                  <c:v>11.278444881889763</c:v>
                </c:pt>
                <c:pt idx="8">
                  <c:v>10.243864829396324</c:v>
                </c:pt>
                <c:pt idx="9">
                  <c:v>11.278444881889763</c:v>
                </c:pt>
                <c:pt idx="10">
                  <c:v>10.243864829396324</c:v>
                </c:pt>
                <c:pt idx="11">
                  <c:v>11.278444881889763</c:v>
                </c:pt>
                <c:pt idx="12">
                  <c:v>10.243864829396324</c:v>
                </c:pt>
              </c:numCache>
            </c:numRef>
          </c:xVal>
          <c:yVal>
            <c:numRef>
              <c:f>PV!$G$47:$G$59</c:f>
              <c:numCache>
                <c:formatCode>0</c:formatCode>
                <c:ptCount val="13"/>
                <c:pt idx="0">
                  <c:v>9.7637795275590555</c:v>
                </c:pt>
                <c:pt idx="1">
                  <c:v>9.7637795275590555</c:v>
                </c:pt>
                <c:pt idx="2">
                  <c:v>-9.7637795275590555</c:v>
                </c:pt>
                <c:pt idx="3">
                  <c:v>-9.7637795275590555</c:v>
                </c:pt>
                <c:pt idx="4">
                  <c:v>9.7637795275590555</c:v>
                </c:pt>
                <c:pt idx="5">
                  <c:v>0.51729002624671916</c:v>
                </c:pt>
                <c:pt idx="6">
                  <c:v>-0.51729002624671916</c:v>
                </c:pt>
                <c:pt idx="7">
                  <c:v>0.51729002624671916</c:v>
                </c:pt>
                <c:pt idx="8">
                  <c:v>-0.51729002624671916</c:v>
                </c:pt>
                <c:pt idx="9">
                  <c:v>4.3645997375328083</c:v>
                </c:pt>
                <c:pt idx="10">
                  <c:v>5.3991797900262473</c:v>
                </c:pt>
                <c:pt idx="11">
                  <c:v>5.3991797900262473</c:v>
                </c:pt>
                <c:pt idx="12">
                  <c:v>4.3645997375328083</c:v>
                </c:pt>
              </c:numCache>
            </c:numRef>
          </c:yVal>
        </c:ser>
        <c:axId val="124155008"/>
        <c:axId val="124156544"/>
      </c:scatterChart>
      <c:valAx>
        <c:axId val="124155008"/>
        <c:scaling>
          <c:orientation val="minMax"/>
          <c:min val="-1"/>
        </c:scaling>
        <c:axPos val="b"/>
        <c:majorGridlines/>
        <c:numFmt formatCode="0" sourceLinked="1"/>
        <c:tickLblPos val="nextTo"/>
        <c:crossAx val="124156544"/>
        <c:crossesAt val="-100"/>
        <c:crossBetween val="midCat"/>
        <c:majorUnit val="1"/>
      </c:valAx>
      <c:valAx>
        <c:axId val="124156544"/>
        <c:scaling>
          <c:orientation val="minMax"/>
        </c:scaling>
        <c:axPos val="l"/>
        <c:majorGridlines/>
        <c:numFmt formatCode="0" sourceLinked="1"/>
        <c:tickLblPos val="nextTo"/>
        <c:crossAx val="124155008"/>
        <c:crossesAt val="-100"/>
        <c:crossBetween val="midCat"/>
        <c:majorUnit val="1"/>
      </c:valAx>
      <c:spPr>
        <a:solidFill>
          <a:srgbClr val="F5FFF5"/>
        </a:solidFill>
      </c:spPr>
    </c:plotArea>
    <c:plotVisOnly val="1"/>
  </c:chart>
  <c:printSettings>
    <c:headerFooter/>
    <c:pageMargins b="0.75000000000001177" l="0.70000000000000062" r="0.70000000000000062" t="0.75000000000001177"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2675621429674213E-2"/>
          <c:y val="8.2240886555847201E-2"/>
          <c:w val="0.86548633626679061"/>
          <c:h val="0.76922834645669402"/>
        </c:manualLayout>
      </c:layout>
      <c:scatterChart>
        <c:scatterStyle val="lineMarker"/>
        <c:ser>
          <c:idx val="0"/>
          <c:order val="0"/>
          <c:spPr>
            <a:ln>
              <a:solidFill>
                <a:srgbClr val="00B4FF"/>
              </a:solidFill>
            </a:ln>
          </c:spPr>
          <c:marker>
            <c:symbol val="none"/>
          </c:marker>
          <c:dPt>
            <c:idx val="5"/>
            <c:spPr>
              <a:ln>
                <a:noFill/>
              </a:ln>
            </c:spPr>
          </c:dPt>
          <c:dPt>
            <c:idx val="6"/>
            <c:spPr>
              <a:ln>
                <a:solidFill>
                  <a:srgbClr val="FF0000"/>
                </a:solidFill>
              </a:ln>
            </c:spPr>
          </c:dPt>
          <c:dPt>
            <c:idx val="7"/>
            <c:spPr>
              <a:ln>
                <a:noFill/>
              </a:ln>
            </c:spPr>
          </c:dPt>
          <c:dPt>
            <c:idx val="8"/>
            <c:spPr>
              <a:ln>
                <a:solidFill>
                  <a:srgbClr val="FF0000"/>
                </a:solidFill>
              </a:ln>
            </c:spPr>
          </c:dPt>
          <c:dPt>
            <c:idx val="9"/>
            <c:spPr>
              <a:ln>
                <a:noFill/>
              </a:ln>
            </c:spPr>
          </c:dPt>
          <c:dPt>
            <c:idx val="10"/>
            <c:spPr>
              <a:ln>
                <a:solidFill>
                  <a:srgbClr val="FF0000"/>
                </a:solidFill>
              </a:ln>
            </c:spPr>
          </c:dPt>
          <c:dPt>
            <c:idx val="11"/>
            <c:spPr>
              <a:ln>
                <a:noFill/>
              </a:ln>
            </c:spPr>
          </c:dPt>
          <c:dPt>
            <c:idx val="12"/>
            <c:spPr>
              <a:ln>
                <a:solidFill>
                  <a:srgbClr val="FF0000"/>
                </a:solidFill>
              </a:ln>
            </c:spPr>
          </c:dPt>
          <c:dPt>
            <c:idx val="14"/>
            <c:spPr>
              <a:ln>
                <a:noFill/>
              </a:ln>
            </c:spPr>
          </c:dPt>
          <c:dPt>
            <c:idx val="15"/>
            <c:spPr>
              <a:ln>
                <a:solidFill>
                  <a:srgbClr val="FF0000"/>
                </a:solidFill>
              </a:ln>
            </c:spPr>
          </c:dPt>
          <c:dPt>
            <c:idx val="16"/>
            <c:spPr>
              <a:ln>
                <a:noFill/>
              </a:ln>
            </c:spPr>
          </c:dPt>
          <c:dPt>
            <c:idx val="17"/>
            <c:spPr>
              <a:ln>
                <a:solidFill>
                  <a:srgbClr val="FF0000"/>
                </a:solidFill>
              </a:ln>
            </c:spPr>
          </c:dPt>
          <c:dPt>
            <c:idx val="18"/>
            <c:spPr>
              <a:ln>
                <a:noFill/>
              </a:ln>
            </c:spPr>
          </c:dPt>
          <c:dPt>
            <c:idx val="19"/>
            <c:spPr>
              <a:ln>
                <a:solidFill>
                  <a:srgbClr val="FF0000"/>
                </a:solidFill>
              </a:ln>
            </c:spPr>
          </c:dPt>
          <c:dPt>
            <c:idx val="20"/>
            <c:spPr>
              <a:ln>
                <a:noFill/>
              </a:ln>
            </c:spPr>
          </c:dPt>
          <c:dPt>
            <c:idx val="21"/>
            <c:spPr>
              <a:ln>
                <a:solidFill>
                  <a:srgbClr val="FF0000"/>
                </a:solidFill>
              </a:ln>
            </c:spPr>
          </c:dPt>
          <c:dPt>
            <c:idx val="22"/>
            <c:spPr>
              <a:ln>
                <a:noFill/>
              </a:ln>
            </c:spPr>
          </c:dPt>
          <c:dPt>
            <c:idx val="23"/>
            <c:spPr>
              <a:ln>
                <a:solidFill>
                  <a:srgbClr val="FF0000"/>
                </a:solidFill>
              </a:ln>
            </c:spPr>
          </c:dPt>
          <c:dPt>
            <c:idx val="25"/>
            <c:spPr>
              <a:ln>
                <a:solidFill>
                  <a:srgbClr val="FF0000"/>
                </a:solidFill>
              </a:ln>
            </c:spPr>
          </c:dPt>
          <c:xVal>
            <c:numRef>
              <c:f>PV!$F$220:$F$232</c:f>
              <c:numCache>
                <c:formatCode>0</c:formatCode>
                <c:ptCount val="13"/>
                <c:pt idx="0">
                  <c:v>0</c:v>
                </c:pt>
                <c:pt idx="1">
                  <c:v>5.3805774278215219</c:v>
                </c:pt>
                <c:pt idx="2">
                  <c:v>5.3805774278215219</c:v>
                </c:pt>
                <c:pt idx="3">
                  <c:v>0</c:v>
                </c:pt>
                <c:pt idx="4">
                  <c:v>0</c:v>
                </c:pt>
                <c:pt idx="5">
                  <c:v>2.5823490813648293</c:v>
                </c:pt>
                <c:pt idx="6">
                  <c:v>2.7982283464566926</c:v>
                </c:pt>
                <c:pt idx="7">
                  <c:v>2.7982283464566926</c:v>
                </c:pt>
                <c:pt idx="8">
                  <c:v>2.5823490813648293</c:v>
                </c:pt>
                <c:pt idx="9">
                  <c:v>2.7982283464566926</c:v>
                </c:pt>
                <c:pt idx="10">
                  <c:v>2.5823490813648293</c:v>
                </c:pt>
                <c:pt idx="11">
                  <c:v>2.7982283464566926</c:v>
                </c:pt>
                <c:pt idx="12">
                  <c:v>2.5823490813648293</c:v>
                </c:pt>
              </c:numCache>
            </c:numRef>
          </c:xVal>
          <c:yVal>
            <c:numRef>
              <c:f>PV!$G$220:$G$232</c:f>
              <c:numCache>
                <c:formatCode>0</c:formatCode>
                <c:ptCount val="13"/>
                <c:pt idx="0">
                  <c:v>1.6272965879265093</c:v>
                </c:pt>
                <c:pt idx="1">
                  <c:v>1.6272965879265093</c:v>
                </c:pt>
                <c:pt idx="2">
                  <c:v>-1.6272965879265093</c:v>
                </c:pt>
                <c:pt idx="3">
                  <c:v>-1.6272965879265093</c:v>
                </c:pt>
                <c:pt idx="4">
                  <c:v>1.6272965879265093</c:v>
                </c:pt>
                <c:pt idx="5">
                  <c:v>0.10793963254593175</c:v>
                </c:pt>
                <c:pt idx="6">
                  <c:v>-0.10793963254593175</c:v>
                </c:pt>
                <c:pt idx="7">
                  <c:v>0.10793963254593175</c:v>
                </c:pt>
                <c:pt idx="8">
                  <c:v>-0.10793963254593175</c:v>
                </c:pt>
                <c:pt idx="9">
                  <c:v>0.70570866141732291</c:v>
                </c:pt>
                <c:pt idx="10">
                  <c:v>0.92158792650918642</c:v>
                </c:pt>
                <c:pt idx="11">
                  <c:v>0.92158792650918642</c:v>
                </c:pt>
                <c:pt idx="12">
                  <c:v>0.70570866141732291</c:v>
                </c:pt>
              </c:numCache>
            </c:numRef>
          </c:yVal>
        </c:ser>
        <c:axId val="124269696"/>
        <c:axId val="124271232"/>
      </c:scatterChart>
      <c:valAx>
        <c:axId val="124269696"/>
        <c:scaling>
          <c:orientation val="minMax"/>
          <c:min val="-1"/>
        </c:scaling>
        <c:axPos val="b"/>
        <c:majorGridlines/>
        <c:numFmt formatCode="0" sourceLinked="1"/>
        <c:tickLblPos val="nextTo"/>
        <c:crossAx val="124271232"/>
        <c:crossesAt val="-100"/>
        <c:crossBetween val="midCat"/>
        <c:majorUnit val="1"/>
      </c:valAx>
      <c:valAx>
        <c:axId val="124271232"/>
        <c:scaling>
          <c:orientation val="minMax"/>
        </c:scaling>
        <c:axPos val="l"/>
        <c:majorGridlines/>
        <c:numFmt formatCode="0" sourceLinked="1"/>
        <c:tickLblPos val="nextTo"/>
        <c:crossAx val="124269696"/>
        <c:crossesAt val="-100"/>
        <c:crossBetween val="midCat"/>
        <c:majorUnit val="1"/>
      </c:valAx>
      <c:spPr>
        <a:solidFill>
          <a:srgbClr val="F5FFF5"/>
        </a:solidFill>
      </c:spPr>
    </c:plotArea>
    <c:plotVisOnly val="1"/>
  </c:chart>
  <c:printSettings>
    <c:headerFooter/>
    <c:pageMargins b="0.75000000000001199" l="0.70000000000000062" r="0.70000000000000062" t="0.7500000000000119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8.2920292858129574E-2"/>
          <c:y val="6.3262220427574803E-2"/>
          <c:w val="0.8796456692913398"/>
          <c:h val="0.82248334342822527"/>
        </c:manualLayout>
      </c:layout>
      <c:scatterChart>
        <c:scatterStyle val="lineMarker"/>
        <c:ser>
          <c:idx val="0"/>
          <c:order val="0"/>
          <c:spPr>
            <a:ln>
              <a:solidFill>
                <a:srgbClr val="00B4FF"/>
              </a:solidFill>
            </a:ln>
          </c:spPr>
          <c:marker>
            <c:symbol val="none"/>
          </c:marker>
          <c:dPt>
            <c:idx val="8"/>
            <c:spPr>
              <a:ln>
                <a:noFill/>
              </a:ln>
            </c:spPr>
          </c:dPt>
          <c:dPt>
            <c:idx val="9"/>
            <c:spPr>
              <a:ln>
                <a:solidFill>
                  <a:srgbClr val="FF0000"/>
                </a:solidFill>
              </a:ln>
            </c:spPr>
          </c:dPt>
          <c:dPt>
            <c:idx val="10"/>
            <c:spPr>
              <a:ln>
                <a:noFill/>
              </a:ln>
            </c:spPr>
          </c:dPt>
          <c:dPt>
            <c:idx val="11"/>
            <c:spPr>
              <a:ln>
                <a:solidFill>
                  <a:srgbClr val="FF0000"/>
                </a:solidFill>
              </a:ln>
            </c:spPr>
          </c:dPt>
          <c:dPt>
            <c:idx val="12"/>
            <c:spPr>
              <a:ln>
                <a:noFill/>
              </a:ln>
            </c:spPr>
          </c:dPt>
          <c:dPt>
            <c:idx val="13"/>
            <c:spPr>
              <a:ln>
                <a:solidFill>
                  <a:srgbClr val="FF0000"/>
                </a:solidFill>
              </a:ln>
            </c:spPr>
          </c:dPt>
          <c:dPt>
            <c:idx val="14"/>
            <c:spPr>
              <a:ln>
                <a:noFill/>
              </a:ln>
            </c:spPr>
          </c:dPt>
          <c:dPt>
            <c:idx val="15"/>
            <c:spPr>
              <a:ln>
                <a:solidFill>
                  <a:srgbClr val="FF0000"/>
                </a:solidFill>
              </a:ln>
            </c:spPr>
          </c:dPt>
          <c:xVal>
            <c:numRef>
              <c:f>PV!$F$85:$F$100</c:f>
              <c:numCache>
                <c:formatCode>0</c:formatCode>
                <c:ptCount val="16"/>
                <c:pt idx="0">
                  <c:v>0</c:v>
                </c:pt>
                <c:pt idx="1">
                  <c:v>3.2545931758530187</c:v>
                </c:pt>
                <c:pt idx="2">
                  <c:v>3.2545931758530187</c:v>
                </c:pt>
                <c:pt idx="3">
                  <c:v>6.5091863517060373</c:v>
                </c:pt>
                <c:pt idx="4">
                  <c:v>6.5091863517060373</c:v>
                </c:pt>
                <c:pt idx="5">
                  <c:v>0</c:v>
                </c:pt>
                <c:pt idx="6">
                  <c:v>0</c:v>
                </c:pt>
                <c:pt idx="7">
                  <c:v>3.2545931758530187</c:v>
                </c:pt>
                <c:pt idx="8">
                  <c:v>3.1054502952755909</c:v>
                </c:pt>
                <c:pt idx="9">
                  <c:v>3.4037360564304464</c:v>
                </c:pt>
                <c:pt idx="10">
                  <c:v>3.4037360564304464</c:v>
                </c:pt>
                <c:pt idx="11">
                  <c:v>3.1054502952755909</c:v>
                </c:pt>
                <c:pt idx="12">
                  <c:v>3.4037360564304464</c:v>
                </c:pt>
                <c:pt idx="13">
                  <c:v>3.1054502952755909</c:v>
                </c:pt>
                <c:pt idx="14">
                  <c:v>3.4037360564304464</c:v>
                </c:pt>
                <c:pt idx="15">
                  <c:v>3.1054502952755909</c:v>
                </c:pt>
              </c:numCache>
            </c:numRef>
          </c:xVal>
          <c:yVal>
            <c:numRef>
              <c:f>PV!$G$85:$G$100</c:f>
              <c:numCache>
                <c:formatCode>0</c:formatCode>
                <c:ptCount val="16"/>
                <c:pt idx="0">
                  <c:v>2.690288713910761</c:v>
                </c:pt>
                <c:pt idx="1">
                  <c:v>2.690288713910761</c:v>
                </c:pt>
                <c:pt idx="2">
                  <c:v>-2.690288713910761</c:v>
                </c:pt>
                <c:pt idx="3">
                  <c:v>-2.690288713910761</c:v>
                </c:pt>
                <c:pt idx="4">
                  <c:v>2.690288713910761</c:v>
                </c:pt>
                <c:pt idx="5">
                  <c:v>2.690288713910761</c:v>
                </c:pt>
                <c:pt idx="6">
                  <c:v>-2.690288713910761</c:v>
                </c:pt>
                <c:pt idx="7">
                  <c:v>-2.690288713910761</c:v>
                </c:pt>
                <c:pt idx="8">
                  <c:v>0.14914288057742783</c:v>
                </c:pt>
                <c:pt idx="9">
                  <c:v>-0.14914288057742783</c:v>
                </c:pt>
                <c:pt idx="10">
                  <c:v>0.14914288057742783</c:v>
                </c:pt>
                <c:pt idx="11">
                  <c:v>-0.14914288057742783</c:v>
                </c:pt>
                <c:pt idx="12">
                  <c:v>1.1960014763779527</c:v>
                </c:pt>
                <c:pt idx="13">
                  <c:v>1.4942872375328082</c:v>
                </c:pt>
                <c:pt idx="14">
                  <c:v>1.4942872375328082</c:v>
                </c:pt>
                <c:pt idx="15">
                  <c:v>1.1960014763779527</c:v>
                </c:pt>
              </c:numCache>
            </c:numRef>
          </c:yVal>
        </c:ser>
        <c:axId val="124306176"/>
        <c:axId val="124307712"/>
      </c:scatterChart>
      <c:valAx>
        <c:axId val="124306176"/>
        <c:scaling>
          <c:orientation val="minMax"/>
          <c:min val="-1"/>
        </c:scaling>
        <c:axPos val="b"/>
        <c:majorGridlines/>
        <c:numFmt formatCode="#,##0" sourceLinked="0"/>
        <c:tickLblPos val="nextTo"/>
        <c:crossAx val="124307712"/>
        <c:crossesAt val="-100"/>
        <c:crossBetween val="midCat"/>
        <c:majorUnit val="1"/>
      </c:valAx>
      <c:valAx>
        <c:axId val="124307712"/>
        <c:scaling>
          <c:orientation val="minMax"/>
        </c:scaling>
        <c:axPos val="l"/>
        <c:majorGridlines/>
        <c:numFmt formatCode="#,##0" sourceLinked="0"/>
        <c:tickLblPos val="nextTo"/>
        <c:crossAx val="124306176"/>
        <c:crossesAt val="-100"/>
        <c:crossBetween val="midCat"/>
        <c:majorUnit val="1"/>
      </c:valAx>
      <c:spPr>
        <a:solidFill>
          <a:srgbClr val="F5FFF5"/>
        </a:solidFill>
      </c:spPr>
    </c:plotArea>
    <c:plotVisOnly val="1"/>
  </c:chart>
  <c:printSettings>
    <c:headerFooter/>
    <c:pageMargins b="0.7500000000000131" l="0.70000000000000062" r="0.70000000000000062" t="0.7500000000000131"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5.8351331377304222E-2"/>
          <c:y val="6.1938743012771941E-2"/>
          <c:w val="0.90748977046023349"/>
          <c:h val="0.82619708101340894"/>
        </c:manualLayout>
      </c:layout>
      <c:scatterChart>
        <c:scatterStyle val="lineMarker"/>
        <c:ser>
          <c:idx val="0"/>
          <c:order val="0"/>
          <c:spPr>
            <a:ln>
              <a:solidFill>
                <a:srgbClr val="00B4FF"/>
              </a:solidFill>
            </a:ln>
          </c:spPr>
          <c:marker>
            <c:symbol val="none"/>
          </c:marker>
          <c:dPt>
            <c:idx val="10"/>
            <c:spPr>
              <a:ln>
                <a:noFill/>
              </a:ln>
            </c:spPr>
          </c:dPt>
          <c:dPt>
            <c:idx val="11"/>
            <c:spPr>
              <a:ln>
                <a:solidFill>
                  <a:srgbClr val="FF0000"/>
                </a:solidFill>
              </a:ln>
            </c:spPr>
          </c:dPt>
          <c:dPt>
            <c:idx val="12"/>
            <c:spPr>
              <a:ln>
                <a:noFill/>
              </a:ln>
            </c:spPr>
          </c:dPt>
          <c:dPt>
            <c:idx val="13"/>
            <c:spPr>
              <a:ln>
                <a:solidFill>
                  <a:srgbClr val="FF0000"/>
                </a:solidFill>
              </a:ln>
            </c:spPr>
          </c:dPt>
          <c:dPt>
            <c:idx val="14"/>
            <c:spPr>
              <a:ln>
                <a:noFill/>
              </a:ln>
            </c:spPr>
          </c:dPt>
          <c:dPt>
            <c:idx val="15"/>
            <c:spPr>
              <a:ln>
                <a:solidFill>
                  <a:srgbClr val="FF0000"/>
                </a:solidFill>
              </a:ln>
            </c:spPr>
          </c:dPt>
          <c:dPt>
            <c:idx val="16"/>
            <c:spPr>
              <a:ln>
                <a:noFill/>
              </a:ln>
            </c:spPr>
          </c:dPt>
          <c:dPt>
            <c:idx val="17"/>
            <c:spPr>
              <a:ln>
                <a:solidFill>
                  <a:srgbClr val="FF0000"/>
                </a:solidFill>
              </a:ln>
            </c:spPr>
          </c:dPt>
          <c:xVal>
            <c:numRef>
              <c:f>PV!$F$127:$F$144</c:f>
              <c:numCache>
                <c:formatCode>0</c:formatCode>
                <c:ptCount val="18"/>
                <c:pt idx="0">
                  <c:v>0</c:v>
                </c:pt>
                <c:pt idx="1">
                  <c:v>3.2545931758530187</c:v>
                </c:pt>
                <c:pt idx="2">
                  <c:v>3.2545931758530187</c:v>
                </c:pt>
                <c:pt idx="3">
                  <c:v>6.5091863517060373</c:v>
                </c:pt>
                <c:pt idx="4">
                  <c:v>6.5091863517060373</c:v>
                </c:pt>
                <c:pt idx="5">
                  <c:v>9.7637795275590555</c:v>
                </c:pt>
                <c:pt idx="6">
                  <c:v>9.7637795275590555</c:v>
                </c:pt>
                <c:pt idx="7">
                  <c:v>0</c:v>
                </c:pt>
                <c:pt idx="8">
                  <c:v>0</c:v>
                </c:pt>
                <c:pt idx="9">
                  <c:v>6.5091863517060373</c:v>
                </c:pt>
                <c:pt idx="10">
                  <c:v>4.6915436351706035</c:v>
                </c:pt>
                <c:pt idx="11">
                  <c:v>5.0722358923884521</c:v>
                </c:pt>
                <c:pt idx="12">
                  <c:v>5.0722358923884521</c:v>
                </c:pt>
                <c:pt idx="13">
                  <c:v>4.6915436351706035</c:v>
                </c:pt>
                <c:pt idx="14">
                  <c:v>5.0722358923884521</c:v>
                </c:pt>
                <c:pt idx="15">
                  <c:v>4.6915436351706035</c:v>
                </c:pt>
                <c:pt idx="16">
                  <c:v>5.0722358923884521</c:v>
                </c:pt>
                <c:pt idx="17">
                  <c:v>4.6915436351706035</c:v>
                </c:pt>
              </c:numCache>
            </c:numRef>
          </c:xVal>
          <c:yVal>
            <c:numRef>
              <c:f>PV!$G$127:$G$144</c:f>
              <c:numCache>
                <c:formatCode>0</c:formatCode>
                <c:ptCount val="18"/>
                <c:pt idx="0">
                  <c:v>2.690288713910761</c:v>
                </c:pt>
                <c:pt idx="1">
                  <c:v>2.690288713910761</c:v>
                </c:pt>
                <c:pt idx="2">
                  <c:v>-2.690288713910761</c:v>
                </c:pt>
                <c:pt idx="3">
                  <c:v>-2.690288713910761</c:v>
                </c:pt>
                <c:pt idx="4">
                  <c:v>2.690288713910761</c:v>
                </c:pt>
                <c:pt idx="5">
                  <c:v>2.690288713910761</c:v>
                </c:pt>
                <c:pt idx="6">
                  <c:v>-2.690288713910761</c:v>
                </c:pt>
                <c:pt idx="7">
                  <c:v>-2.690288713910761</c:v>
                </c:pt>
                <c:pt idx="8">
                  <c:v>2.690288713910761</c:v>
                </c:pt>
                <c:pt idx="9">
                  <c:v>2.690288713910761</c:v>
                </c:pt>
                <c:pt idx="10">
                  <c:v>0.19034612860892391</c:v>
                </c:pt>
                <c:pt idx="11">
                  <c:v>-0.19034612860892391</c:v>
                </c:pt>
                <c:pt idx="12">
                  <c:v>0.19034612860892391</c:v>
                </c:pt>
                <c:pt idx="13">
                  <c:v>-0.19034612860892391</c:v>
                </c:pt>
                <c:pt idx="14">
                  <c:v>1.1547982283464566</c:v>
                </c:pt>
                <c:pt idx="15">
                  <c:v>1.5354904855643043</c:v>
                </c:pt>
                <c:pt idx="16">
                  <c:v>1.5354904855643043</c:v>
                </c:pt>
                <c:pt idx="17">
                  <c:v>1.1547982283464566</c:v>
                </c:pt>
              </c:numCache>
            </c:numRef>
          </c:yVal>
        </c:ser>
        <c:axId val="124211584"/>
        <c:axId val="124213120"/>
      </c:scatterChart>
      <c:valAx>
        <c:axId val="124211584"/>
        <c:scaling>
          <c:orientation val="minMax"/>
          <c:min val="-1"/>
        </c:scaling>
        <c:axPos val="b"/>
        <c:majorGridlines/>
        <c:numFmt formatCode="0" sourceLinked="1"/>
        <c:tickLblPos val="nextTo"/>
        <c:crossAx val="124213120"/>
        <c:crossesAt val="-100"/>
        <c:crossBetween val="midCat"/>
        <c:majorUnit val="1"/>
      </c:valAx>
      <c:valAx>
        <c:axId val="124213120"/>
        <c:scaling>
          <c:orientation val="minMax"/>
        </c:scaling>
        <c:axPos val="l"/>
        <c:majorGridlines/>
        <c:numFmt formatCode="0" sourceLinked="1"/>
        <c:tickLblPos val="nextTo"/>
        <c:crossAx val="124211584"/>
        <c:crossesAt val="-100"/>
        <c:crossBetween val="midCat"/>
        <c:majorUnit val="1"/>
      </c:valAx>
      <c:spPr>
        <a:solidFill>
          <a:srgbClr val="F5FFF5"/>
        </a:solidFill>
      </c:spPr>
    </c:plotArea>
    <c:plotVisOnly val="1"/>
  </c:chart>
  <c:printSettings>
    <c:headerFooter/>
    <c:pageMargins b="0.7500000000000131" l="0.70000000000000062" r="0.70000000000000062" t="0.7500000000000131"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3019422572178477E-2"/>
          <c:y val="3.7571978629574988E-2"/>
          <c:w val="0.90008897637795249"/>
          <c:h val="0.89457132579239651"/>
        </c:manualLayout>
      </c:layout>
      <c:scatterChart>
        <c:scatterStyle val="lineMarker"/>
        <c:ser>
          <c:idx val="0"/>
          <c:order val="0"/>
          <c:spPr>
            <a:ln>
              <a:solidFill>
                <a:srgbClr val="00B4FF"/>
              </a:solidFill>
            </a:ln>
          </c:spPr>
          <c:marker>
            <c:symbol val="none"/>
          </c:marker>
          <c:dPt>
            <c:idx val="14"/>
            <c:spPr>
              <a:ln>
                <a:noFill/>
              </a:ln>
            </c:spPr>
          </c:dPt>
          <c:dPt>
            <c:idx val="15"/>
            <c:spPr>
              <a:ln>
                <a:solidFill>
                  <a:srgbClr val="FF0000"/>
                </a:solidFill>
              </a:ln>
            </c:spPr>
          </c:dPt>
          <c:dPt>
            <c:idx val="16"/>
            <c:spPr>
              <a:ln>
                <a:noFill/>
              </a:ln>
            </c:spPr>
          </c:dPt>
          <c:dPt>
            <c:idx val="17"/>
            <c:spPr>
              <a:ln>
                <a:solidFill>
                  <a:srgbClr val="FF0000"/>
                </a:solidFill>
              </a:ln>
            </c:spPr>
          </c:dPt>
          <c:dPt>
            <c:idx val="18"/>
            <c:spPr>
              <a:ln>
                <a:noFill/>
              </a:ln>
            </c:spPr>
          </c:dPt>
          <c:dPt>
            <c:idx val="19"/>
            <c:spPr>
              <a:ln>
                <a:solidFill>
                  <a:srgbClr val="FF0000"/>
                </a:solidFill>
              </a:ln>
            </c:spPr>
          </c:dPt>
          <c:dPt>
            <c:idx val="20"/>
            <c:spPr>
              <a:ln>
                <a:noFill/>
              </a:ln>
            </c:spPr>
          </c:dPt>
          <c:dPt>
            <c:idx val="21"/>
            <c:spPr>
              <a:ln>
                <a:solidFill>
                  <a:srgbClr val="FF0000"/>
                </a:solidFill>
              </a:ln>
            </c:spPr>
          </c:dPt>
          <c:dPt>
            <c:idx val="22"/>
            <c:spPr>
              <a:ln>
                <a:noFill/>
              </a:ln>
            </c:spPr>
          </c:dPt>
          <c:dPt>
            <c:idx val="23"/>
            <c:spPr>
              <a:ln>
                <a:solidFill>
                  <a:srgbClr val="FF0000"/>
                </a:solidFill>
              </a:ln>
            </c:spPr>
          </c:dPt>
          <c:dPt>
            <c:idx val="25"/>
            <c:spPr>
              <a:ln>
                <a:solidFill>
                  <a:srgbClr val="FF0000"/>
                </a:solidFill>
              </a:ln>
            </c:spPr>
          </c:dPt>
          <c:xVal>
            <c:numRef>
              <c:f>PV!$F$289:$F$315</c:f>
              <c:numCache>
                <c:formatCode>0</c:formatCode>
                <c:ptCount val="27"/>
                <c:pt idx="0">
                  <c:v>0</c:v>
                </c:pt>
                <c:pt idx="1">
                  <c:v>5.3805774278215219</c:v>
                </c:pt>
                <c:pt idx="2">
                  <c:v>5.3805774278215219</c:v>
                </c:pt>
                <c:pt idx="3">
                  <c:v>0</c:v>
                </c:pt>
                <c:pt idx="4">
                  <c:v>0</c:v>
                </c:pt>
                <c:pt idx="5">
                  <c:v>8.6351706036745401</c:v>
                </c:pt>
                <c:pt idx="6">
                  <c:v>5.3805774278215219</c:v>
                </c:pt>
                <c:pt idx="7">
                  <c:v>5.3805774278215219</c:v>
                </c:pt>
                <c:pt idx="8">
                  <c:v>8.6351706036745401</c:v>
                </c:pt>
                <c:pt idx="9">
                  <c:v>8.6351706036745401</c:v>
                </c:pt>
                <c:pt idx="10">
                  <c:v>8.6351706036745401</c:v>
                </c:pt>
                <c:pt idx="11">
                  <c:v>5.3805774278215219</c:v>
                </c:pt>
                <c:pt idx="12">
                  <c:v>5.3805774278215219</c:v>
                </c:pt>
                <c:pt idx="13">
                  <c:v>8.6351706036745401</c:v>
                </c:pt>
                <c:pt idx="14">
                  <c:v>4.6055856299212596</c:v>
                </c:pt>
                <c:pt idx="15">
                  <c:v>5.0925770997375324</c:v>
                </c:pt>
                <c:pt idx="16">
                  <c:v>5.0925770997375324</c:v>
                </c:pt>
                <c:pt idx="17">
                  <c:v>4.6055856299212596</c:v>
                </c:pt>
                <c:pt idx="18">
                  <c:v>5.0925770997375324</c:v>
                </c:pt>
                <c:pt idx="19">
                  <c:v>4.6055856299212596</c:v>
                </c:pt>
                <c:pt idx="20">
                  <c:v>5.0925770997375324</c:v>
                </c:pt>
                <c:pt idx="21">
                  <c:v>4.6055856299212596</c:v>
                </c:pt>
                <c:pt idx="22">
                  <c:v>0</c:v>
                </c:pt>
                <c:pt idx="23">
                  <c:v>5.3805774278215219</c:v>
                </c:pt>
                <c:pt idx="24">
                  <c:v>5.3805774278215219</c:v>
                </c:pt>
                <c:pt idx="25">
                  <c:v>0</c:v>
                </c:pt>
                <c:pt idx="26">
                  <c:v>0</c:v>
                </c:pt>
              </c:numCache>
            </c:numRef>
          </c:xVal>
          <c:yVal>
            <c:numRef>
              <c:f>PV!$G$289:$G$315</c:f>
              <c:numCache>
                <c:formatCode>0</c:formatCode>
                <c:ptCount val="27"/>
                <c:pt idx="0">
                  <c:v>3.2545931758530187</c:v>
                </c:pt>
                <c:pt idx="1">
                  <c:v>3.2545931758530187</c:v>
                </c:pt>
                <c:pt idx="2">
                  <c:v>-3.2545931758530187</c:v>
                </c:pt>
                <c:pt idx="3">
                  <c:v>-3.2545931758530187</c:v>
                </c:pt>
                <c:pt idx="4">
                  <c:v>0</c:v>
                </c:pt>
                <c:pt idx="5">
                  <c:v>0</c:v>
                </c:pt>
                <c:pt idx="6">
                  <c:v>0</c:v>
                </c:pt>
                <c:pt idx="7">
                  <c:v>5.3805774278215219</c:v>
                </c:pt>
                <c:pt idx="8">
                  <c:v>5.3805774278215219</c:v>
                </c:pt>
                <c:pt idx="9">
                  <c:v>-5.3805774278215219</c:v>
                </c:pt>
                <c:pt idx="10">
                  <c:v>0</c:v>
                </c:pt>
                <c:pt idx="11">
                  <c:v>0</c:v>
                </c:pt>
                <c:pt idx="12">
                  <c:v>-5.3805774278215219</c:v>
                </c:pt>
                <c:pt idx="13">
                  <c:v>-5.3805774278215219</c:v>
                </c:pt>
                <c:pt idx="14">
                  <c:v>0.24349573490813645</c:v>
                </c:pt>
                <c:pt idx="15">
                  <c:v>-0.24349573490813645</c:v>
                </c:pt>
                <c:pt idx="16">
                  <c:v>0.24349573490813645</c:v>
                </c:pt>
                <c:pt idx="17">
                  <c:v>-0.24349573490813645</c:v>
                </c:pt>
                <c:pt idx="18">
                  <c:v>1.9152969160104987</c:v>
                </c:pt>
                <c:pt idx="19">
                  <c:v>2.4022883858267714</c:v>
                </c:pt>
                <c:pt idx="20">
                  <c:v>2.4022883858267714</c:v>
                </c:pt>
                <c:pt idx="21">
                  <c:v>1.9152969160104987</c:v>
                </c:pt>
                <c:pt idx="22">
                  <c:v>3.2545931758530187</c:v>
                </c:pt>
                <c:pt idx="23">
                  <c:v>5.3805774278215219</c:v>
                </c:pt>
                <c:pt idx="24">
                  <c:v>-5.3805774278215219</c:v>
                </c:pt>
                <c:pt idx="25">
                  <c:v>-3.2545931758530187</c:v>
                </c:pt>
                <c:pt idx="26">
                  <c:v>3.2545931758530187</c:v>
                </c:pt>
              </c:numCache>
            </c:numRef>
          </c:yVal>
        </c:ser>
        <c:axId val="124249216"/>
        <c:axId val="124250752"/>
      </c:scatterChart>
      <c:valAx>
        <c:axId val="124249216"/>
        <c:scaling>
          <c:orientation val="minMax"/>
          <c:min val="-1"/>
        </c:scaling>
        <c:axPos val="b"/>
        <c:majorGridlines/>
        <c:numFmt formatCode="0" sourceLinked="1"/>
        <c:tickLblPos val="nextTo"/>
        <c:crossAx val="124250752"/>
        <c:crossesAt val="-100"/>
        <c:crossBetween val="midCat"/>
        <c:majorUnit val="1"/>
      </c:valAx>
      <c:valAx>
        <c:axId val="124250752"/>
        <c:scaling>
          <c:orientation val="minMax"/>
        </c:scaling>
        <c:axPos val="l"/>
        <c:majorGridlines/>
        <c:numFmt formatCode="0" sourceLinked="1"/>
        <c:tickLblPos val="nextTo"/>
        <c:crossAx val="124249216"/>
        <c:crossesAt val="-100"/>
        <c:crossBetween val="midCat"/>
        <c:majorUnit val="1"/>
      </c:valAx>
      <c:spPr>
        <a:solidFill>
          <a:srgbClr val="F5FFF5"/>
        </a:solidFill>
      </c:spPr>
    </c:plotArea>
    <c:plotVisOnly val="1"/>
  </c:chart>
  <c:printSettings>
    <c:headerFooter/>
    <c:pageMargins b="0.75000000000001155" l="0.70000000000000062" r="0.70000000000000062" t="0.7500000000000115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7561828356361122E-2"/>
          <c:y val="6.2993019489585092E-2"/>
          <c:w val="0.92459545387015363"/>
          <c:h val="0.82323873345619158"/>
        </c:manualLayout>
      </c:layout>
      <c:scatterChart>
        <c:scatterStyle val="lineMarker"/>
        <c:ser>
          <c:idx val="0"/>
          <c:order val="0"/>
          <c:spPr>
            <a:ln>
              <a:solidFill>
                <a:srgbClr val="00B4FF"/>
              </a:solidFill>
            </a:ln>
          </c:spPr>
          <c:marker>
            <c:symbol val="none"/>
          </c:marker>
          <c:dPt>
            <c:idx val="12"/>
            <c:spPr>
              <a:ln>
                <a:noFill/>
              </a:ln>
            </c:spPr>
          </c:dPt>
          <c:dPt>
            <c:idx val="13"/>
            <c:spPr>
              <a:ln>
                <a:solidFill>
                  <a:srgbClr val="FF0000"/>
                </a:solidFill>
              </a:ln>
            </c:spPr>
          </c:dPt>
          <c:dPt>
            <c:idx val="14"/>
            <c:spPr>
              <a:ln>
                <a:noFill/>
              </a:ln>
            </c:spPr>
          </c:dPt>
          <c:dPt>
            <c:idx val="15"/>
            <c:spPr>
              <a:ln>
                <a:solidFill>
                  <a:srgbClr val="FF0000"/>
                </a:solidFill>
              </a:ln>
            </c:spPr>
          </c:dPt>
          <c:dPt>
            <c:idx val="16"/>
            <c:spPr>
              <a:ln>
                <a:noFill/>
              </a:ln>
            </c:spPr>
          </c:dPt>
          <c:dPt>
            <c:idx val="17"/>
            <c:spPr>
              <a:ln>
                <a:solidFill>
                  <a:srgbClr val="FF0000"/>
                </a:solidFill>
              </a:ln>
            </c:spPr>
          </c:dPt>
          <c:dPt>
            <c:idx val="18"/>
            <c:spPr>
              <a:ln>
                <a:noFill/>
              </a:ln>
            </c:spPr>
          </c:dPt>
          <c:dPt>
            <c:idx val="19"/>
            <c:spPr>
              <a:ln>
                <a:solidFill>
                  <a:srgbClr val="FF0000"/>
                </a:solidFill>
              </a:ln>
            </c:spPr>
          </c:dPt>
          <c:xVal>
            <c:numRef>
              <c:f>PV!$D$148:$D$167</c:f>
              <c:numCache>
                <c:formatCode>.00</c:formatCode>
                <c:ptCount val="20"/>
                <c:pt idx="0">
                  <c:v>0</c:v>
                </c:pt>
                <c:pt idx="1">
                  <c:v>3.2545931758530187</c:v>
                </c:pt>
                <c:pt idx="2">
                  <c:v>3.2545931758530187</c:v>
                </c:pt>
                <c:pt idx="3">
                  <c:v>6.5091863517060373</c:v>
                </c:pt>
                <c:pt idx="4">
                  <c:v>6.5091863517060373</c:v>
                </c:pt>
                <c:pt idx="5">
                  <c:v>9.7637795275590555</c:v>
                </c:pt>
                <c:pt idx="6">
                  <c:v>9.7637795275590555</c:v>
                </c:pt>
                <c:pt idx="7">
                  <c:v>13.018372703412075</c:v>
                </c:pt>
                <c:pt idx="8">
                  <c:v>13.018372703412075</c:v>
                </c:pt>
                <c:pt idx="9">
                  <c:v>0</c:v>
                </c:pt>
                <c:pt idx="10">
                  <c:v>0</c:v>
                </c:pt>
                <c:pt idx="11">
                  <c:v>13.018372703412075</c:v>
                </c:pt>
                <c:pt idx="12">
                  <c:v>6.2776369750656169</c:v>
                </c:pt>
                <c:pt idx="13">
                  <c:v>6.7407357283464577</c:v>
                </c:pt>
                <c:pt idx="14">
                  <c:v>6.7407357283464577</c:v>
                </c:pt>
                <c:pt idx="15">
                  <c:v>6.2776369750656169</c:v>
                </c:pt>
                <c:pt idx="16">
                  <c:v>6.7407357283464577</c:v>
                </c:pt>
                <c:pt idx="17">
                  <c:v>6.2776369750656169</c:v>
                </c:pt>
                <c:pt idx="18">
                  <c:v>6.7407357283464577</c:v>
                </c:pt>
                <c:pt idx="19">
                  <c:v>6.2776369750656169</c:v>
                </c:pt>
              </c:numCache>
            </c:numRef>
          </c:xVal>
          <c:yVal>
            <c:numRef>
              <c:f>PV!$E$148:$E$167</c:f>
              <c:numCache>
                <c:formatCode>.00</c:formatCode>
                <c:ptCount val="20"/>
                <c:pt idx="0">
                  <c:v>2.690288713910761</c:v>
                </c:pt>
                <c:pt idx="1">
                  <c:v>2.690288713910761</c:v>
                </c:pt>
                <c:pt idx="2">
                  <c:v>-2.690288713910761</c:v>
                </c:pt>
                <c:pt idx="3">
                  <c:v>-2.690288713910761</c:v>
                </c:pt>
                <c:pt idx="4">
                  <c:v>2.690288713910761</c:v>
                </c:pt>
                <c:pt idx="5">
                  <c:v>2.690288713910761</c:v>
                </c:pt>
                <c:pt idx="6">
                  <c:v>-2.690288713910761</c:v>
                </c:pt>
                <c:pt idx="7">
                  <c:v>-2.690288713910761</c:v>
                </c:pt>
                <c:pt idx="8">
                  <c:v>2.690288713910761</c:v>
                </c:pt>
                <c:pt idx="9">
                  <c:v>2.690288713910761</c:v>
                </c:pt>
                <c:pt idx="10">
                  <c:v>-2.690288713910761</c:v>
                </c:pt>
                <c:pt idx="11">
                  <c:v>-2.690288713910761</c:v>
                </c:pt>
                <c:pt idx="12">
                  <c:v>0.23154937664041997</c:v>
                </c:pt>
                <c:pt idx="13">
                  <c:v>-0.23154937664041997</c:v>
                </c:pt>
                <c:pt idx="14">
                  <c:v>0.23154937664041997</c:v>
                </c:pt>
                <c:pt idx="15">
                  <c:v>-0.23154937664041997</c:v>
                </c:pt>
                <c:pt idx="16">
                  <c:v>1.1135949803149605</c:v>
                </c:pt>
                <c:pt idx="17">
                  <c:v>1.5766937335958005</c:v>
                </c:pt>
                <c:pt idx="18">
                  <c:v>1.5766937335958005</c:v>
                </c:pt>
                <c:pt idx="19">
                  <c:v>1.1135949803149605</c:v>
                </c:pt>
              </c:numCache>
            </c:numRef>
          </c:yVal>
        </c:ser>
        <c:axId val="124343040"/>
        <c:axId val="124344576"/>
      </c:scatterChart>
      <c:valAx>
        <c:axId val="124343040"/>
        <c:scaling>
          <c:orientation val="minMax"/>
          <c:min val="-1"/>
        </c:scaling>
        <c:axPos val="b"/>
        <c:majorGridlines/>
        <c:numFmt formatCode="#,##0" sourceLinked="0"/>
        <c:tickLblPos val="nextTo"/>
        <c:crossAx val="124344576"/>
        <c:crossesAt val="-100"/>
        <c:crossBetween val="midCat"/>
        <c:majorUnit val="1"/>
      </c:valAx>
      <c:valAx>
        <c:axId val="124344576"/>
        <c:scaling>
          <c:orientation val="minMax"/>
        </c:scaling>
        <c:axPos val="l"/>
        <c:majorGridlines/>
        <c:numFmt formatCode="#,##0" sourceLinked="0"/>
        <c:tickLblPos val="nextTo"/>
        <c:crossAx val="124343040"/>
        <c:crossesAt val="-100"/>
        <c:crossBetween val="midCat"/>
        <c:majorUnit val="1"/>
      </c:valAx>
      <c:spPr>
        <a:solidFill>
          <a:srgbClr val="F5FFF5"/>
        </a:solidFill>
      </c:spPr>
    </c:plotArea>
    <c:plotVisOnly val="1"/>
  </c:chart>
  <c:printSettings>
    <c:headerFooter/>
    <c:pageMargins b="0.75000000000001288" l="0.70000000000000062" r="0.70000000000000062" t="0.75000000000001288"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5.4093924954659825E-2"/>
          <c:y val="5.3249494892275158E-2"/>
          <c:w val="0.91423946470210538"/>
          <c:h val="0.85057950490001699"/>
        </c:manualLayout>
      </c:layout>
      <c:scatterChart>
        <c:scatterStyle val="lineMarker"/>
        <c:ser>
          <c:idx val="0"/>
          <c:order val="0"/>
          <c:spPr>
            <a:ln>
              <a:solidFill>
                <a:srgbClr val="0070C0"/>
              </a:solidFill>
            </a:ln>
          </c:spPr>
          <c:marker>
            <c:symbol val="none"/>
          </c:marker>
          <c:dPt>
            <c:idx val="0"/>
            <c:spPr>
              <a:ln>
                <a:noFill/>
              </a:ln>
            </c:spPr>
          </c:dPt>
          <c:dPt>
            <c:idx val="1"/>
            <c:spPr>
              <a:ln>
                <a:noFill/>
              </a:ln>
            </c:spPr>
          </c:dPt>
          <c:dPt>
            <c:idx val="2"/>
            <c:spPr>
              <a:ln>
                <a:solidFill>
                  <a:srgbClr val="00B4FF"/>
                </a:solidFill>
              </a:ln>
            </c:spPr>
          </c:dPt>
          <c:dPt>
            <c:idx val="3"/>
            <c:spPr>
              <a:ln>
                <a:solidFill>
                  <a:srgbClr val="00B4FF"/>
                </a:solidFill>
              </a:ln>
            </c:spPr>
          </c:dPt>
          <c:dPt>
            <c:idx val="4"/>
            <c:spPr>
              <a:ln>
                <a:solidFill>
                  <a:srgbClr val="00B4FF"/>
                </a:solidFill>
              </a:ln>
            </c:spPr>
          </c:dPt>
          <c:dPt>
            <c:idx val="5"/>
            <c:spPr>
              <a:ln>
                <a:solidFill>
                  <a:srgbClr val="00B4FF"/>
                </a:solidFill>
              </a:ln>
            </c:spPr>
          </c:dPt>
          <c:dPt>
            <c:idx val="6"/>
            <c:spPr>
              <a:ln>
                <a:solidFill>
                  <a:srgbClr val="00B4FF"/>
                </a:solidFill>
              </a:ln>
            </c:spPr>
          </c:dPt>
          <c:dPt>
            <c:idx val="7"/>
            <c:spPr>
              <a:ln>
                <a:noFill/>
              </a:ln>
            </c:spPr>
          </c:dPt>
          <c:dPt>
            <c:idx val="8"/>
            <c:spPr>
              <a:ln>
                <a:solidFill>
                  <a:srgbClr val="00B4FF"/>
                </a:solidFill>
              </a:ln>
            </c:spPr>
          </c:dPt>
          <c:dPt>
            <c:idx val="9"/>
            <c:spPr>
              <a:ln>
                <a:noFill/>
              </a:ln>
            </c:spPr>
          </c:dPt>
          <c:dPt>
            <c:idx val="10"/>
            <c:spPr>
              <a:ln>
                <a:solidFill>
                  <a:srgbClr val="00B4FF"/>
                </a:solidFill>
              </a:ln>
            </c:spPr>
          </c:dPt>
          <c:dPt>
            <c:idx val="11"/>
            <c:spPr>
              <a:ln>
                <a:noFill/>
              </a:ln>
            </c:spPr>
          </c:dPt>
          <c:dPt>
            <c:idx val="12"/>
            <c:spPr>
              <a:ln>
                <a:solidFill>
                  <a:srgbClr val="FF0000"/>
                </a:solidFill>
              </a:ln>
            </c:spPr>
          </c:dPt>
          <c:dPt>
            <c:idx val="13"/>
            <c:spPr>
              <a:ln>
                <a:noFill/>
              </a:ln>
            </c:spPr>
          </c:dPt>
          <c:dPt>
            <c:idx val="14"/>
            <c:spPr>
              <a:ln>
                <a:solidFill>
                  <a:srgbClr val="FF0000"/>
                </a:solidFill>
              </a:ln>
            </c:spPr>
          </c:dPt>
          <c:dPt>
            <c:idx val="15"/>
            <c:spPr>
              <a:ln>
                <a:noFill/>
              </a:ln>
            </c:spPr>
          </c:dPt>
          <c:dPt>
            <c:idx val="16"/>
            <c:spPr>
              <a:ln>
                <a:solidFill>
                  <a:srgbClr val="FF0000"/>
                </a:solidFill>
              </a:ln>
            </c:spPr>
          </c:dPt>
          <c:dPt>
            <c:idx val="17"/>
            <c:spPr>
              <a:ln>
                <a:noFill/>
              </a:ln>
            </c:spPr>
          </c:dPt>
          <c:dPt>
            <c:idx val="18"/>
            <c:spPr>
              <a:ln>
                <a:solidFill>
                  <a:srgbClr val="FF0000"/>
                </a:solidFill>
              </a:ln>
            </c:spPr>
          </c:dPt>
          <c:dPt>
            <c:idx val="19"/>
            <c:spPr>
              <a:ln>
                <a:solidFill>
                  <a:srgbClr val="FF0000"/>
                </a:solidFill>
              </a:ln>
            </c:spPr>
          </c:dPt>
          <c:dPt>
            <c:idx val="20"/>
            <c:spPr>
              <a:ln>
                <a:noFill/>
              </a:ln>
            </c:spPr>
          </c:dPt>
          <c:dPt>
            <c:idx val="21"/>
            <c:spPr>
              <a:ln>
                <a:solidFill>
                  <a:srgbClr val="FF0000"/>
                </a:solidFill>
              </a:ln>
            </c:spPr>
          </c:dPt>
          <c:dPt>
            <c:idx val="22"/>
            <c:spPr>
              <a:ln>
                <a:noFill/>
              </a:ln>
            </c:spPr>
          </c:dPt>
          <c:dPt>
            <c:idx val="23"/>
            <c:spPr>
              <a:ln>
                <a:solidFill>
                  <a:srgbClr val="FF0000"/>
                </a:solidFill>
              </a:ln>
            </c:spPr>
          </c:dPt>
          <c:dPt>
            <c:idx val="24"/>
            <c:spPr>
              <a:ln>
                <a:solidFill>
                  <a:srgbClr val="FF0000"/>
                </a:solidFill>
              </a:ln>
            </c:spPr>
          </c:dPt>
          <c:dPt>
            <c:idx val="25"/>
            <c:spPr>
              <a:ln>
                <a:noFill/>
              </a:ln>
            </c:spPr>
          </c:dPt>
          <c:dPt>
            <c:idx val="26"/>
            <c:spPr>
              <a:ln>
                <a:solidFill>
                  <a:srgbClr val="FF0000"/>
                </a:solidFill>
              </a:ln>
            </c:spPr>
          </c:dPt>
          <c:dPt>
            <c:idx val="27"/>
            <c:spPr>
              <a:ln>
                <a:noFill/>
              </a:ln>
            </c:spPr>
          </c:dPt>
          <c:dPt>
            <c:idx val="28"/>
            <c:spPr>
              <a:ln>
                <a:solidFill>
                  <a:srgbClr val="FF0000"/>
                </a:solidFill>
              </a:ln>
            </c:spPr>
          </c:dPt>
          <c:dPt>
            <c:idx val="29"/>
            <c:spPr>
              <a:ln>
                <a:noFill/>
              </a:ln>
            </c:spPr>
          </c:dPt>
          <c:dPt>
            <c:idx val="30"/>
            <c:spPr>
              <a:ln>
                <a:noFill/>
              </a:ln>
            </c:spPr>
          </c:dPt>
          <c:dPt>
            <c:idx val="31"/>
            <c:spPr>
              <a:ln>
                <a:solidFill>
                  <a:srgbClr val="FF0000"/>
                </a:solidFill>
              </a:ln>
            </c:spPr>
          </c:dPt>
          <c:dPt>
            <c:idx val="32"/>
            <c:spPr>
              <a:ln>
                <a:noFill/>
              </a:ln>
            </c:spPr>
          </c:dPt>
          <c:dPt>
            <c:idx val="33"/>
            <c:spPr>
              <a:ln>
                <a:noFill/>
              </a:ln>
            </c:spPr>
          </c:dPt>
          <c:dPt>
            <c:idx val="34"/>
            <c:spPr>
              <a:ln>
                <a:noFill/>
              </a:ln>
            </c:spPr>
          </c:dPt>
          <c:dPt>
            <c:idx val="35"/>
            <c:spPr>
              <a:ln>
                <a:noFill/>
              </a:ln>
            </c:spPr>
          </c:dPt>
          <c:dPt>
            <c:idx val="36"/>
            <c:spPr>
              <a:ln>
                <a:noFill/>
              </a:ln>
            </c:spPr>
          </c:dPt>
          <c:dPt>
            <c:idx val="37"/>
            <c:spPr>
              <a:ln>
                <a:solidFill>
                  <a:srgbClr val="FF0000"/>
                </a:solidFill>
              </a:ln>
            </c:spPr>
          </c:dPt>
          <c:dPt>
            <c:idx val="38"/>
            <c:spPr>
              <a:ln>
                <a:noFill/>
              </a:ln>
            </c:spPr>
          </c:dPt>
          <c:dPt>
            <c:idx val="39"/>
            <c:spPr>
              <a:ln>
                <a:noFill/>
              </a:ln>
            </c:spPr>
          </c:dPt>
          <c:dPt>
            <c:idx val="40"/>
            <c:spPr>
              <a:ln>
                <a:solidFill>
                  <a:srgbClr val="FF0000"/>
                </a:solidFill>
              </a:ln>
            </c:spPr>
          </c:dPt>
          <c:dPt>
            <c:idx val="41"/>
            <c:spPr>
              <a:ln>
                <a:noFill/>
              </a:ln>
            </c:spPr>
          </c:dPt>
          <c:dPt>
            <c:idx val="42"/>
            <c:spPr>
              <a:ln>
                <a:noFill/>
              </a:ln>
            </c:spPr>
          </c:dPt>
          <c:dPt>
            <c:idx val="43"/>
            <c:spPr>
              <a:ln>
                <a:solidFill>
                  <a:srgbClr val="FF4040"/>
                </a:solidFill>
              </a:ln>
            </c:spPr>
          </c:dPt>
          <c:dPt>
            <c:idx val="44"/>
            <c:spPr>
              <a:ln>
                <a:noFill/>
              </a:ln>
            </c:spPr>
          </c:dPt>
          <c:dPt>
            <c:idx val="45"/>
            <c:spPr>
              <a:ln>
                <a:solidFill>
                  <a:srgbClr val="FF4040"/>
                </a:solidFill>
              </a:ln>
            </c:spPr>
          </c:dPt>
          <c:xVal>
            <c:numRef>
              <c:f>PV!$F$567:$F$585</c:f>
              <c:numCache>
                <c:formatCode>0</c:formatCode>
                <c:ptCount val="19"/>
                <c:pt idx="0">
                  <c:v>0</c:v>
                </c:pt>
                <c:pt idx="1">
                  <c:v>0</c:v>
                </c:pt>
                <c:pt idx="2">
                  <c:v>10.761154855643044</c:v>
                </c:pt>
                <c:pt idx="3">
                  <c:v>10.761154855643044</c:v>
                </c:pt>
                <c:pt idx="4">
                  <c:v>0</c:v>
                </c:pt>
                <c:pt idx="5">
                  <c:v>0</c:v>
                </c:pt>
                <c:pt idx="6">
                  <c:v>10.761154855643044</c:v>
                </c:pt>
                <c:pt idx="7">
                  <c:v>5.3805774278215219</c:v>
                </c:pt>
                <c:pt idx="8">
                  <c:v>5.3805774278215219</c:v>
                </c:pt>
                <c:pt idx="9">
                  <c:v>0</c:v>
                </c:pt>
                <c:pt idx="10">
                  <c:v>0</c:v>
                </c:pt>
                <c:pt idx="11">
                  <c:v>5.163656496062992</c:v>
                </c:pt>
                <c:pt idx="12">
                  <c:v>5.5974983595800518</c:v>
                </c:pt>
                <c:pt idx="13">
                  <c:v>5.5974983595800518</c:v>
                </c:pt>
                <c:pt idx="14">
                  <c:v>5.163656496062992</c:v>
                </c:pt>
                <c:pt idx="15">
                  <c:v>5.5974983595800518</c:v>
                </c:pt>
                <c:pt idx="16">
                  <c:v>5.163656496062992</c:v>
                </c:pt>
                <c:pt idx="17">
                  <c:v>5.5974983595800518</c:v>
                </c:pt>
                <c:pt idx="18">
                  <c:v>5.163656496062992</c:v>
                </c:pt>
              </c:numCache>
            </c:numRef>
          </c:xVal>
          <c:yVal>
            <c:numRef>
              <c:f>PV!$G$567:$G$585</c:f>
              <c:numCache>
                <c:formatCode>0</c:formatCode>
                <c:ptCount val="19"/>
                <c:pt idx="0">
                  <c:v>0</c:v>
                </c:pt>
                <c:pt idx="1">
                  <c:v>3.2545931758530187</c:v>
                </c:pt>
                <c:pt idx="2">
                  <c:v>3.2545931758530187</c:v>
                </c:pt>
                <c:pt idx="3">
                  <c:v>-3.2545931758530187</c:v>
                </c:pt>
                <c:pt idx="4">
                  <c:v>-3.2545931758530187</c:v>
                </c:pt>
                <c:pt idx="5">
                  <c:v>0</c:v>
                </c:pt>
                <c:pt idx="6">
                  <c:v>0</c:v>
                </c:pt>
                <c:pt idx="7">
                  <c:v>3.2545931758530187</c:v>
                </c:pt>
                <c:pt idx="8">
                  <c:v>-3.2545931758530187</c:v>
                </c:pt>
                <c:pt idx="9">
                  <c:v>3.2545931758530187</c:v>
                </c:pt>
                <c:pt idx="10">
                  <c:v>-3.2545931758530187</c:v>
                </c:pt>
                <c:pt idx="11">
                  <c:v>0.21692093175853017</c:v>
                </c:pt>
                <c:pt idx="12">
                  <c:v>-0.21692093175853017</c:v>
                </c:pt>
                <c:pt idx="13">
                  <c:v>0.21692093175853017</c:v>
                </c:pt>
                <c:pt idx="14">
                  <c:v>-0.21692093175853017</c:v>
                </c:pt>
                <c:pt idx="15">
                  <c:v>1.4103756561679792</c:v>
                </c:pt>
                <c:pt idx="16">
                  <c:v>1.8442175196850394</c:v>
                </c:pt>
                <c:pt idx="17">
                  <c:v>1.8442175196850394</c:v>
                </c:pt>
                <c:pt idx="18">
                  <c:v>1.4103756561679792</c:v>
                </c:pt>
              </c:numCache>
            </c:numRef>
          </c:yVal>
        </c:ser>
        <c:axId val="124562816"/>
        <c:axId val="124576896"/>
      </c:scatterChart>
      <c:valAx>
        <c:axId val="124562816"/>
        <c:scaling>
          <c:orientation val="minMax"/>
          <c:min val="-1"/>
        </c:scaling>
        <c:axPos val="b"/>
        <c:majorGridlines/>
        <c:numFmt formatCode="#,##0" sourceLinked="0"/>
        <c:tickLblPos val="nextTo"/>
        <c:crossAx val="124576896"/>
        <c:crossesAt val="-100"/>
        <c:crossBetween val="midCat"/>
        <c:majorUnit val="1"/>
      </c:valAx>
      <c:valAx>
        <c:axId val="124576896"/>
        <c:scaling>
          <c:orientation val="minMax"/>
        </c:scaling>
        <c:axPos val="l"/>
        <c:majorGridlines/>
        <c:numFmt formatCode="#,##0" sourceLinked="0"/>
        <c:tickLblPos val="nextTo"/>
        <c:crossAx val="124562816"/>
        <c:crossesAt val="-100"/>
        <c:crossBetween val="midCat"/>
        <c:majorUnit val="1"/>
      </c:valAx>
      <c:spPr>
        <a:solidFill>
          <a:srgbClr val="F5FFF5"/>
        </a:solidFill>
      </c:spPr>
    </c:plotArea>
    <c:plotVisOnly val="1"/>
  </c:chart>
  <c:printSettings>
    <c:headerFooter/>
    <c:pageMargins b="0.7500000000000131" l="0.70000000000000062" r="0.70000000000000062" t="0.7500000000000131"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9524104182458506E-2"/>
          <c:y val="4.2311744018048693E-2"/>
          <c:w val="0.92148446080782043"/>
          <c:h val="0.89263830165506253"/>
        </c:manualLayout>
      </c:layout>
      <c:scatterChart>
        <c:scatterStyle val="lineMarker"/>
        <c:ser>
          <c:idx val="0"/>
          <c:order val="0"/>
          <c:spPr>
            <a:ln>
              <a:solidFill>
                <a:srgbClr val="00B4FF"/>
              </a:solidFill>
            </a:ln>
          </c:spPr>
          <c:marker>
            <c:symbol val="none"/>
          </c:marker>
          <c:dPt>
            <c:idx val="5"/>
            <c:spPr>
              <a:ln>
                <a:noFill/>
              </a:ln>
            </c:spPr>
          </c:dPt>
          <c:dPt>
            <c:idx val="13"/>
            <c:spPr>
              <a:ln>
                <a:solidFill>
                  <a:srgbClr val="FF0000"/>
                </a:solidFill>
              </a:ln>
            </c:spPr>
          </c:dPt>
          <c:dPt>
            <c:idx val="20"/>
            <c:spPr>
              <a:ln>
                <a:noFill/>
              </a:ln>
            </c:spPr>
          </c:dPt>
          <c:dPt>
            <c:idx val="21"/>
            <c:spPr>
              <a:ln>
                <a:solidFill>
                  <a:srgbClr val="FF0000"/>
                </a:solidFill>
              </a:ln>
            </c:spPr>
          </c:dPt>
          <c:dPt>
            <c:idx val="22"/>
            <c:spPr>
              <a:ln>
                <a:noFill/>
              </a:ln>
            </c:spPr>
          </c:dPt>
          <c:dPt>
            <c:idx val="23"/>
            <c:spPr>
              <a:ln>
                <a:solidFill>
                  <a:srgbClr val="FF0000"/>
                </a:solidFill>
              </a:ln>
            </c:spPr>
          </c:dPt>
          <c:dPt>
            <c:idx val="24"/>
            <c:spPr>
              <a:ln>
                <a:noFill/>
              </a:ln>
            </c:spPr>
          </c:dPt>
          <c:dPt>
            <c:idx val="25"/>
            <c:spPr>
              <a:ln>
                <a:solidFill>
                  <a:srgbClr val="FF0000"/>
                </a:solidFill>
              </a:ln>
            </c:spPr>
          </c:dPt>
          <c:dPt>
            <c:idx val="26"/>
            <c:spPr>
              <a:ln>
                <a:noFill/>
              </a:ln>
            </c:spPr>
          </c:dPt>
          <c:dPt>
            <c:idx val="27"/>
            <c:spPr>
              <a:ln>
                <a:solidFill>
                  <a:srgbClr val="FF0000"/>
                </a:solidFill>
              </a:ln>
            </c:spPr>
          </c:dPt>
          <c:dPt>
            <c:idx val="28"/>
            <c:spPr>
              <a:ln>
                <a:noFill/>
              </a:ln>
            </c:spPr>
          </c:dPt>
          <c:dPt>
            <c:idx val="29"/>
            <c:spPr>
              <a:ln>
                <a:solidFill>
                  <a:srgbClr val="FF0000"/>
                </a:solidFill>
              </a:ln>
            </c:spPr>
          </c:dPt>
          <c:dPt>
            <c:idx val="31"/>
            <c:spPr>
              <a:ln>
                <a:solidFill>
                  <a:srgbClr val="FF0000"/>
                </a:solidFill>
              </a:ln>
            </c:spPr>
          </c:dPt>
          <c:xVal>
            <c:numRef>
              <c:f>PV!$F$318:$F$349</c:f>
              <c:numCache>
                <c:formatCode>0</c:formatCode>
                <c:ptCount val="32"/>
                <c:pt idx="0">
                  <c:v>0</c:v>
                </c:pt>
                <c:pt idx="1">
                  <c:v>3.2545931758530187</c:v>
                </c:pt>
                <c:pt idx="2">
                  <c:v>3.2545931758530187</c:v>
                </c:pt>
                <c:pt idx="3">
                  <c:v>0</c:v>
                </c:pt>
                <c:pt idx="4">
                  <c:v>0</c:v>
                </c:pt>
                <c:pt idx="5">
                  <c:v>3.2545931758530187</c:v>
                </c:pt>
                <c:pt idx="6">
                  <c:v>3.2545931758530187</c:v>
                </c:pt>
                <c:pt idx="7">
                  <c:v>8.6351706036745401</c:v>
                </c:pt>
                <c:pt idx="8">
                  <c:v>8.6351706036745401</c:v>
                </c:pt>
                <c:pt idx="9">
                  <c:v>3.2545931758530187</c:v>
                </c:pt>
                <c:pt idx="10">
                  <c:v>3.2545931758530187</c:v>
                </c:pt>
                <c:pt idx="11">
                  <c:v>8.6351706036745401</c:v>
                </c:pt>
                <c:pt idx="12">
                  <c:v>8.6351706036745401</c:v>
                </c:pt>
                <c:pt idx="13">
                  <c:v>8.6351706036745401</c:v>
                </c:pt>
                <c:pt idx="14">
                  <c:v>11.889763779527559</c:v>
                </c:pt>
                <c:pt idx="15">
                  <c:v>11.889763779527559</c:v>
                </c:pt>
                <c:pt idx="16">
                  <c:v>11.889763779527559</c:v>
                </c:pt>
                <c:pt idx="17">
                  <c:v>8.6351706036745401</c:v>
                </c:pt>
                <c:pt idx="18">
                  <c:v>8.6351706036745401</c:v>
                </c:pt>
                <c:pt idx="19">
                  <c:v>11.889763779527559</c:v>
                </c:pt>
                <c:pt idx="20">
                  <c:v>6.5236999671916021</c:v>
                </c:pt>
                <c:pt idx="21">
                  <c:v>7.093097933070867</c:v>
                </c:pt>
                <c:pt idx="22">
                  <c:v>7.093097933070867</c:v>
                </c:pt>
                <c:pt idx="23">
                  <c:v>6.5236999671916021</c:v>
                </c:pt>
                <c:pt idx="24">
                  <c:v>7.093097933070867</c:v>
                </c:pt>
                <c:pt idx="25">
                  <c:v>6.5236999671916021</c:v>
                </c:pt>
                <c:pt idx="26">
                  <c:v>7.093097933070867</c:v>
                </c:pt>
                <c:pt idx="27">
                  <c:v>6.5236999671916021</c:v>
                </c:pt>
                <c:pt idx="28">
                  <c:v>0</c:v>
                </c:pt>
                <c:pt idx="29">
                  <c:v>8.6351706036745401</c:v>
                </c:pt>
                <c:pt idx="30">
                  <c:v>8.6351706036745401</c:v>
                </c:pt>
                <c:pt idx="31">
                  <c:v>0</c:v>
                </c:pt>
              </c:numCache>
            </c:numRef>
          </c:xVal>
          <c:yVal>
            <c:numRef>
              <c:f>PV!$G$318:$G$349</c:f>
              <c:numCache>
                <c:formatCode>0</c:formatCode>
                <c:ptCount val="32"/>
                <c:pt idx="0">
                  <c:v>2.690288713910761</c:v>
                </c:pt>
                <c:pt idx="1">
                  <c:v>2.690288713910761</c:v>
                </c:pt>
                <c:pt idx="2">
                  <c:v>-2.690288713910761</c:v>
                </c:pt>
                <c:pt idx="3">
                  <c:v>-2.690288713910761</c:v>
                </c:pt>
                <c:pt idx="4">
                  <c:v>2.690288713910761</c:v>
                </c:pt>
                <c:pt idx="5">
                  <c:v>0</c:v>
                </c:pt>
                <c:pt idx="6">
                  <c:v>3.2545931758530187</c:v>
                </c:pt>
                <c:pt idx="7">
                  <c:v>3.2545931758530187</c:v>
                </c:pt>
                <c:pt idx="8">
                  <c:v>0</c:v>
                </c:pt>
                <c:pt idx="9">
                  <c:v>0</c:v>
                </c:pt>
                <c:pt idx="10">
                  <c:v>-3.2545931758530187</c:v>
                </c:pt>
                <c:pt idx="11">
                  <c:v>-3.2545931758530187</c:v>
                </c:pt>
                <c:pt idx="12">
                  <c:v>0</c:v>
                </c:pt>
                <c:pt idx="13">
                  <c:v>5.3805774278215219</c:v>
                </c:pt>
                <c:pt idx="14">
                  <c:v>5.3805774278215219</c:v>
                </c:pt>
                <c:pt idx="15">
                  <c:v>-5.3805774278215219</c:v>
                </c:pt>
                <c:pt idx="16">
                  <c:v>0</c:v>
                </c:pt>
                <c:pt idx="17">
                  <c:v>0</c:v>
                </c:pt>
                <c:pt idx="18">
                  <c:v>-5.3805774278215219</c:v>
                </c:pt>
                <c:pt idx="19">
                  <c:v>-5.3805774278215219</c:v>
                </c:pt>
                <c:pt idx="20">
                  <c:v>0.28469898293963258</c:v>
                </c:pt>
                <c:pt idx="21">
                  <c:v>-0.28469898293963258</c:v>
                </c:pt>
                <c:pt idx="22">
                  <c:v>0.28469898293963258</c:v>
                </c:pt>
                <c:pt idx="23">
                  <c:v>-0.28469898293963258</c:v>
                </c:pt>
                <c:pt idx="24">
                  <c:v>1.7113640091863518</c:v>
                </c:pt>
                <c:pt idx="25">
                  <c:v>2.2807619750656172</c:v>
                </c:pt>
                <c:pt idx="26">
                  <c:v>2.2807619750656172</c:v>
                </c:pt>
                <c:pt idx="27">
                  <c:v>1.7113640091863518</c:v>
                </c:pt>
                <c:pt idx="28">
                  <c:v>2.690288713910761</c:v>
                </c:pt>
                <c:pt idx="29">
                  <c:v>5.3805774278215219</c:v>
                </c:pt>
                <c:pt idx="30">
                  <c:v>-5.3805774278215219</c:v>
                </c:pt>
                <c:pt idx="31">
                  <c:v>-2.690288713910761</c:v>
                </c:pt>
              </c:numCache>
            </c:numRef>
          </c:yVal>
        </c:ser>
        <c:axId val="124404864"/>
        <c:axId val="124406400"/>
      </c:scatterChart>
      <c:valAx>
        <c:axId val="124404864"/>
        <c:scaling>
          <c:orientation val="minMax"/>
          <c:min val="-1"/>
        </c:scaling>
        <c:axPos val="b"/>
        <c:majorGridlines/>
        <c:numFmt formatCode="0" sourceLinked="1"/>
        <c:tickLblPos val="nextTo"/>
        <c:crossAx val="124406400"/>
        <c:crossesAt val="-100"/>
        <c:crossBetween val="midCat"/>
        <c:majorUnit val="1"/>
      </c:valAx>
      <c:valAx>
        <c:axId val="124406400"/>
        <c:scaling>
          <c:orientation val="minMax"/>
        </c:scaling>
        <c:axPos val="l"/>
        <c:majorGridlines/>
        <c:numFmt formatCode="0" sourceLinked="1"/>
        <c:tickLblPos val="nextTo"/>
        <c:crossAx val="124404864"/>
        <c:crossesAt val="-100"/>
        <c:crossBetween val="midCat"/>
        <c:majorUnit val="1"/>
      </c:valAx>
      <c:spPr>
        <a:solidFill>
          <a:srgbClr val="F5FFF5"/>
        </a:solidFill>
      </c:spPr>
    </c:plotArea>
    <c:plotVisOnly val="1"/>
  </c:chart>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0101840436438786E-2"/>
          <c:y val="2.2540705281921904E-2"/>
          <c:w val="0.89084316268109165"/>
          <c:h val="0.91111173089479469"/>
        </c:manualLayout>
      </c:layout>
      <c:scatterChart>
        <c:scatterStyle val="lineMarker"/>
        <c:ser>
          <c:idx val="0"/>
          <c:order val="0"/>
          <c:spPr>
            <a:ln w="38100">
              <a:solidFill>
                <a:srgbClr val="C00000"/>
              </a:solidFill>
            </a:ln>
          </c:spPr>
          <c:marker>
            <c:symbol val="none"/>
          </c:marker>
          <c:dPt>
            <c:idx val="1"/>
            <c:marker>
              <c:symbol val="circle"/>
              <c:size val="3"/>
            </c:marker>
            <c:spPr>
              <a:ln w="38100">
                <a:solidFill>
                  <a:srgbClr val="C88C14"/>
                </a:solidFill>
              </a:ln>
            </c:spPr>
          </c:dPt>
          <c:dPt>
            <c:idx val="2"/>
            <c:spPr>
              <a:ln w="38100">
                <a:solidFill>
                  <a:srgbClr val="F078E6"/>
                </a:solidFill>
              </a:ln>
            </c:spPr>
          </c:dPt>
          <c:dPt>
            <c:idx val="3"/>
            <c:spPr>
              <a:ln w="38100">
                <a:solidFill>
                  <a:srgbClr val="00FF00"/>
                </a:solidFill>
              </a:ln>
            </c:spPr>
          </c:dPt>
          <c:dPt>
            <c:idx val="4"/>
            <c:spPr>
              <a:ln w="38100">
                <a:solidFill>
                  <a:srgbClr val="00FF00"/>
                </a:solidFill>
              </a:ln>
            </c:spPr>
          </c:dPt>
          <c:dPt>
            <c:idx val="5"/>
            <c:marker>
              <c:symbol val="circle"/>
              <c:size val="3"/>
              <c:spPr>
                <a:solidFill>
                  <a:srgbClr val="4F81BD"/>
                </a:solidFill>
              </c:spPr>
            </c:marker>
            <c:spPr>
              <a:ln w="38100">
                <a:solidFill>
                  <a:srgbClr val="F078E6"/>
                </a:solidFill>
              </a:ln>
            </c:spPr>
          </c:dPt>
          <c:dPt>
            <c:idx val="6"/>
            <c:marker>
              <c:symbol val="circle"/>
              <c:size val="3"/>
            </c:marker>
            <c:spPr>
              <a:ln w="38100">
                <a:solidFill>
                  <a:srgbClr val="C88C14"/>
                </a:solidFill>
              </a:ln>
            </c:spPr>
          </c:dPt>
          <c:dPt>
            <c:idx val="7"/>
            <c:spPr>
              <a:ln w="38100">
                <a:solidFill>
                  <a:srgbClr val="C88C14"/>
                </a:solidFill>
              </a:ln>
            </c:spPr>
          </c:dPt>
          <c:dPt>
            <c:idx val="8"/>
            <c:spPr>
              <a:ln w="38100">
                <a:noFill/>
              </a:ln>
            </c:spPr>
          </c:dPt>
          <c:dPt>
            <c:idx val="9"/>
            <c:spPr>
              <a:ln w="38100">
                <a:noFill/>
              </a:ln>
            </c:spPr>
          </c:dPt>
          <c:dPt>
            <c:idx val="10"/>
            <c:spPr>
              <a:ln w="38100">
                <a:solidFill>
                  <a:srgbClr val="00B4FF"/>
                </a:solidFill>
              </a:ln>
            </c:spPr>
          </c:dPt>
          <c:dPt>
            <c:idx val="11"/>
            <c:spPr>
              <a:ln w="38100">
                <a:solidFill>
                  <a:srgbClr val="00B4FF"/>
                </a:solidFill>
              </a:ln>
            </c:spPr>
          </c:dPt>
          <c:dPt>
            <c:idx val="12"/>
            <c:spPr>
              <a:ln w="38100">
                <a:solidFill>
                  <a:srgbClr val="00B4FF"/>
                </a:solidFill>
              </a:ln>
            </c:spPr>
          </c:dPt>
          <c:dPt>
            <c:idx val="13"/>
            <c:spPr>
              <a:ln w="38100">
                <a:noFill/>
              </a:ln>
            </c:spPr>
          </c:dPt>
          <c:dPt>
            <c:idx val="14"/>
            <c:spPr>
              <a:ln w="38100">
                <a:noFill/>
              </a:ln>
            </c:spPr>
          </c:dPt>
          <c:dPt>
            <c:idx val="15"/>
            <c:spPr>
              <a:ln w="38100">
                <a:solidFill>
                  <a:srgbClr val="FF0000"/>
                </a:solidFill>
              </a:ln>
            </c:spPr>
          </c:dPt>
          <c:dPt>
            <c:idx val="16"/>
            <c:spPr>
              <a:ln w="38100">
                <a:solidFill>
                  <a:srgbClr val="FF0000"/>
                </a:solidFill>
              </a:ln>
            </c:spPr>
          </c:dPt>
          <c:dPt>
            <c:idx val="17"/>
            <c:spPr>
              <a:ln w="38100">
                <a:solidFill>
                  <a:srgbClr val="FF0000"/>
                </a:solidFill>
              </a:ln>
            </c:spPr>
          </c:dPt>
          <c:dPt>
            <c:idx val="18"/>
            <c:spPr>
              <a:ln w="38100">
                <a:noFill/>
              </a:ln>
            </c:spPr>
          </c:dPt>
          <c:dPt>
            <c:idx val="19"/>
            <c:spPr>
              <a:ln w="38100">
                <a:noFill/>
              </a:ln>
            </c:spPr>
          </c:dPt>
          <c:dPt>
            <c:idx val="20"/>
            <c:spPr>
              <a:ln w="38100">
                <a:noFill/>
              </a:ln>
            </c:spPr>
          </c:dPt>
          <c:dPt>
            <c:idx val="21"/>
            <c:spPr>
              <a:ln w="38100">
                <a:solidFill>
                  <a:srgbClr val="00FF00"/>
                </a:solidFill>
              </a:ln>
            </c:spPr>
          </c:dPt>
          <c:dPt>
            <c:idx val="22"/>
            <c:spPr>
              <a:ln w="38100">
                <a:solidFill>
                  <a:srgbClr val="00FF00"/>
                </a:solidFill>
              </a:ln>
            </c:spPr>
          </c:dPt>
          <c:dPt>
            <c:idx val="23"/>
            <c:spPr>
              <a:ln w="38100">
                <a:solidFill>
                  <a:srgbClr val="00FF00"/>
                </a:solidFill>
              </a:ln>
            </c:spPr>
          </c:dPt>
          <c:dPt>
            <c:idx val="24"/>
            <c:spPr>
              <a:ln w="38100">
                <a:solidFill>
                  <a:srgbClr val="00FF00"/>
                </a:solidFill>
              </a:ln>
            </c:spPr>
          </c:dPt>
          <c:dPt>
            <c:idx val="25"/>
            <c:spPr>
              <a:ln w="38100">
                <a:solidFill>
                  <a:srgbClr val="00FF00"/>
                </a:solidFill>
              </a:ln>
            </c:spPr>
          </c:dPt>
          <c:dPt>
            <c:idx val="26"/>
            <c:spPr>
              <a:ln w="38100">
                <a:solidFill>
                  <a:srgbClr val="00FF00"/>
                </a:solidFill>
              </a:ln>
            </c:spPr>
          </c:dPt>
          <c:dPt>
            <c:idx val="27"/>
            <c:spPr>
              <a:ln w="38100">
                <a:solidFill>
                  <a:srgbClr val="00FF00"/>
                </a:solidFill>
              </a:ln>
            </c:spPr>
          </c:dPt>
          <c:dPt>
            <c:idx val="28"/>
            <c:spPr>
              <a:ln w="38100">
                <a:solidFill>
                  <a:srgbClr val="FF0000"/>
                </a:solidFill>
              </a:ln>
            </c:spPr>
          </c:dPt>
          <c:dPt>
            <c:idx val="29"/>
            <c:spPr>
              <a:ln w="38100">
                <a:solidFill>
                  <a:srgbClr val="00B0F0"/>
                </a:solidFill>
              </a:ln>
            </c:spPr>
          </c:dPt>
          <c:dPt>
            <c:idx val="30"/>
            <c:spPr>
              <a:ln w="38100">
                <a:solidFill>
                  <a:schemeClr val="tx1"/>
                </a:solidFill>
              </a:ln>
            </c:spPr>
          </c:dPt>
          <c:dPt>
            <c:idx val="31"/>
            <c:marker>
              <c:symbol val="circle"/>
              <c:size val="5"/>
              <c:spPr>
                <a:solidFill>
                  <a:srgbClr val="FFB4E6"/>
                </a:solidFill>
              </c:spPr>
            </c:marker>
            <c:spPr>
              <a:ln w="38100">
                <a:solidFill>
                  <a:schemeClr val="tx1"/>
                </a:solidFill>
              </a:ln>
            </c:spPr>
          </c:dPt>
          <c:dPt>
            <c:idx val="32"/>
            <c:spPr>
              <a:ln w="38100">
                <a:solidFill>
                  <a:srgbClr val="00B0F0"/>
                </a:solidFill>
              </a:ln>
            </c:spPr>
          </c:dPt>
          <c:dPt>
            <c:idx val="33"/>
            <c:spPr>
              <a:ln w="38100">
                <a:solidFill>
                  <a:schemeClr val="tx1"/>
                </a:solidFill>
              </a:ln>
            </c:spPr>
          </c:dPt>
          <c:dPt>
            <c:idx val="34"/>
            <c:marker>
              <c:symbol val="circle"/>
              <c:size val="5"/>
              <c:spPr>
                <a:solidFill>
                  <a:srgbClr val="00B0F0"/>
                </a:solidFill>
              </c:spPr>
            </c:marker>
            <c:spPr>
              <a:ln w="38100">
                <a:solidFill>
                  <a:schemeClr val="tx1"/>
                </a:solidFill>
              </a:ln>
            </c:spPr>
          </c:dPt>
          <c:dPt>
            <c:idx val="35"/>
            <c:spPr>
              <a:ln w="38100">
                <a:solidFill>
                  <a:srgbClr val="00B0F0"/>
                </a:solidFill>
              </a:ln>
            </c:spPr>
          </c:dPt>
          <c:dPt>
            <c:idx val="36"/>
            <c:spPr>
              <a:ln w="38100">
                <a:solidFill>
                  <a:schemeClr val="tx1"/>
                </a:solidFill>
              </a:ln>
            </c:spPr>
          </c:dPt>
          <c:dPt>
            <c:idx val="37"/>
            <c:spPr>
              <a:ln w="38100">
                <a:solidFill>
                  <a:schemeClr val="tx1"/>
                </a:solidFill>
              </a:ln>
            </c:spPr>
          </c:dPt>
          <c:dPt>
            <c:idx val="38"/>
            <c:spPr>
              <a:ln w="38100">
                <a:solidFill>
                  <a:srgbClr val="00B050"/>
                </a:solidFill>
              </a:ln>
            </c:spPr>
          </c:dPt>
          <c:dPt>
            <c:idx val="39"/>
            <c:spPr>
              <a:ln w="38100">
                <a:solidFill>
                  <a:srgbClr val="00B050"/>
                </a:solidFill>
              </a:ln>
            </c:spPr>
          </c:dPt>
          <c:dPt>
            <c:idx val="40"/>
            <c:spPr>
              <a:ln w="38100">
                <a:solidFill>
                  <a:schemeClr val="tx1"/>
                </a:solidFill>
              </a:ln>
            </c:spPr>
          </c:dPt>
          <c:dPt>
            <c:idx val="41"/>
            <c:spPr>
              <a:ln w="38100">
                <a:solidFill>
                  <a:schemeClr val="tx1"/>
                </a:solidFill>
              </a:ln>
            </c:spPr>
          </c:dPt>
          <c:dPt>
            <c:idx val="42"/>
            <c:spPr>
              <a:ln w="38100">
                <a:solidFill>
                  <a:srgbClr val="00B050"/>
                </a:solidFill>
              </a:ln>
            </c:spPr>
          </c:dPt>
          <c:dPt>
            <c:idx val="43"/>
            <c:spPr>
              <a:ln w="38100">
                <a:solidFill>
                  <a:srgbClr val="00B050"/>
                </a:solidFill>
              </a:ln>
            </c:spPr>
          </c:dPt>
          <c:dPt>
            <c:idx val="44"/>
            <c:spPr>
              <a:ln w="38100">
                <a:solidFill>
                  <a:schemeClr val="tx1"/>
                </a:solidFill>
              </a:ln>
            </c:spPr>
          </c:dPt>
          <c:dPt>
            <c:idx val="45"/>
            <c:spPr>
              <a:ln w="38100">
                <a:solidFill>
                  <a:schemeClr val="tx1"/>
                </a:solidFill>
              </a:ln>
            </c:spPr>
          </c:dPt>
          <c:dPt>
            <c:idx val="46"/>
            <c:spPr>
              <a:ln w="38100">
                <a:solidFill>
                  <a:srgbClr val="00B050"/>
                </a:solidFill>
              </a:ln>
            </c:spPr>
          </c:dPt>
          <c:dPt>
            <c:idx val="47"/>
            <c:spPr>
              <a:ln w="38100">
                <a:solidFill>
                  <a:srgbClr val="00B050"/>
                </a:solidFill>
              </a:ln>
            </c:spPr>
          </c:dPt>
          <c:dPt>
            <c:idx val="48"/>
            <c:spPr>
              <a:ln w="38100">
                <a:solidFill>
                  <a:schemeClr val="tx1"/>
                </a:solidFill>
              </a:ln>
            </c:spPr>
          </c:dPt>
          <c:dPt>
            <c:idx val="49"/>
            <c:marker>
              <c:symbol val="circle"/>
              <c:size val="5"/>
              <c:spPr>
                <a:solidFill>
                  <a:srgbClr val="FFB4E6"/>
                </a:solidFill>
              </c:spPr>
            </c:marker>
            <c:spPr>
              <a:ln w="38100">
                <a:solidFill>
                  <a:schemeClr val="tx1"/>
                </a:solidFill>
              </a:ln>
            </c:spPr>
          </c:dPt>
          <c:dPt>
            <c:idx val="50"/>
            <c:spPr>
              <a:ln w="38100">
                <a:solidFill>
                  <a:srgbClr val="00B050"/>
                </a:solidFill>
              </a:ln>
            </c:spPr>
          </c:dPt>
          <c:dPt>
            <c:idx val="51"/>
            <c:spPr>
              <a:ln w="38100">
                <a:solidFill>
                  <a:schemeClr val="tx1"/>
                </a:solidFill>
              </a:ln>
            </c:spPr>
          </c:dPt>
          <c:dPt>
            <c:idx val="52"/>
            <c:marker>
              <c:symbol val="circle"/>
              <c:size val="5"/>
              <c:spPr>
                <a:solidFill>
                  <a:srgbClr val="00B050"/>
                </a:solidFill>
              </c:spPr>
            </c:marker>
            <c:spPr>
              <a:ln w="38100">
                <a:solidFill>
                  <a:schemeClr val="tx1"/>
                </a:solidFill>
              </a:ln>
            </c:spPr>
          </c:dPt>
          <c:dPt>
            <c:idx val="53"/>
            <c:spPr>
              <a:ln w="38100">
                <a:solidFill>
                  <a:srgbClr val="00B050"/>
                </a:solidFill>
              </a:ln>
            </c:spPr>
          </c:dPt>
          <c:dPt>
            <c:idx val="54"/>
            <c:spPr>
              <a:ln w="38100">
                <a:solidFill>
                  <a:schemeClr val="tx1"/>
                </a:solidFill>
              </a:ln>
            </c:spPr>
          </c:dPt>
          <c:dPt>
            <c:idx val="55"/>
            <c:spPr>
              <a:ln w="38100">
                <a:solidFill>
                  <a:schemeClr val="tx1"/>
                </a:solidFill>
              </a:ln>
            </c:spPr>
          </c:dPt>
          <c:dPt>
            <c:idx val="56"/>
            <c:spPr>
              <a:ln w="38100">
                <a:solidFill>
                  <a:schemeClr val="tx1"/>
                </a:solidFill>
              </a:ln>
            </c:spPr>
          </c:dPt>
          <c:dPt>
            <c:idx val="57"/>
            <c:spPr>
              <a:ln w="38100">
                <a:solidFill>
                  <a:srgbClr val="FF0000"/>
                </a:solidFill>
              </a:ln>
            </c:spPr>
          </c:dPt>
          <c:dPt>
            <c:idx val="58"/>
            <c:spPr>
              <a:ln w="38100">
                <a:solidFill>
                  <a:schemeClr val="tx1"/>
                </a:solidFill>
              </a:ln>
            </c:spPr>
          </c:dPt>
          <c:dPt>
            <c:idx val="59"/>
            <c:spPr>
              <a:ln w="38100">
                <a:solidFill>
                  <a:schemeClr val="tx1"/>
                </a:solidFill>
              </a:ln>
            </c:spPr>
          </c:dPt>
          <c:dPt>
            <c:idx val="60"/>
            <c:spPr>
              <a:ln w="38100">
                <a:solidFill>
                  <a:srgbClr val="FF0000"/>
                </a:solidFill>
              </a:ln>
            </c:spPr>
          </c:dPt>
          <c:dPt>
            <c:idx val="61"/>
            <c:spPr>
              <a:ln w="38100">
                <a:solidFill>
                  <a:srgbClr val="FF0000"/>
                </a:solidFill>
              </a:ln>
            </c:spPr>
          </c:dPt>
          <c:dPt>
            <c:idx val="62"/>
            <c:spPr>
              <a:ln w="38100">
                <a:solidFill>
                  <a:schemeClr val="tx1"/>
                </a:solidFill>
              </a:ln>
            </c:spPr>
          </c:dPt>
          <c:dPt>
            <c:idx val="63"/>
            <c:spPr>
              <a:ln w="38100">
                <a:solidFill>
                  <a:schemeClr val="tx1"/>
                </a:solidFill>
              </a:ln>
            </c:spPr>
          </c:dPt>
          <c:dPt>
            <c:idx val="64"/>
            <c:spPr>
              <a:ln w="38100">
                <a:solidFill>
                  <a:srgbClr val="FF0000"/>
                </a:solidFill>
              </a:ln>
            </c:spPr>
          </c:dPt>
          <c:dPt>
            <c:idx val="65"/>
            <c:spPr>
              <a:ln w="38100">
                <a:solidFill>
                  <a:srgbClr val="FF0000"/>
                </a:solidFill>
              </a:ln>
            </c:spPr>
          </c:dPt>
          <c:dPt>
            <c:idx val="66"/>
            <c:spPr>
              <a:ln w="38100">
                <a:solidFill>
                  <a:schemeClr val="tx1"/>
                </a:solidFill>
              </a:ln>
            </c:spPr>
          </c:dPt>
          <c:dPt>
            <c:idx val="67"/>
            <c:marker>
              <c:symbol val="circle"/>
              <c:size val="5"/>
              <c:spPr>
                <a:solidFill>
                  <a:srgbClr val="FFB4E6"/>
                </a:solidFill>
              </c:spPr>
            </c:marker>
            <c:spPr>
              <a:ln w="38100">
                <a:solidFill>
                  <a:schemeClr val="tx1"/>
                </a:solidFill>
              </a:ln>
            </c:spPr>
          </c:dPt>
          <c:dPt>
            <c:idx val="68"/>
            <c:spPr>
              <a:ln w="38100">
                <a:solidFill>
                  <a:srgbClr val="FF0000"/>
                </a:solidFill>
              </a:ln>
            </c:spPr>
          </c:dPt>
          <c:dPt>
            <c:idx val="69"/>
            <c:spPr>
              <a:ln w="38100">
                <a:solidFill>
                  <a:schemeClr val="tx1"/>
                </a:solidFill>
              </a:ln>
            </c:spPr>
          </c:dPt>
          <c:dPt>
            <c:idx val="70"/>
            <c:marker>
              <c:symbol val="circle"/>
              <c:size val="5"/>
              <c:spPr>
                <a:solidFill>
                  <a:srgbClr val="FF0000"/>
                </a:solidFill>
              </c:spPr>
            </c:marker>
            <c:spPr>
              <a:ln w="38100">
                <a:solidFill>
                  <a:schemeClr val="tx1"/>
                </a:solidFill>
              </a:ln>
            </c:spPr>
          </c:dPt>
          <c:dPt>
            <c:idx val="71"/>
            <c:spPr>
              <a:ln w="38100">
                <a:solidFill>
                  <a:srgbClr val="FF0000"/>
                </a:solidFill>
              </a:ln>
            </c:spPr>
          </c:dPt>
          <c:xVal>
            <c:numRef>
              <c:f>(Main!$E$67:$E$85,Main!$E$96:$E$104)</c:f>
              <c:numCache>
                <c:formatCode>0</c:formatCode>
                <c:ptCount val="28"/>
                <c:pt idx="0">
                  <c:v>0</c:v>
                </c:pt>
                <c:pt idx="1">
                  <c:v>0</c:v>
                </c:pt>
                <c:pt idx="2">
                  <c:v>0.78018372703411143</c:v>
                </c:pt>
                <c:pt idx="3">
                  <c:v>8.9999999999999929</c:v>
                </c:pt>
                <c:pt idx="4">
                  <c:v>17.219816272965872</c:v>
                </c:pt>
                <c:pt idx="5">
                  <c:v>17.999999999999982</c:v>
                </c:pt>
                <c:pt idx="6">
                  <c:v>17.999999999999982</c:v>
                </c:pt>
                <c:pt idx="7">
                  <c:v>17.999999999999982</c:v>
                </c:pt>
                <c:pt idx="8">
                  <c:v>0</c:v>
                </c:pt>
                <c:pt idx="9">
                  <c:v>0.78018372703411143</c:v>
                </c:pt>
                <c:pt idx="10">
                  <c:v>0.78018372703411143</c:v>
                </c:pt>
                <c:pt idx="11">
                  <c:v>17.219816272965872</c:v>
                </c:pt>
                <c:pt idx="12">
                  <c:v>17.219816272965872</c:v>
                </c:pt>
                <c:pt idx="13">
                  <c:v>0</c:v>
                </c:pt>
                <c:pt idx="14">
                  <c:v>0.78018372703411143</c:v>
                </c:pt>
                <c:pt idx="15">
                  <c:v>0.78018372703411143</c:v>
                </c:pt>
                <c:pt idx="16">
                  <c:v>17.219816272965872</c:v>
                </c:pt>
                <c:pt idx="17">
                  <c:v>17.219816272965872</c:v>
                </c:pt>
                <c:pt idx="18">
                  <c:v>0</c:v>
                </c:pt>
                <c:pt idx="19">
                  <c:v>8.9999999999999929</c:v>
                </c:pt>
                <c:pt idx="20">
                  <c:v>0.7801837270341121</c:v>
                </c:pt>
                <c:pt idx="21">
                  <c:v>0.78018372703411243</c:v>
                </c:pt>
                <c:pt idx="22">
                  <c:v>0.78018372703411243</c:v>
                </c:pt>
                <c:pt idx="23">
                  <c:v>17.219816272965875</c:v>
                </c:pt>
                <c:pt idx="24">
                  <c:v>17.219816272965875</c:v>
                </c:pt>
                <c:pt idx="25">
                  <c:v>0.78018372703411387</c:v>
                </c:pt>
                <c:pt idx="26">
                  <c:v>0.78018372703411387</c:v>
                </c:pt>
                <c:pt idx="27">
                  <c:v>0.7801837270341121</c:v>
                </c:pt>
              </c:numCache>
            </c:numRef>
          </c:xVal>
          <c:yVal>
            <c:numRef>
              <c:f>(Main!$F$67:$F$85,Main!$F$96:$F$104)</c:f>
              <c:numCache>
                <c:formatCode>0</c:formatCode>
                <c:ptCount val="28"/>
                <c:pt idx="0">
                  <c:v>0</c:v>
                </c:pt>
                <c:pt idx="1">
                  <c:v>7.401410761154855</c:v>
                </c:pt>
                <c:pt idx="2">
                  <c:v>7.401410761154855</c:v>
                </c:pt>
                <c:pt idx="3">
                  <c:v>7.401410761154855</c:v>
                </c:pt>
                <c:pt idx="4">
                  <c:v>7.401410761154855</c:v>
                </c:pt>
                <c:pt idx="5">
                  <c:v>7.401410761154855</c:v>
                </c:pt>
                <c:pt idx="6">
                  <c:v>7.401410761154855</c:v>
                </c:pt>
                <c:pt idx="7">
                  <c:v>0</c:v>
                </c:pt>
                <c:pt idx="8">
                  <c:v>0</c:v>
                </c:pt>
                <c:pt idx="9">
                  <c:v>7.401410761154855</c:v>
                </c:pt>
                <c:pt idx="10">
                  <c:v>7.401410761154855</c:v>
                </c:pt>
                <c:pt idx="11">
                  <c:v>7.401410761154855</c:v>
                </c:pt>
                <c:pt idx="12">
                  <c:v>7.401410761154855</c:v>
                </c:pt>
                <c:pt idx="13">
                  <c:v>0</c:v>
                </c:pt>
                <c:pt idx="14">
                  <c:v>7.401410761154855</c:v>
                </c:pt>
                <c:pt idx="15">
                  <c:v>7.401410761154855</c:v>
                </c:pt>
                <c:pt idx="16">
                  <c:v>7.401410761154855</c:v>
                </c:pt>
                <c:pt idx="17">
                  <c:v>7.401410761154855</c:v>
                </c:pt>
                <c:pt idx="18">
                  <c:v>0</c:v>
                </c:pt>
                <c:pt idx="19">
                  <c:v>7.401410761154855</c:v>
                </c:pt>
                <c:pt idx="20">
                  <c:v>7.401410761154855</c:v>
                </c:pt>
                <c:pt idx="21">
                  <c:v>12.80282152230971</c:v>
                </c:pt>
                <c:pt idx="22">
                  <c:v>12.80282152230971</c:v>
                </c:pt>
                <c:pt idx="23">
                  <c:v>12.80282152230971</c:v>
                </c:pt>
                <c:pt idx="24">
                  <c:v>2</c:v>
                </c:pt>
                <c:pt idx="25">
                  <c:v>2</c:v>
                </c:pt>
                <c:pt idx="26">
                  <c:v>2</c:v>
                </c:pt>
                <c:pt idx="27">
                  <c:v>7.401410761154855</c:v>
                </c:pt>
              </c:numCache>
            </c:numRef>
          </c:yVal>
        </c:ser>
        <c:axId val="114294144"/>
        <c:axId val="114300032"/>
      </c:scatterChart>
      <c:valAx>
        <c:axId val="114294144"/>
        <c:scaling>
          <c:orientation val="minMax"/>
        </c:scaling>
        <c:axPos val="b"/>
        <c:majorGridlines/>
        <c:numFmt formatCode="0" sourceLinked="1"/>
        <c:tickLblPos val="nextTo"/>
        <c:spPr>
          <a:ln w="0">
            <a:noFill/>
          </a:ln>
          <a:effectLst>
            <a:outerShdw blurRad="50800" dist="50800" dir="5400000" algn="ctr" rotWithShape="0">
              <a:srgbClr val="000000"/>
            </a:outerShdw>
          </a:effectLst>
        </c:spPr>
        <c:crossAx val="114300032"/>
        <c:crossesAt val="-100"/>
        <c:crossBetween val="midCat"/>
        <c:majorUnit val="2"/>
      </c:valAx>
      <c:valAx>
        <c:axId val="114300032"/>
        <c:scaling>
          <c:orientation val="minMax"/>
        </c:scaling>
        <c:axPos val="l"/>
        <c:majorGridlines/>
        <c:numFmt formatCode="0" sourceLinked="1"/>
        <c:tickLblPos val="nextTo"/>
        <c:spPr>
          <a:ln w="0">
            <a:noFill/>
          </a:ln>
        </c:spPr>
        <c:crossAx val="114294144"/>
        <c:crossesAt val="-100"/>
        <c:crossBetween val="midCat"/>
        <c:majorUnit val="2"/>
      </c:valAx>
      <c:spPr>
        <a:gradFill>
          <a:gsLst>
            <a:gs pos="0">
              <a:srgbClr val="C4D6EB"/>
            </a:gs>
            <a:gs pos="100000">
              <a:srgbClr val="FFEBFA"/>
            </a:gs>
          </a:gsLst>
          <a:lin ang="5400000" scaled="0"/>
        </a:gradFill>
        <a:ln>
          <a:noFill/>
        </a:ln>
      </c:spPr>
    </c:plotArea>
    <c:plotVisOnly val="1"/>
  </c:chart>
  <c:printSettings>
    <c:headerFooter/>
    <c:pageMargins b="0.75000000000001266" l="0.70000000000000062" r="0.70000000000000062" t="0.7500000000000126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0332430446194389E-2"/>
          <c:y val="6.4927015701984614E-2"/>
          <c:w val="0.93605694488188951"/>
          <c:h val="0.81781185246581212"/>
        </c:manualLayout>
      </c:layout>
      <c:scatterChart>
        <c:scatterStyle val="lineMarker"/>
        <c:ser>
          <c:idx val="0"/>
          <c:order val="0"/>
          <c:spPr>
            <a:ln>
              <a:solidFill>
                <a:srgbClr val="00B4FF"/>
              </a:solidFill>
            </a:ln>
          </c:spPr>
          <c:marker>
            <c:symbol val="none"/>
          </c:marker>
          <c:dPt>
            <c:idx val="14"/>
            <c:spPr>
              <a:ln>
                <a:noFill/>
              </a:ln>
            </c:spPr>
          </c:dPt>
          <c:dPt>
            <c:idx val="15"/>
            <c:spPr>
              <a:ln>
                <a:solidFill>
                  <a:srgbClr val="FF0000"/>
                </a:solidFill>
              </a:ln>
            </c:spPr>
          </c:dPt>
          <c:dPt>
            <c:idx val="16"/>
            <c:spPr>
              <a:ln>
                <a:noFill/>
              </a:ln>
            </c:spPr>
          </c:dPt>
          <c:dPt>
            <c:idx val="17"/>
            <c:spPr>
              <a:ln>
                <a:solidFill>
                  <a:srgbClr val="FF0000"/>
                </a:solidFill>
              </a:ln>
            </c:spPr>
          </c:dPt>
          <c:dPt>
            <c:idx val="18"/>
            <c:spPr>
              <a:ln>
                <a:noFill/>
              </a:ln>
            </c:spPr>
          </c:dPt>
          <c:dPt>
            <c:idx val="19"/>
            <c:spPr>
              <a:ln>
                <a:solidFill>
                  <a:srgbClr val="FF0000"/>
                </a:solidFill>
              </a:ln>
            </c:spPr>
          </c:dPt>
          <c:dPt>
            <c:idx val="20"/>
            <c:spPr>
              <a:ln>
                <a:noFill/>
              </a:ln>
            </c:spPr>
          </c:dPt>
          <c:dPt>
            <c:idx val="21"/>
            <c:spPr>
              <a:ln>
                <a:solidFill>
                  <a:srgbClr val="FF0000"/>
                </a:solidFill>
              </a:ln>
            </c:spPr>
          </c:dPt>
          <c:xVal>
            <c:numRef>
              <c:f>PV!$F$170:$F$191</c:f>
              <c:numCache>
                <c:formatCode>0</c:formatCode>
                <c:ptCount val="22"/>
                <c:pt idx="0">
                  <c:v>0</c:v>
                </c:pt>
                <c:pt idx="1">
                  <c:v>3.2545931758530187</c:v>
                </c:pt>
                <c:pt idx="2">
                  <c:v>3.2545931758530187</c:v>
                </c:pt>
                <c:pt idx="3">
                  <c:v>6.5091863517060373</c:v>
                </c:pt>
                <c:pt idx="4">
                  <c:v>6.5091863517060373</c:v>
                </c:pt>
                <c:pt idx="5">
                  <c:v>9.7637795275590555</c:v>
                </c:pt>
                <c:pt idx="6">
                  <c:v>9.7637795275590555</c:v>
                </c:pt>
                <c:pt idx="7">
                  <c:v>13.018372703412075</c:v>
                </c:pt>
                <c:pt idx="8">
                  <c:v>13.018372703412075</c:v>
                </c:pt>
                <c:pt idx="9">
                  <c:v>16.272965879265094</c:v>
                </c:pt>
                <c:pt idx="10">
                  <c:v>16.272965879265094</c:v>
                </c:pt>
                <c:pt idx="11">
                  <c:v>0</c:v>
                </c:pt>
                <c:pt idx="12">
                  <c:v>0</c:v>
                </c:pt>
                <c:pt idx="13">
                  <c:v>13.018372703412075</c:v>
                </c:pt>
                <c:pt idx="14">
                  <c:v>7.8637303149606312</c:v>
                </c:pt>
                <c:pt idx="15">
                  <c:v>8.4092355643044634</c:v>
                </c:pt>
                <c:pt idx="16">
                  <c:v>8.4092355643044634</c:v>
                </c:pt>
                <c:pt idx="17">
                  <c:v>7.8637303149606312</c:v>
                </c:pt>
                <c:pt idx="18">
                  <c:v>8.4092355643044634</c:v>
                </c:pt>
                <c:pt idx="19">
                  <c:v>7.8637303149606312</c:v>
                </c:pt>
                <c:pt idx="20">
                  <c:v>8.4092355643044634</c:v>
                </c:pt>
                <c:pt idx="21">
                  <c:v>7.8637303149606312</c:v>
                </c:pt>
              </c:numCache>
            </c:numRef>
          </c:xVal>
          <c:yVal>
            <c:numRef>
              <c:f>PV!$G$170:$G$191</c:f>
              <c:numCache>
                <c:formatCode>0</c:formatCode>
                <c:ptCount val="22"/>
                <c:pt idx="0">
                  <c:v>2.690288713910761</c:v>
                </c:pt>
                <c:pt idx="1">
                  <c:v>2.690288713910761</c:v>
                </c:pt>
                <c:pt idx="2">
                  <c:v>-2.690288713910761</c:v>
                </c:pt>
                <c:pt idx="3">
                  <c:v>-2.690288713910761</c:v>
                </c:pt>
                <c:pt idx="4">
                  <c:v>2.690288713910761</c:v>
                </c:pt>
                <c:pt idx="5">
                  <c:v>2.690288713910761</c:v>
                </c:pt>
                <c:pt idx="6">
                  <c:v>-2.690288713910761</c:v>
                </c:pt>
                <c:pt idx="7">
                  <c:v>-2.690288713910761</c:v>
                </c:pt>
                <c:pt idx="8">
                  <c:v>2.690288713910761</c:v>
                </c:pt>
                <c:pt idx="9">
                  <c:v>2.690288713910761</c:v>
                </c:pt>
                <c:pt idx="10">
                  <c:v>-2.690288713910761</c:v>
                </c:pt>
                <c:pt idx="11">
                  <c:v>-2.690288713910761</c:v>
                </c:pt>
                <c:pt idx="12">
                  <c:v>2.690288713910761</c:v>
                </c:pt>
                <c:pt idx="13">
                  <c:v>2.690288713910761</c:v>
                </c:pt>
                <c:pt idx="14">
                  <c:v>0.27275262467191602</c:v>
                </c:pt>
                <c:pt idx="15">
                  <c:v>-0.27275262467191602</c:v>
                </c:pt>
                <c:pt idx="16">
                  <c:v>0.27275262467191602</c:v>
                </c:pt>
                <c:pt idx="17">
                  <c:v>-0.27275262467191602</c:v>
                </c:pt>
                <c:pt idx="18">
                  <c:v>1.0723917322834644</c:v>
                </c:pt>
                <c:pt idx="19">
                  <c:v>1.6178969816272966</c:v>
                </c:pt>
                <c:pt idx="20">
                  <c:v>1.6178969816272966</c:v>
                </c:pt>
                <c:pt idx="21">
                  <c:v>1.0723917322834644</c:v>
                </c:pt>
              </c:numCache>
            </c:numRef>
          </c:yVal>
        </c:ser>
        <c:axId val="124442112"/>
        <c:axId val="124443648"/>
      </c:scatterChart>
      <c:valAx>
        <c:axId val="124442112"/>
        <c:scaling>
          <c:orientation val="minMax"/>
          <c:min val="-1"/>
        </c:scaling>
        <c:axPos val="b"/>
        <c:majorGridlines/>
        <c:numFmt formatCode="0" sourceLinked="1"/>
        <c:tickLblPos val="nextTo"/>
        <c:crossAx val="124443648"/>
        <c:crossesAt val="-100"/>
        <c:crossBetween val="midCat"/>
        <c:majorUnit val="1"/>
      </c:valAx>
      <c:valAx>
        <c:axId val="124443648"/>
        <c:scaling>
          <c:orientation val="minMax"/>
        </c:scaling>
        <c:axPos val="l"/>
        <c:majorGridlines/>
        <c:numFmt formatCode="0" sourceLinked="1"/>
        <c:tickLblPos val="nextTo"/>
        <c:crossAx val="124442112"/>
        <c:crossesAt val="-100"/>
        <c:crossBetween val="midCat"/>
        <c:majorUnit val="1"/>
      </c:valAx>
      <c:spPr>
        <a:solidFill>
          <a:srgbClr val="F5FFF5"/>
        </a:solidFill>
      </c:spPr>
    </c:plotArea>
    <c:plotVisOnly val="1"/>
  </c:chart>
  <c:printSettings>
    <c:headerFooter/>
    <c:pageMargins b="0.75000000000001288" l="0.70000000000000062" r="0.70000000000000062" t="0.75000000000001288"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0397052157933967E-2"/>
          <c:y val="3.5756907198194431E-2"/>
          <c:w val="0.93595449358823246"/>
          <c:h val="0.89966449845943175"/>
        </c:manualLayout>
      </c:layout>
      <c:scatterChart>
        <c:scatterStyle val="lineMarker"/>
        <c:ser>
          <c:idx val="0"/>
          <c:order val="0"/>
          <c:spPr>
            <a:ln>
              <a:solidFill>
                <a:srgbClr val="00B4FF"/>
              </a:solidFill>
            </a:ln>
          </c:spPr>
          <c:marker>
            <c:symbol val="none"/>
          </c:marker>
          <c:dPt>
            <c:idx val="4"/>
            <c:spPr>
              <a:ln>
                <a:noFill/>
              </a:ln>
            </c:spPr>
          </c:dPt>
          <c:dPt>
            <c:idx val="13"/>
            <c:spPr>
              <a:ln w="34925">
                <a:noFill/>
              </a:ln>
            </c:spPr>
          </c:dPt>
          <c:dPt>
            <c:idx val="16"/>
            <c:spPr>
              <a:ln>
                <a:noFill/>
              </a:ln>
            </c:spPr>
          </c:dPt>
          <c:dPt>
            <c:idx val="19"/>
            <c:spPr>
              <a:ln>
                <a:noFill/>
              </a:ln>
            </c:spPr>
          </c:dPt>
          <c:dPt>
            <c:idx val="21"/>
            <c:spPr>
              <a:ln>
                <a:noFill/>
              </a:ln>
            </c:spPr>
          </c:dPt>
          <c:dPt>
            <c:idx val="23"/>
            <c:spPr>
              <a:ln>
                <a:noFill/>
              </a:ln>
            </c:spPr>
          </c:dPt>
          <c:dPt>
            <c:idx val="25"/>
            <c:spPr>
              <a:ln>
                <a:noFill/>
              </a:ln>
            </c:spPr>
          </c:dPt>
          <c:dPt>
            <c:idx val="26"/>
            <c:spPr>
              <a:ln>
                <a:solidFill>
                  <a:srgbClr val="FF0000"/>
                </a:solidFill>
              </a:ln>
            </c:spPr>
          </c:dPt>
          <c:dPt>
            <c:idx val="27"/>
            <c:spPr>
              <a:ln>
                <a:noFill/>
              </a:ln>
            </c:spPr>
          </c:dPt>
          <c:dPt>
            <c:idx val="28"/>
            <c:spPr>
              <a:ln>
                <a:solidFill>
                  <a:srgbClr val="FF0000"/>
                </a:solidFill>
              </a:ln>
            </c:spPr>
          </c:dPt>
          <c:dPt>
            <c:idx val="29"/>
            <c:spPr>
              <a:ln>
                <a:noFill/>
              </a:ln>
            </c:spPr>
          </c:dPt>
          <c:dPt>
            <c:idx val="30"/>
            <c:spPr>
              <a:ln>
                <a:solidFill>
                  <a:srgbClr val="FF0000"/>
                </a:solidFill>
              </a:ln>
            </c:spPr>
          </c:dPt>
          <c:dPt>
            <c:idx val="31"/>
            <c:spPr>
              <a:ln>
                <a:noFill/>
              </a:ln>
            </c:spPr>
          </c:dPt>
          <c:dPt>
            <c:idx val="32"/>
            <c:spPr>
              <a:ln>
                <a:solidFill>
                  <a:srgbClr val="FF0000"/>
                </a:solidFill>
              </a:ln>
            </c:spPr>
          </c:dPt>
          <c:dPt>
            <c:idx val="33"/>
            <c:spPr>
              <a:ln>
                <a:noFill/>
              </a:ln>
            </c:spPr>
          </c:dPt>
          <c:dPt>
            <c:idx val="34"/>
            <c:spPr>
              <a:ln>
                <a:solidFill>
                  <a:srgbClr val="FF0000"/>
                </a:solidFill>
              </a:ln>
            </c:spPr>
          </c:dPt>
          <c:dPt>
            <c:idx val="36"/>
            <c:spPr>
              <a:ln>
                <a:solidFill>
                  <a:srgbClr val="FF0000"/>
                </a:solidFill>
              </a:ln>
            </c:spPr>
          </c:dPt>
          <c:xVal>
            <c:numRef>
              <c:f>PV!$F$352:$F$388</c:f>
              <c:numCache>
                <c:formatCode>0</c:formatCode>
                <c:ptCount val="37"/>
                <c:pt idx="0">
                  <c:v>0</c:v>
                </c:pt>
                <c:pt idx="1">
                  <c:v>5.3805774278215219</c:v>
                </c:pt>
                <c:pt idx="2">
                  <c:v>5.3805774278215219</c:v>
                </c:pt>
                <c:pt idx="3">
                  <c:v>0</c:v>
                </c:pt>
                <c:pt idx="4">
                  <c:v>5.3805774278215219</c:v>
                </c:pt>
                <c:pt idx="5">
                  <c:v>5.3805774278215219</c:v>
                </c:pt>
                <c:pt idx="6">
                  <c:v>10.761154855643044</c:v>
                </c:pt>
                <c:pt idx="7">
                  <c:v>10.761154855643044</c:v>
                </c:pt>
                <c:pt idx="8">
                  <c:v>5.3805774278215219</c:v>
                </c:pt>
                <c:pt idx="9">
                  <c:v>5.3805774278215219</c:v>
                </c:pt>
                <c:pt idx="10">
                  <c:v>10.761154855643044</c:v>
                </c:pt>
                <c:pt idx="11">
                  <c:v>10.761154855643044</c:v>
                </c:pt>
                <c:pt idx="12">
                  <c:v>10.761154855643044</c:v>
                </c:pt>
                <c:pt idx="13">
                  <c:v>10.761154855643044</c:v>
                </c:pt>
                <c:pt idx="14">
                  <c:v>16.141732283464567</c:v>
                </c:pt>
                <c:pt idx="15">
                  <c:v>16.141732283464567</c:v>
                </c:pt>
                <c:pt idx="16">
                  <c:v>10.761154855643044</c:v>
                </c:pt>
                <c:pt idx="17">
                  <c:v>10.761154855643044</c:v>
                </c:pt>
                <c:pt idx="18">
                  <c:v>16.141732283464567</c:v>
                </c:pt>
                <c:pt idx="19">
                  <c:v>10.761154855643044</c:v>
                </c:pt>
                <c:pt idx="20">
                  <c:v>16.141732283464567</c:v>
                </c:pt>
                <c:pt idx="21">
                  <c:v>10.761154855643044</c:v>
                </c:pt>
                <c:pt idx="22">
                  <c:v>16.141732283464567</c:v>
                </c:pt>
                <c:pt idx="23">
                  <c:v>0</c:v>
                </c:pt>
                <c:pt idx="24">
                  <c:v>0</c:v>
                </c:pt>
                <c:pt idx="25">
                  <c:v>9.5384897200349954</c:v>
                </c:pt>
                <c:pt idx="26">
                  <c:v>10.190294181977254</c:v>
                </c:pt>
                <c:pt idx="27">
                  <c:v>10.190294181977254</c:v>
                </c:pt>
                <c:pt idx="28">
                  <c:v>9.5384897200349954</c:v>
                </c:pt>
                <c:pt idx="29">
                  <c:v>10.190294181977254</c:v>
                </c:pt>
                <c:pt idx="30">
                  <c:v>9.5384897200349954</c:v>
                </c:pt>
                <c:pt idx="31">
                  <c:v>10.190294181977254</c:v>
                </c:pt>
                <c:pt idx="32">
                  <c:v>9.5384897200349954</c:v>
                </c:pt>
                <c:pt idx="33">
                  <c:v>0</c:v>
                </c:pt>
                <c:pt idx="34">
                  <c:v>10.761154855643044</c:v>
                </c:pt>
                <c:pt idx="35">
                  <c:v>10.761154855643044</c:v>
                </c:pt>
                <c:pt idx="36">
                  <c:v>0</c:v>
                </c:pt>
              </c:numCache>
            </c:numRef>
          </c:xVal>
          <c:yVal>
            <c:numRef>
              <c:f>PV!$G$352:$G$388</c:f>
              <c:numCache>
                <c:formatCode>0</c:formatCode>
                <c:ptCount val="37"/>
                <c:pt idx="0">
                  <c:v>1.6272965879265093</c:v>
                </c:pt>
                <c:pt idx="1">
                  <c:v>1.6272965879265093</c:v>
                </c:pt>
                <c:pt idx="2">
                  <c:v>-1.6272965879265093</c:v>
                </c:pt>
                <c:pt idx="3">
                  <c:v>-1.6272965879265093</c:v>
                </c:pt>
                <c:pt idx="4">
                  <c:v>0</c:v>
                </c:pt>
                <c:pt idx="5">
                  <c:v>3.2545931758530187</c:v>
                </c:pt>
                <c:pt idx="6">
                  <c:v>3.2545931758530187</c:v>
                </c:pt>
                <c:pt idx="7">
                  <c:v>0</c:v>
                </c:pt>
                <c:pt idx="8">
                  <c:v>0</c:v>
                </c:pt>
                <c:pt idx="9">
                  <c:v>-3.2545931758530187</c:v>
                </c:pt>
                <c:pt idx="10">
                  <c:v>-3.2545931758530187</c:v>
                </c:pt>
                <c:pt idx="11">
                  <c:v>0</c:v>
                </c:pt>
                <c:pt idx="12">
                  <c:v>3.2545931758530187</c:v>
                </c:pt>
                <c:pt idx="13">
                  <c:v>4.8818897637795278</c:v>
                </c:pt>
                <c:pt idx="14">
                  <c:v>4.8818897637795278</c:v>
                </c:pt>
                <c:pt idx="15">
                  <c:v>-4.8818897637795278</c:v>
                </c:pt>
                <c:pt idx="16">
                  <c:v>-3.2545931758530187</c:v>
                </c:pt>
                <c:pt idx="17">
                  <c:v>-4.8818897637795278</c:v>
                </c:pt>
                <c:pt idx="18">
                  <c:v>-4.8818897637795278</c:v>
                </c:pt>
                <c:pt idx="19">
                  <c:v>1.6272965879265093</c:v>
                </c:pt>
                <c:pt idx="20">
                  <c:v>1.6272965879265093</c:v>
                </c:pt>
                <c:pt idx="21">
                  <c:v>-1.6272965879265093</c:v>
                </c:pt>
                <c:pt idx="22">
                  <c:v>-1.6272965879265093</c:v>
                </c:pt>
                <c:pt idx="23">
                  <c:v>-1.6272965879265093</c:v>
                </c:pt>
                <c:pt idx="24">
                  <c:v>1.6272965879265093</c:v>
                </c:pt>
                <c:pt idx="25">
                  <c:v>0.32590223097112858</c:v>
                </c:pt>
                <c:pt idx="26">
                  <c:v>-0.32590223097112858</c:v>
                </c:pt>
                <c:pt idx="27">
                  <c:v>0.32590223097112858</c:v>
                </c:pt>
                <c:pt idx="28">
                  <c:v>-0.32590223097112858</c:v>
                </c:pt>
                <c:pt idx="29">
                  <c:v>1.5726104549431321</c:v>
                </c:pt>
                <c:pt idx="30">
                  <c:v>2.2244149168853893</c:v>
                </c:pt>
                <c:pt idx="31">
                  <c:v>2.2244149168853893</c:v>
                </c:pt>
                <c:pt idx="32">
                  <c:v>1.5726104549431321</c:v>
                </c:pt>
                <c:pt idx="33">
                  <c:v>1.6272965879265093</c:v>
                </c:pt>
                <c:pt idx="34">
                  <c:v>4.8818897637795278</c:v>
                </c:pt>
                <c:pt idx="35">
                  <c:v>-4.8818897637795278</c:v>
                </c:pt>
                <c:pt idx="36">
                  <c:v>-1.6272965879265093</c:v>
                </c:pt>
              </c:numCache>
            </c:numRef>
          </c:yVal>
        </c:ser>
        <c:axId val="124628992"/>
        <c:axId val="124630528"/>
      </c:scatterChart>
      <c:valAx>
        <c:axId val="124628992"/>
        <c:scaling>
          <c:orientation val="minMax"/>
          <c:min val="-1"/>
        </c:scaling>
        <c:axPos val="b"/>
        <c:majorGridlines/>
        <c:numFmt formatCode="0" sourceLinked="1"/>
        <c:tickLblPos val="nextTo"/>
        <c:crossAx val="124630528"/>
        <c:crossesAt val="-100"/>
        <c:crossBetween val="midCat"/>
        <c:majorUnit val="1"/>
      </c:valAx>
      <c:valAx>
        <c:axId val="124630528"/>
        <c:scaling>
          <c:orientation val="minMax"/>
        </c:scaling>
        <c:axPos val="l"/>
        <c:majorGridlines/>
        <c:numFmt formatCode="0" sourceLinked="1"/>
        <c:tickLblPos val="nextTo"/>
        <c:crossAx val="124628992"/>
        <c:crossesAt val="-100"/>
        <c:crossBetween val="midCat"/>
        <c:majorUnit val="1"/>
      </c:valAx>
      <c:spPr>
        <a:solidFill>
          <a:srgbClr val="F5FFF5"/>
        </a:solidFill>
      </c:spPr>
    </c:plotArea>
    <c:plotVisOnly val="1"/>
  </c:chart>
  <c:printSettings>
    <c:headerFooter/>
    <c:pageMargins b="0.75000000000001199" l="0.70000000000000062" r="0.70000000000000062" t="0.7500000000000119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5.8351317196461562E-2"/>
          <c:y val="2.731247154991235E-2"/>
          <c:w val="0.9074897929425485"/>
          <c:h val="0.92335996745794158"/>
        </c:manualLayout>
      </c:layout>
      <c:scatterChart>
        <c:scatterStyle val="lineMarker"/>
        <c:ser>
          <c:idx val="0"/>
          <c:order val="0"/>
          <c:spPr>
            <a:ln>
              <a:solidFill>
                <a:srgbClr val="00B4FF"/>
              </a:solidFill>
            </a:ln>
          </c:spPr>
          <c:marker>
            <c:symbol val="none"/>
          </c:marker>
          <c:dPt>
            <c:idx val="5"/>
            <c:spPr>
              <a:ln>
                <a:noFill/>
              </a:ln>
            </c:spPr>
          </c:dPt>
          <c:dPt>
            <c:idx val="17"/>
            <c:spPr>
              <a:ln>
                <a:noFill/>
              </a:ln>
            </c:spPr>
          </c:dPt>
          <c:dPt>
            <c:idx val="20"/>
            <c:spPr>
              <a:ln>
                <a:noFill/>
              </a:ln>
            </c:spPr>
          </c:dPt>
          <c:dPt>
            <c:idx val="22"/>
            <c:spPr>
              <a:ln>
                <a:noFill/>
              </a:ln>
            </c:spPr>
          </c:dPt>
          <c:dPt>
            <c:idx val="24"/>
            <c:spPr>
              <a:ln>
                <a:noFill/>
              </a:ln>
            </c:spPr>
          </c:dPt>
          <c:dPt>
            <c:idx val="25"/>
            <c:spPr>
              <a:ln>
                <a:solidFill>
                  <a:srgbClr val="FF0000"/>
                </a:solidFill>
              </a:ln>
            </c:spPr>
          </c:dPt>
          <c:dPt>
            <c:idx val="26"/>
            <c:spPr>
              <a:ln>
                <a:noFill/>
              </a:ln>
            </c:spPr>
          </c:dPt>
          <c:dPt>
            <c:idx val="27"/>
            <c:spPr>
              <a:ln>
                <a:solidFill>
                  <a:srgbClr val="FF0000"/>
                </a:solidFill>
              </a:ln>
            </c:spPr>
          </c:dPt>
          <c:dPt>
            <c:idx val="28"/>
            <c:spPr>
              <a:ln>
                <a:noFill/>
              </a:ln>
            </c:spPr>
          </c:dPt>
          <c:dPt>
            <c:idx val="29"/>
            <c:spPr>
              <a:ln>
                <a:solidFill>
                  <a:srgbClr val="FF0000"/>
                </a:solidFill>
              </a:ln>
            </c:spPr>
          </c:dPt>
          <c:dPt>
            <c:idx val="30"/>
            <c:spPr>
              <a:ln>
                <a:noFill/>
              </a:ln>
            </c:spPr>
          </c:dPt>
          <c:dPt>
            <c:idx val="31"/>
            <c:spPr>
              <a:ln>
                <a:solidFill>
                  <a:srgbClr val="FF0000"/>
                </a:solidFill>
              </a:ln>
            </c:spPr>
          </c:dPt>
          <c:dPt>
            <c:idx val="32"/>
            <c:spPr>
              <a:ln>
                <a:noFill/>
              </a:ln>
            </c:spPr>
          </c:dPt>
          <c:dPt>
            <c:idx val="33"/>
            <c:spPr>
              <a:ln>
                <a:solidFill>
                  <a:srgbClr val="FF0000"/>
                </a:solidFill>
              </a:ln>
            </c:spPr>
          </c:dPt>
          <c:dPt>
            <c:idx val="35"/>
            <c:spPr>
              <a:ln>
                <a:solidFill>
                  <a:srgbClr val="FF0000"/>
                </a:solidFill>
              </a:ln>
            </c:spPr>
          </c:dPt>
          <c:xVal>
            <c:numRef>
              <c:f>PV!$F$391:$F$426</c:f>
              <c:numCache>
                <c:formatCode>0</c:formatCode>
                <c:ptCount val="36"/>
                <c:pt idx="0">
                  <c:v>0</c:v>
                </c:pt>
                <c:pt idx="1">
                  <c:v>3.2545931758530187</c:v>
                </c:pt>
                <c:pt idx="2">
                  <c:v>3.2545931758530187</c:v>
                </c:pt>
                <c:pt idx="3">
                  <c:v>0</c:v>
                </c:pt>
                <c:pt idx="4">
                  <c:v>0</c:v>
                </c:pt>
                <c:pt idx="5">
                  <c:v>3.2545931758530187</c:v>
                </c:pt>
                <c:pt idx="6">
                  <c:v>3.2545931758530187</c:v>
                </c:pt>
                <c:pt idx="7">
                  <c:v>6.5091863517060373</c:v>
                </c:pt>
                <c:pt idx="8">
                  <c:v>6.5091863517060373</c:v>
                </c:pt>
                <c:pt idx="9">
                  <c:v>3.2545931758530187</c:v>
                </c:pt>
                <c:pt idx="10">
                  <c:v>3.2545931758530187</c:v>
                </c:pt>
                <c:pt idx="11">
                  <c:v>6.5091863517060373</c:v>
                </c:pt>
                <c:pt idx="12">
                  <c:v>6.5091863517060373</c:v>
                </c:pt>
                <c:pt idx="13">
                  <c:v>6.5091863517060373</c:v>
                </c:pt>
                <c:pt idx="14">
                  <c:v>6.5091863517060373</c:v>
                </c:pt>
                <c:pt idx="15">
                  <c:v>9.7637795275590555</c:v>
                </c:pt>
                <c:pt idx="16">
                  <c:v>9.7637795275590555</c:v>
                </c:pt>
                <c:pt idx="17">
                  <c:v>6.5091863517060373</c:v>
                </c:pt>
                <c:pt idx="18">
                  <c:v>6.5091863517060373</c:v>
                </c:pt>
                <c:pt idx="19">
                  <c:v>9.7637795275590555</c:v>
                </c:pt>
                <c:pt idx="20">
                  <c:v>6.5091863517060373</c:v>
                </c:pt>
                <c:pt idx="21">
                  <c:v>9.7637795275590555</c:v>
                </c:pt>
                <c:pt idx="22">
                  <c:v>6.5091863517060373</c:v>
                </c:pt>
                <c:pt idx="23">
                  <c:v>9.7637795275590555</c:v>
                </c:pt>
                <c:pt idx="24">
                  <c:v>5.7205763342082241</c:v>
                </c:pt>
                <c:pt idx="25">
                  <c:v>6.2129319772528442</c:v>
                </c:pt>
                <c:pt idx="26">
                  <c:v>6.2129319772528442</c:v>
                </c:pt>
                <c:pt idx="27">
                  <c:v>5.7205763342082241</c:v>
                </c:pt>
                <c:pt idx="28">
                  <c:v>6.2129319772528442</c:v>
                </c:pt>
                <c:pt idx="29">
                  <c:v>5.7205763342082241</c:v>
                </c:pt>
                <c:pt idx="30">
                  <c:v>6.2129319772528442</c:v>
                </c:pt>
                <c:pt idx="31">
                  <c:v>5.7205763342082241</c:v>
                </c:pt>
                <c:pt idx="32">
                  <c:v>0</c:v>
                </c:pt>
                <c:pt idx="33">
                  <c:v>6.5091863517060373</c:v>
                </c:pt>
                <c:pt idx="34">
                  <c:v>6.5091863517060373</c:v>
                </c:pt>
                <c:pt idx="35">
                  <c:v>0</c:v>
                </c:pt>
              </c:numCache>
            </c:numRef>
          </c:xVal>
          <c:yVal>
            <c:numRef>
              <c:f>PV!$G$391:$G$426</c:f>
              <c:numCache>
                <c:formatCode>0</c:formatCode>
                <c:ptCount val="36"/>
                <c:pt idx="0">
                  <c:v>2.690288713910761</c:v>
                </c:pt>
                <c:pt idx="1">
                  <c:v>2.690288713910761</c:v>
                </c:pt>
                <c:pt idx="2">
                  <c:v>-2.690288713910761</c:v>
                </c:pt>
                <c:pt idx="3">
                  <c:v>-2.690288713910761</c:v>
                </c:pt>
                <c:pt idx="4">
                  <c:v>2.690288713910761</c:v>
                </c:pt>
                <c:pt idx="5">
                  <c:v>0</c:v>
                </c:pt>
                <c:pt idx="6">
                  <c:v>5.3805774278215219</c:v>
                </c:pt>
                <c:pt idx="7">
                  <c:v>5.3805774278215219</c:v>
                </c:pt>
                <c:pt idx="8">
                  <c:v>0</c:v>
                </c:pt>
                <c:pt idx="9">
                  <c:v>0</c:v>
                </c:pt>
                <c:pt idx="10">
                  <c:v>-5.3805774278215219</c:v>
                </c:pt>
                <c:pt idx="11">
                  <c:v>-5.3805774278215219</c:v>
                </c:pt>
                <c:pt idx="12">
                  <c:v>0</c:v>
                </c:pt>
                <c:pt idx="13">
                  <c:v>5.3805774278215219</c:v>
                </c:pt>
                <c:pt idx="14">
                  <c:v>8.0708661417322833</c:v>
                </c:pt>
                <c:pt idx="15">
                  <c:v>8.0708661417322833</c:v>
                </c:pt>
                <c:pt idx="16">
                  <c:v>-8.0708661417322833</c:v>
                </c:pt>
                <c:pt idx="17">
                  <c:v>-5.3805774278215219</c:v>
                </c:pt>
                <c:pt idx="18">
                  <c:v>-8.0708661417322833</c:v>
                </c:pt>
                <c:pt idx="19">
                  <c:v>-8.0708661417322833</c:v>
                </c:pt>
                <c:pt idx="20">
                  <c:v>2.690288713910761</c:v>
                </c:pt>
                <c:pt idx="21">
                  <c:v>2.690288713910761</c:v>
                </c:pt>
                <c:pt idx="22">
                  <c:v>-2.690288713910761</c:v>
                </c:pt>
                <c:pt idx="23">
                  <c:v>-2.690288713910761</c:v>
                </c:pt>
                <c:pt idx="24">
                  <c:v>0.24617782152230974</c:v>
                </c:pt>
                <c:pt idx="25">
                  <c:v>-0.24617782152230974</c:v>
                </c:pt>
                <c:pt idx="26">
                  <c:v>0.24617782152230974</c:v>
                </c:pt>
                <c:pt idx="27">
                  <c:v>-0.24617782152230974</c:v>
                </c:pt>
                <c:pt idx="28">
                  <c:v>2.8924923447069117</c:v>
                </c:pt>
                <c:pt idx="29">
                  <c:v>3.384847987751531</c:v>
                </c:pt>
                <c:pt idx="30">
                  <c:v>3.384847987751531</c:v>
                </c:pt>
                <c:pt idx="31">
                  <c:v>2.8924923447069117</c:v>
                </c:pt>
                <c:pt idx="32">
                  <c:v>2.690288713910761</c:v>
                </c:pt>
                <c:pt idx="33">
                  <c:v>8.0708661417322833</c:v>
                </c:pt>
                <c:pt idx="34">
                  <c:v>-8.0708661417322833</c:v>
                </c:pt>
                <c:pt idx="35">
                  <c:v>-2.690288713910761</c:v>
                </c:pt>
              </c:numCache>
            </c:numRef>
          </c:yVal>
        </c:ser>
        <c:axId val="124680448"/>
        <c:axId val="124686336"/>
      </c:scatterChart>
      <c:valAx>
        <c:axId val="124680448"/>
        <c:scaling>
          <c:orientation val="minMax"/>
          <c:min val="-1"/>
        </c:scaling>
        <c:axPos val="b"/>
        <c:majorGridlines/>
        <c:numFmt formatCode="0" sourceLinked="1"/>
        <c:tickLblPos val="nextTo"/>
        <c:crossAx val="124686336"/>
        <c:crossesAt val="-100"/>
        <c:crossBetween val="midCat"/>
        <c:majorUnit val="1"/>
      </c:valAx>
      <c:valAx>
        <c:axId val="124686336"/>
        <c:scaling>
          <c:orientation val="minMax"/>
        </c:scaling>
        <c:axPos val="l"/>
        <c:majorGridlines/>
        <c:numFmt formatCode="0" sourceLinked="1"/>
        <c:tickLblPos val="nextTo"/>
        <c:crossAx val="124680448"/>
        <c:crossesAt val="-100"/>
        <c:crossBetween val="midCat"/>
        <c:majorUnit val="1"/>
      </c:valAx>
      <c:spPr>
        <a:solidFill>
          <a:srgbClr val="F5FFF5"/>
        </a:solidFill>
      </c:spPr>
    </c:plotArea>
    <c:plotVisOnly val="1"/>
  </c:chart>
  <c:printSettings>
    <c:headerFooter/>
    <c:pageMargins b="0.75000000000001221" l="0.70000000000000062" r="0.70000000000000062" t="0.7500000000000122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5.4799485381836162E-2"/>
          <c:y val="4.146599322143564E-2"/>
          <c:w val="0.9131208688529332"/>
          <c:h val="0.89152776955512136"/>
        </c:manualLayout>
      </c:layout>
      <c:scatterChart>
        <c:scatterStyle val="lineMarker"/>
        <c:ser>
          <c:idx val="0"/>
          <c:order val="0"/>
          <c:spPr>
            <a:ln>
              <a:solidFill>
                <a:srgbClr val="00B4FF"/>
              </a:solidFill>
            </a:ln>
          </c:spPr>
          <c:marker>
            <c:symbol val="none"/>
          </c:marker>
          <c:dPt>
            <c:idx val="15"/>
            <c:spPr>
              <a:ln>
                <a:noFill/>
              </a:ln>
            </c:spPr>
          </c:dPt>
          <c:dPt>
            <c:idx val="17"/>
            <c:spPr>
              <a:ln>
                <a:noFill/>
              </a:ln>
            </c:spPr>
          </c:dPt>
          <c:dPt>
            <c:idx val="21"/>
            <c:spPr>
              <a:ln>
                <a:noFill/>
              </a:ln>
            </c:spPr>
          </c:dPt>
          <c:dPt>
            <c:idx val="22"/>
            <c:spPr>
              <a:ln>
                <a:solidFill>
                  <a:srgbClr val="FF0000"/>
                </a:solidFill>
              </a:ln>
            </c:spPr>
          </c:dPt>
          <c:dPt>
            <c:idx val="23"/>
            <c:spPr>
              <a:ln>
                <a:noFill/>
              </a:ln>
            </c:spPr>
          </c:dPt>
          <c:dPt>
            <c:idx val="24"/>
            <c:spPr>
              <a:ln>
                <a:solidFill>
                  <a:srgbClr val="FF0000"/>
                </a:solidFill>
              </a:ln>
            </c:spPr>
          </c:dPt>
          <c:dPt>
            <c:idx val="25"/>
            <c:spPr>
              <a:ln>
                <a:noFill/>
              </a:ln>
            </c:spPr>
          </c:dPt>
          <c:dPt>
            <c:idx val="26"/>
            <c:spPr>
              <a:ln>
                <a:solidFill>
                  <a:srgbClr val="FF0000"/>
                </a:solidFill>
              </a:ln>
            </c:spPr>
          </c:dPt>
          <c:dPt>
            <c:idx val="27"/>
            <c:spPr>
              <a:ln>
                <a:noFill/>
              </a:ln>
            </c:spPr>
          </c:dPt>
          <c:dPt>
            <c:idx val="28"/>
            <c:spPr>
              <a:ln>
                <a:solidFill>
                  <a:srgbClr val="FF0000"/>
                </a:solidFill>
              </a:ln>
            </c:spPr>
          </c:dPt>
          <c:xVal>
            <c:numRef>
              <c:f>PV!$F$588:$F$616</c:f>
              <c:numCache>
                <c:formatCode>0</c:formatCode>
                <c:ptCount val="29"/>
                <c:pt idx="0">
                  <c:v>0</c:v>
                </c:pt>
                <c:pt idx="1">
                  <c:v>0</c:v>
                </c:pt>
                <c:pt idx="2">
                  <c:v>5.3805774278215219</c:v>
                </c:pt>
                <c:pt idx="3">
                  <c:v>5.3805774278215219</c:v>
                </c:pt>
                <c:pt idx="4">
                  <c:v>0</c:v>
                </c:pt>
                <c:pt idx="5">
                  <c:v>0</c:v>
                </c:pt>
                <c:pt idx="6">
                  <c:v>5.3805774278215219</c:v>
                </c:pt>
                <c:pt idx="7">
                  <c:v>5.3805774278215219</c:v>
                </c:pt>
                <c:pt idx="8">
                  <c:v>10.761154855643044</c:v>
                </c:pt>
                <c:pt idx="9">
                  <c:v>10.761154855643044</c:v>
                </c:pt>
                <c:pt idx="10">
                  <c:v>5.3805774278215219</c:v>
                </c:pt>
                <c:pt idx="11">
                  <c:v>5.3805774278215219</c:v>
                </c:pt>
                <c:pt idx="12">
                  <c:v>10.761154855643044</c:v>
                </c:pt>
                <c:pt idx="13">
                  <c:v>10.761154855643044</c:v>
                </c:pt>
                <c:pt idx="14">
                  <c:v>5.3805774278215219</c:v>
                </c:pt>
                <c:pt idx="15">
                  <c:v>10.761154855643044</c:v>
                </c:pt>
                <c:pt idx="16">
                  <c:v>10.761154855643044</c:v>
                </c:pt>
                <c:pt idx="17">
                  <c:v>5.3805774278215219</c:v>
                </c:pt>
                <c:pt idx="18">
                  <c:v>0</c:v>
                </c:pt>
                <c:pt idx="19">
                  <c:v>0</c:v>
                </c:pt>
                <c:pt idx="20">
                  <c:v>0</c:v>
                </c:pt>
                <c:pt idx="21">
                  <c:v>5.1224532480314959</c:v>
                </c:pt>
                <c:pt idx="22">
                  <c:v>5.6387016076115479</c:v>
                </c:pt>
                <c:pt idx="23">
                  <c:v>5.6387016076115479</c:v>
                </c:pt>
                <c:pt idx="24">
                  <c:v>5.1224532480314959</c:v>
                </c:pt>
                <c:pt idx="25">
                  <c:v>5.6387016076115479</c:v>
                </c:pt>
                <c:pt idx="26">
                  <c:v>5.1224532480314959</c:v>
                </c:pt>
                <c:pt idx="27">
                  <c:v>5.6387016076115479</c:v>
                </c:pt>
                <c:pt idx="28">
                  <c:v>5.1224532480314959</c:v>
                </c:pt>
              </c:numCache>
            </c:numRef>
          </c:xVal>
          <c:yVal>
            <c:numRef>
              <c:f>PV!$G$588:$G$616</c:f>
              <c:numCache>
                <c:formatCode>0</c:formatCode>
                <c:ptCount val="29"/>
                <c:pt idx="0">
                  <c:v>1.6272965879265093</c:v>
                </c:pt>
                <c:pt idx="1">
                  <c:v>4.8818897637795278</c:v>
                </c:pt>
                <c:pt idx="2">
                  <c:v>4.8818897637795278</c:v>
                </c:pt>
                <c:pt idx="3">
                  <c:v>1.6272965879265093</c:v>
                </c:pt>
                <c:pt idx="4">
                  <c:v>1.6272965879265093</c:v>
                </c:pt>
                <c:pt idx="5">
                  <c:v>-1.6272965879265093</c:v>
                </c:pt>
                <c:pt idx="6">
                  <c:v>-1.6272965879265093</c:v>
                </c:pt>
                <c:pt idx="7">
                  <c:v>-4.8818897637795278</c:v>
                </c:pt>
                <c:pt idx="8">
                  <c:v>-4.8818897637795278</c:v>
                </c:pt>
                <c:pt idx="9">
                  <c:v>-1.6272965879265093</c:v>
                </c:pt>
                <c:pt idx="10">
                  <c:v>-1.6272965879265093</c:v>
                </c:pt>
                <c:pt idx="11">
                  <c:v>1.6272965879265093</c:v>
                </c:pt>
                <c:pt idx="12">
                  <c:v>1.6272965879265093</c:v>
                </c:pt>
                <c:pt idx="13">
                  <c:v>4.8818897637795278</c:v>
                </c:pt>
                <c:pt idx="14">
                  <c:v>4.8818897637795278</c:v>
                </c:pt>
                <c:pt idx="15">
                  <c:v>1.6272965879265093</c:v>
                </c:pt>
                <c:pt idx="16">
                  <c:v>-1.6272965879265093</c:v>
                </c:pt>
                <c:pt idx="17">
                  <c:v>-4.8818897637795278</c:v>
                </c:pt>
                <c:pt idx="18">
                  <c:v>-4.8818897637795278</c:v>
                </c:pt>
                <c:pt idx="19">
                  <c:v>-1.6272965879265093</c:v>
                </c:pt>
                <c:pt idx="20">
                  <c:v>0</c:v>
                </c:pt>
                <c:pt idx="21">
                  <c:v>0.25812417979002628</c:v>
                </c:pt>
                <c:pt idx="22">
                  <c:v>-0.25812417979002628</c:v>
                </c:pt>
                <c:pt idx="23">
                  <c:v>0.25812417979002628</c:v>
                </c:pt>
                <c:pt idx="24">
                  <c:v>-0.25812417979002628</c:v>
                </c:pt>
                <c:pt idx="25">
                  <c:v>2.1828207020997374</c:v>
                </c:pt>
                <c:pt idx="26">
                  <c:v>2.6990690616797903</c:v>
                </c:pt>
                <c:pt idx="27">
                  <c:v>2.6990690616797903</c:v>
                </c:pt>
                <c:pt idx="28">
                  <c:v>2.1828207020997374</c:v>
                </c:pt>
              </c:numCache>
            </c:numRef>
          </c:yVal>
        </c:ser>
        <c:axId val="124705408"/>
        <c:axId val="124711296"/>
      </c:scatterChart>
      <c:valAx>
        <c:axId val="124705408"/>
        <c:scaling>
          <c:orientation val="minMax"/>
          <c:min val="-1"/>
        </c:scaling>
        <c:axPos val="b"/>
        <c:majorGridlines/>
        <c:numFmt formatCode="0" sourceLinked="1"/>
        <c:tickLblPos val="nextTo"/>
        <c:crossAx val="124711296"/>
        <c:crossesAt val="-100"/>
        <c:crossBetween val="midCat"/>
        <c:majorUnit val="1"/>
      </c:valAx>
      <c:valAx>
        <c:axId val="124711296"/>
        <c:scaling>
          <c:orientation val="minMax"/>
        </c:scaling>
        <c:axPos val="l"/>
        <c:majorGridlines/>
        <c:numFmt formatCode="0" sourceLinked="1"/>
        <c:tickLblPos val="nextTo"/>
        <c:crossAx val="124705408"/>
        <c:crossesAt val="-100"/>
        <c:crossBetween val="midCat"/>
        <c:majorUnit val="1"/>
      </c:valAx>
      <c:spPr>
        <a:solidFill>
          <a:srgbClr val="F5FFF5"/>
        </a:solidFill>
      </c:spPr>
    </c:plotArea>
    <c:plotVisOnly val="1"/>
  </c:chart>
  <c:printSettings>
    <c:headerFooter/>
    <c:pageMargins b="0.75000000000001243" l="0.70000000000000062" r="0.70000000000000062" t="0.75000000000001243"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3.3700221244372199E-2"/>
          <c:y val="6.3533732103229587E-2"/>
          <c:w val="0.94657165262093201"/>
          <c:h val="0.7931091660752706"/>
        </c:manualLayout>
      </c:layout>
      <c:scatterChart>
        <c:scatterStyle val="lineMarker"/>
        <c:ser>
          <c:idx val="0"/>
          <c:order val="0"/>
          <c:spPr>
            <a:ln>
              <a:solidFill>
                <a:srgbClr val="00B4FF"/>
              </a:solidFill>
            </a:ln>
          </c:spPr>
          <c:marker>
            <c:symbol val="none"/>
          </c:marker>
          <c:dPt>
            <c:idx val="16"/>
            <c:spPr>
              <a:ln>
                <a:noFill/>
              </a:ln>
            </c:spPr>
          </c:dPt>
          <c:dPt>
            <c:idx val="17"/>
            <c:spPr>
              <a:ln>
                <a:solidFill>
                  <a:srgbClr val="FF0000"/>
                </a:solidFill>
              </a:ln>
            </c:spPr>
          </c:dPt>
          <c:dPt>
            <c:idx val="18"/>
            <c:spPr>
              <a:ln>
                <a:noFill/>
              </a:ln>
            </c:spPr>
          </c:dPt>
          <c:dPt>
            <c:idx val="19"/>
            <c:spPr>
              <a:ln>
                <a:solidFill>
                  <a:srgbClr val="FF0000"/>
                </a:solidFill>
              </a:ln>
            </c:spPr>
          </c:dPt>
          <c:dPt>
            <c:idx val="20"/>
            <c:spPr>
              <a:ln>
                <a:noFill/>
              </a:ln>
            </c:spPr>
          </c:dPt>
          <c:dPt>
            <c:idx val="21"/>
            <c:spPr>
              <a:ln>
                <a:solidFill>
                  <a:srgbClr val="FF0000"/>
                </a:solidFill>
              </a:ln>
            </c:spPr>
          </c:dPt>
          <c:dPt>
            <c:idx val="22"/>
            <c:spPr>
              <a:ln>
                <a:noFill/>
              </a:ln>
            </c:spPr>
          </c:dPt>
          <c:dPt>
            <c:idx val="23"/>
            <c:spPr>
              <a:ln>
                <a:solidFill>
                  <a:srgbClr val="FF0000"/>
                </a:solidFill>
              </a:ln>
            </c:spPr>
          </c:dPt>
          <c:xVal>
            <c:numRef>
              <c:f>PV!$F$194:$F$217</c:f>
              <c:numCache>
                <c:formatCode>0</c:formatCode>
                <c:ptCount val="24"/>
                <c:pt idx="0">
                  <c:v>0</c:v>
                </c:pt>
                <c:pt idx="1">
                  <c:v>3.2545931758530187</c:v>
                </c:pt>
                <c:pt idx="2">
                  <c:v>3.2545931758530187</c:v>
                </c:pt>
                <c:pt idx="3">
                  <c:v>6.5091863517060373</c:v>
                </c:pt>
                <c:pt idx="4">
                  <c:v>6.5091863517060373</c:v>
                </c:pt>
                <c:pt idx="5">
                  <c:v>9.7637795275590555</c:v>
                </c:pt>
                <c:pt idx="6">
                  <c:v>9.7637795275590555</c:v>
                </c:pt>
                <c:pt idx="7">
                  <c:v>13.018372703412075</c:v>
                </c:pt>
                <c:pt idx="8">
                  <c:v>13.018372703412075</c:v>
                </c:pt>
                <c:pt idx="9">
                  <c:v>16.272965879265094</c:v>
                </c:pt>
                <c:pt idx="10">
                  <c:v>16.272965879265094</c:v>
                </c:pt>
                <c:pt idx="11">
                  <c:v>19.527559055118111</c:v>
                </c:pt>
                <c:pt idx="12">
                  <c:v>19.527559055118111</c:v>
                </c:pt>
                <c:pt idx="13">
                  <c:v>0</c:v>
                </c:pt>
                <c:pt idx="14">
                  <c:v>0</c:v>
                </c:pt>
                <c:pt idx="15">
                  <c:v>19.527559055118111</c:v>
                </c:pt>
                <c:pt idx="16">
                  <c:v>9.4498236548556438</c:v>
                </c:pt>
                <c:pt idx="17">
                  <c:v>10.077735400262467</c:v>
                </c:pt>
                <c:pt idx="18">
                  <c:v>10.077735400262467</c:v>
                </c:pt>
                <c:pt idx="19">
                  <c:v>9.4498236548556438</c:v>
                </c:pt>
                <c:pt idx="20">
                  <c:v>10.077735400262467</c:v>
                </c:pt>
                <c:pt idx="21">
                  <c:v>9.4498236548556438</c:v>
                </c:pt>
                <c:pt idx="22">
                  <c:v>10.077735400262467</c:v>
                </c:pt>
                <c:pt idx="23">
                  <c:v>9.4498236548556438</c:v>
                </c:pt>
              </c:numCache>
            </c:numRef>
          </c:xVal>
          <c:yVal>
            <c:numRef>
              <c:f>PV!$G$194:$G$217</c:f>
              <c:numCache>
                <c:formatCode>0</c:formatCode>
                <c:ptCount val="24"/>
                <c:pt idx="0">
                  <c:v>2.690288713910761</c:v>
                </c:pt>
                <c:pt idx="1">
                  <c:v>2.690288713910761</c:v>
                </c:pt>
                <c:pt idx="2">
                  <c:v>-2.690288713910761</c:v>
                </c:pt>
                <c:pt idx="3">
                  <c:v>-2.690288713910761</c:v>
                </c:pt>
                <c:pt idx="4">
                  <c:v>2.690288713910761</c:v>
                </c:pt>
                <c:pt idx="5">
                  <c:v>2.690288713910761</c:v>
                </c:pt>
                <c:pt idx="6">
                  <c:v>-2.690288713910761</c:v>
                </c:pt>
                <c:pt idx="7">
                  <c:v>-2.690288713910761</c:v>
                </c:pt>
                <c:pt idx="8">
                  <c:v>2.690288713910761</c:v>
                </c:pt>
                <c:pt idx="9">
                  <c:v>2.690288713910761</c:v>
                </c:pt>
                <c:pt idx="10">
                  <c:v>-2.690288713910761</c:v>
                </c:pt>
                <c:pt idx="11">
                  <c:v>-2.690288713910761</c:v>
                </c:pt>
                <c:pt idx="12">
                  <c:v>2.690288713910761</c:v>
                </c:pt>
                <c:pt idx="13">
                  <c:v>2.690288713910761</c:v>
                </c:pt>
                <c:pt idx="14">
                  <c:v>-2.690288713910761</c:v>
                </c:pt>
                <c:pt idx="15">
                  <c:v>-2.690288713910761</c:v>
                </c:pt>
                <c:pt idx="16">
                  <c:v>0.31395587270341208</c:v>
                </c:pt>
                <c:pt idx="17">
                  <c:v>-0.31395587270341208</c:v>
                </c:pt>
                <c:pt idx="18">
                  <c:v>0.31395587270341208</c:v>
                </c:pt>
                <c:pt idx="19">
                  <c:v>-0.31395587270341208</c:v>
                </c:pt>
                <c:pt idx="20">
                  <c:v>1.0311884842519685</c:v>
                </c:pt>
                <c:pt idx="21">
                  <c:v>1.6591002296587924</c:v>
                </c:pt>
                <c:pt idx="22">
                  <c:v>1.6591002296587924</c:v>
                </c:pt>
                <c:pt idx="23">
                  <c:v>1.0311884842519685</c:v>
                </c:pt>
              </c:numCache>
            </c:numRef>
          </c:yVal>
        </c:ser>
        <c:axId val="124730368"/>
        <c:axId val="124732160"/>
      </c:scatterChart>
      <c:valAx>
        <c:axId val="124730368"/>
        <c:scaling>
          <c:orientation val="minMax"/>
          <c:min val="-1"/>
        </c:scaling>
        <c:axPos val="b"/>
        <c:majorGridlines/>
        <c:numFmt formatCode="0" sourceLinked="1"/>
        <c:tickLblPos val="nextTo"/>
        <c:crossAx val="124732160"/>
        <c:crossesAt val="-100"/>
        <c:crossBetween val="midCat"/>
        <c:majorUnit val="1"/>
      </c:valAx>
      <c:valAx>
        <c:axId val="124732160"/>
        <c:scaling>
          <c:orientation val="minMax"/>
        </c:scaling>
        <c:axPos val="l"/>
        <c:majorGridlines/>
        <c:numFmt formatCode="0" sourceLinked="1"/>
        <c:tickLblPos val="nextTo"/>
        <c:crossAx val="124730368"/>
        <c:crossesAt val="-100"/>
        <c:crossBetween val="midCat"/>
        <c:majorUnit val="1"/>
      </c:valAx>
      <c:spPr>
        <a:solidFill>
          <a:srgbClr val="F5FFF5"/>
        </a:solidFill>
      </c:spPr>
    </c:plotArea>
    <c:plotVisOnly val="1"/>
  </c:chart>
  <c:printSettings>
    <c:headerFooter/>
    <c:pageMargins b="0.75000000000001266" l="0.70000000000000062" r="0.70000000000000062" t="0.75000000000001266" header="0.30000000000000032" footer="0.30000000000000032"/>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0789270273254678E-2"/>
          <c:y val="3.0897559171273663E-2"/>
          <c:w val="0.93533267079479143"/>
          <c:h val="0.87500997186804363"/>
        </c:manualLayout>
      </c:layout>
      <c:scatterChart>
        <c:scatterStyle val="lineMarker"/>
        <c:ser>
          <c:idx val="0"/>
          <c:order val="0"/>
          <c:spPr>
            <a:ln>
              <a:solidFill>
                <a:srgbClr val="00B4FF"/>
              </a:solidFill>
            </a:ln>
          </c:spPr>
          <c:marker>
            <c:symbol val="none"/>
          </c:marker>
          <c:dPt>
            <c:idx val="11"/>
            <c:spPr>
              <a:ln>
                <a:noFill/>
              </a:ln>
            </c:spPr>
          </c:dPt>
          <c:dPt>
            <c:idx val="13"/>
            <c:spPr>
              <a:ln>
                <a:noFill/>
              </a:ln>
            </c:spPr>
          </c:dPt>
          <c:dPt>
            <c:idx val="14"/>
            <c:spPr>
              <a:ln>
                <a:solidFill>
                  <a:srgbClr val="FF0000"/>
                </a:solidFill>
              </a:ln>
            </c:spPr>
          </c:dPt>
          <c:dPt>
            <c:idx val="15"/>
            <c:spPr>
              <a:ln>
                <a:noFill/>
              </a:ln>
            </c:spPr>
          </c:dPt>
          <c:dPt>
            <c:idx val="16"/>
            <c:spPr>
              <a:ln>
                <a:solidFill>
                  <a:srgbClr val="FF0000"/>
                </a:solidFill>
              </a:ln>
            </c:spPr>
          </c:dPt>
          <c:dPt>
            <c:idx val="17"/>
            <c:spPr>
              <a:ln>
                <a:noFill/>
              </a:ln>
            </c:spPr>
          </c:dPt>
          <c:dPt>
            <c:idx val="18"/>
            <c:spPr>
              <a:ln>
                <a:solidFill>
                  <a:srgbClr val="FF0000"/>
                </a:solidFill>
              </a:ln>
            </c:spPr>
          </c:dPt>
          <c:dPt>
            <c:idx val="19"/>
            <c:spPr>
              <a:ln>
                <a:noFill/>
              </a:ln>
            </c:spPr>
          </c:dPt>
          <c:dPt>
            <c:idx val="20"/>
            <c:spPr>
              <a:ln>
                <a:solidFill>
                  <a:srgbClr val="FF0000"/>
                </a:solidFill>
              </a:ln>
            </c:spPr>
          </c:dPt>
          <c:xVal>
            <c:numRef>
              <c:f>PV!$F$619:$F$639</c:f>
              <c:numCache>
                <c:formatCode>0</c:formatCode>
                <c:ptCount val="21"/>
                <c:pt idx="0">
                  <c:v>0</c:v>
                </c:pt>
                <c:pt idx="1">
                  <c:v>0</c:v>
                </c:pt>
                <c:pt idx="2">
                  <c:v>5.3805774278215219</c:v>
                </c:pt>
                <c:pt idx="3">
                  <c:v>5.3805774278215219</c:v>
                </c:pt>
                <c:pt idx="4">
                  <c:v>10.761154855643044</c:v>
                </c:pt>
                <c:pt idx="5">
                  <c:v>10.761154855643044</c:v>
                </c:pt>
                <c:pt idx="6">
                  <c:v>16.141732283464567</c:v>
                </c:pt>
                <c:pt idx="7">
                  <c:v>16.141732283464567</c:v>
                </c:pt>
                <c:pt idx="8">
                  <c:v>0</c:v>
                </c:pt>
                <c:pt idx="9">
                  <c:v>0</c:v>
                </c:pt>
                <c:pt idx="10">
                  <c:v>16.141732283464567</c:v>
                </c:pt>
                <c:pt idx="11">
                  <c:v>10.761154855643044</c:v>
                </c:pt>
                <c:pt idx="12">
                  <c:v>5.3805774278215219</c:v>
                </c:pt>
                <c:pt idx="13">
                  <c:v>7.7861671587926509</c:v>
                </c:pt>
                <c:pt idx="14">
                  <c:v>8.3555651246719158</c:v>
                </c:pt>
                <c:pt idx="15">
                  <c:v>8.3555651246719158</c:v>
                </c:pt>
                <c:pt idx="16">
                  <c:v>7.7861671587926509</c:v>
                </c:pt>
                <c:pt idx="17">
                  <c:v>8.3555651246719158</c:v>
                </c:pt>
                <c:pt idx="18">
                  <c:v>7.7861671587926509</c:v>
                </c:pt>
                <c:pt idx="19">
                  <c:v>8.3555651246719158</c:v>
                </c:pt>
                <c:pt idx="20">
                  <c:v>7.7861671587926509</c:v>
                </c:pt>
              </c:numCache>
            </c:numRef>
          </c:xVal>
          <c:yVal>
            <c:numRef>
              <c:f>PV!$G$619:$G$639</c:f>
              <c:numCache>
                <c:formatCode>0</c:formatCode>
                <c:ptCount val="21"/>
                <c:pt idx="0">
                  <c:v>0</c:v>
                </c:pt>
                <c:pt idx="1">
                  <c:v>3.2545931758530187</c:v>
                </c:pt>
                <c:pt idx="2">
                  <c:v>3.2545931758530187</c:v>
                </c:pt>
                <c:pt idx="3">
                  <c:v>-3.2545931758530187</c:v>
                </c:pt>
                <c:pt idx="4">
                  <c:v>-3.2545931758530187</c:v>
                </c:pt>
                <c:pt idx="5">
                  <c:v>3.2545931758530187</c:v>
                </c:pt>
                <c:pt idx="6">
                  <c:v>3.2545931758530187</c:v>
                </c:pt>
                <c:pt idx="7">
                  <c:v>-3.2545931758530187</c:v>
                </c:pt>
                <c:pt idx="8">
                  <c:v>-3.2545931758530187</c:v>
                </c:pt>
                <c:pt idx="9">
                  <c:v>0</c:v>
                </c:pt>
                <c:pt idx="10">
                  <c:v>0</c:v>
                </c:pt>
                <c:pt idx="11">
                  <c:v>3.2545931758530187</c:v>
                </c:pt>
                <c:pt idx="12">
                  <c:v>3.2545931758530187</c:v>
                </c:pt>
                <c:pt idx="13">
                  <c:v>0.28469898293963258</c:v>
                </c:pt>
                <c:pt idx="14">
                  <c:v>-0.28469898293963258</c:v>
                </c:pt>
                <c:pt idx="15">
                  <c:v>0.28469898293963258</c:v>
                </c:pt>
                <c:pt idx="16">
                  <c:v>-0.28469898293963258</c:v>
                </c:pt>
                <c:pt idx="17">
                  <c:v>1.3425976049868766</c:v>
                </c:pt>
                <c:pt idx="18">
                  <c:v>1.911995570866142</c:v>
                </c:pt>
                <c:pt idx="19">
                  <c:v>1.911995570866142</c:v>
                </c:pt>
                <c:pt idx="20">
                  <c:v>1.3425976049868766</c:v>
                </c:pt>
              </c:numCache>
            </c:numRef>
          </c:yVal>
        </c:ser>
        <c:axId val="124779520"/>
        <c:axId val="124781312"/>
      </c:scatterChart>
      <c:valAx>
        <c:axId val="124779520"/>
        <c:scaling>
          <c:orientation val="minMax"/>
          <c:min val="-1"/>
        </c:scaling>
        <c:axPos val="b"/>
        <c:majorGridlines/>
        <c:numFmt formatCode="0" sourceLinked="1"/>
        <c:tickLblPos val="nextTo"/>
        <c:crossAx val="124781312"/>
        <c:crossesAt val="-100"/>
        <c:crossBetween val="midCat"/>
        <c:majorUnit val="1"/>
      </c:valAx>
      <c:valAx>
        <c:axId val="124781312"/>
        <c:scaling>
          <c:orientation val="minMax"/>
        </c:scaling>
        <c:axPos val="l"/>
        <c:majorGridlines/>
        <c:numFmt formatCode="0" sourceLinked="1"/>
        <c:tickLblPos val="nextTo"/>
        <c:crossAx val="124779520"/>
        <c:crossesAt val="-100"/>
        <c:crossBetween val="midCat"/>
        <c:majorUnit val="1"/>
      </c:valAx>
      <c:spPr>
        <a:solidFill>
          <a:srgbClr val="F5FFF5"/>
        </a:solidFill>
      </c:spPr>
    </c:plotArea>
    <c:plotVisOnly val="1"/>
  </c:chart>
  <c:printSettings>
    <c:headerFooter/>
    <c:pageMargins b="0.75000000000001288" l="0.70000000000000062" r="0.70000000000000062" t="0.75000000000001288" header="0.30000000000000032" footer="0.30000000000000032"/>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5.8622718671793875E-2"/>
          <c:y val="3.7382221161748719E-2"/>
          <c:w val="0.90705951290972364"/>
          <c:h val="0.89510379384395056"/>
        </c:manualLayout>
      </c:layout>
      <c:scatterChart>
        <c:scatterStyle val="lineMarker"/>
        <c:ser>
          <c:idx val="0"/>
          <c:order val="0"/>
          <c:spPr>
            <a:ln>
              <a:solidFill>
                <a:srgbClr val="00B4FF"/>
              </a:solidFill>
            </a:ln>
          </c:spPr>
          <c:marker>
            <c:symbol val="none"/>
          </c:marker>
          <c:dPt>
            <c:idx val="15"/>
            <c:spPr>
              <a:ln>
                <a:noFill/>
              </a:ln>
            </c:spPr>
          </c:dPt>
          <c:dPt>
            <c:idx val="16"/>
            <c:spPr>
              <a:ln>
                <a:solidFill>
                  <a:srgbClr val="FF0000"/>
                </a:solidFill>
              </a:ln>
            </c:spPr>
          </c:dPt>
          <c:dPt>
            <c:idx val="17"/>
            <c:spPr>
              <a:ln>
                <a:noFill/>
              </a:ln>
            </c:spPr>
          </c:dPt>
          <c:dPt>
            <c:idx val="18"/>
            <c:spPr>
              <a:ln>
                <a:solidFill>
                  <a:srgbClr val="FF0000"/>
                </a:solidFill>
              </a:ln>
            </c:spPr>
          </c:dPt>
          <c:dPt>
            <c:idx val="19"/>
            <c:spPr>
              <a:ln>
                <a:noFill/>
              </a:ln>
            </c:spPr>
          </c:dPt>
          <c:dPt>
            <c:idx val="20"/>
            <c:spPr>
              <a:ln>
                <a:solidFill>
                  <a:srgbClr val="FF0000"/>
                </a:solidFill>
              </a:ln>
            </c:spPr>
          </c:dPt>
          <c:dPt>
            <c:idx val="21"/>
            <c:spPr>
              <a:ln>
                <a:noFill/>
              </a:ln>
            </c:spPr>
          </c:dPt>
          <c:dPt>
            <c:idx val="22"/>
            <c:spPr>
              <a:ln>
                <a:solidFill>
                  <a:srgbClr val="FF0000"/>
                </a:solidFill>
              </a:ln>
            </c:spPr>
          </c:dPt>
          <c:xVal>
            <c:numRef>
              <c:f>PV!$F$642:$F$664</c:f>
              <c:numCache>
                <c:formatCode>0</c:formatCode>
                <c:ptCount val="23"/>
                <c:pt idx="0">
                  <c:v>0</c:v>
                </c:pt>
                <c:pt idx="1">
                  <c:v>0</c:v>
                </c:pt>
                <c:pt idx="2">
                  <c:v>3.2545931758530187</c:v>
                </c:pt>
                <c:pt idx="3">
                  <c:v>3.2545931758530187</c:v>
                </c:pt>
                <c:pt idx="4">
                  <c:v>6.5091863517060373</c:v>
                </c:pt>
                <c:pt idx="5">
                  <c:v>6.5091863517060373</c:v>
                </c:pt>
                <c:pt idx="6">
                  <c:v>9.7637795275590555</c:v>
                </c:pt>
                <c:pt idx="7">
                  <c:v>9.7637795275590555</c:v>
                </c:pt>
                <c:pt idx="8">
                  <c:v>6.5091863517060373</c:v>
                </c:pt>
                <c:pt idx="9">
                  <c:v>6.5091863517060373</c:v>
                </c:pt>
                <c:pt idx="10">
                  <c:v>3.2545931758530187</c:v>
                </c:pt>
                <c:pt idx="11">
                  <c:v>3.2545931758530187</c:v>
                </c:pt>
                <c:pt idx="12">
                  <c:v>0</c:v>
                </c:pt>
                <c:pt idx="13">
                  <c:v>0</c:v>
                </c:pt>
                <c:pt idx="14">
                  <c:v>9.7637795275590555</c:v>
                </c:pt>
                <c:pt idx="15">
                  <c:v>4.6237655839895018</c:v>
                </c:pt>
                <c:pt idx="16">
                  <c:v>5.1400139435695538</c:v>
                </c:pt>
                <c:pt idx="17">
                  <c:v>5.1400139435695538</c:v>
                </c:pt>
                <c:pt idx="18">
                  <c:v>4.6237655839895018</c:v>
                </c:pt>
                <c:pt idx="19">
                  <c:v>5.1400139435695538</c:v>
                </c:pt>
                <c:pt idx="20">
                  <c:v>4.6237655839895018</c:v>
                </c:pt>
                <c:pt idx="21">
                  <c:v>5.1400139435695538</c:v>
                </c:pt>
                <c:pt idx="22">
                  <c:v>4.6237655839895018</c:v>
                </c:pt>
              </c:numCache>
            </c:numRef>
          </c:xVal>
          <c:yVal>
            <c:numRef>
              <c:f>PV!$G$642:$G$664</c:f>
              <c:numCache>
                <c:formatCode>0</c:formatCode>
                <c:ptCount val="23"/>
                <c:pt idx="0">
                  <c:v>0</c:v>
                </c:pt>
                <c:pt idx="1">
                  <c:v>5.3805774278215219</c:v>
                </c:pt>
                <c:pt idx="2">
                  <c:v>5.3805774278215219</c:v>
                </c:pt>
                <c:pt idx="3">
                  <c:v>-5.3805774278215219</c:v>
                </c:pt>
                <c:pt idx="4">
                  <c:v>-5.3805774278215219</c:v>
                </c:pt>
                <c:pt idx="5">
                  <c:v>5.3805774278215219</c:v>
                </c:pt>
                <c:pt idx="6">
                  <c:v>5.3805774278215219</c:v>
                </c:pt>
                <c:pt idx="7">
                  <c:v>-5.3805774278215219</c:v>
                </c:pt>
                <c:pt idx="8">
                  <c:v>-5.3805774278215219</c:v>
                </c:pt>
                <c:pt idx="9">
                  <c:v>5.3805774278215219</c:v>
                </c:pt>
                <c:pt idx="10">
                  <c:v>5.3805774278215219</c:v>
                </c:pt>
                <c:pt idx="11">
                  <c:v>-5.3805774278215219</c:v>
                </c:pt>
                <c:pt idx="12">
                  <c:v>-5.3805774278215219</c:v>
                </c:pt>
                <c:pt idx="13">
                  <c:v>0</c:v>
                </c:pt>
                <c:pt idx="14">
                  <c:v>0</c:v>
                </c:pt>
                <c:pt idx="15">
                  <c:v>0.25812417979002628</c:v>
                </c:pt>
                <c:pt idx="16">
                  <c:v>-0.25812417979002628</c:v>
                </c:pt>
                <c:pt idx="17">
                  <c:v>0.25812417979002628</c:v>
                </c:pt>
                <c:pt idx="18">
                  <c:v>-0.25812417979002628</c:v>
                </c:pt>
                <c:pt idx="19">
                  <c:v>2.4321645341207345</c:v>
                </c:pt>
                <c:pt idx="20">
                  <c:v>2.9484128937007874</c:v>
                </c:pt>
                <c:pt idx="21">
                  <c:v>2.9484128937007874</c:v>
                </c:pt>
                <c:pt idx="22">
                  <c:v>2.4321645341207345</c:v>
                </c:pt>
              </c:numCache>
            </c:numRef>
          </c:yVal>
        </c:ser>
        <c:axId val="124816000"/>
        <c:axId val="124817792"/>
      </c:scatterChart>
      <c:valAx>
        <c:axId val="124816000"/>
        <c:scaling>
          <c:orientation val="minMax"/>
          <c:min val="-1"/>
        </c:scaling>
        <c:axPos val="b"/>
        <c:majorGridlines/>
        <c:numFmt formatCode="0" sourceLinked="1"/>
        <c:tickLblPos val="nextTo"/>
        <c:crossAx val="124817792"/>
        <c:crossesAt val="-100"/>
        <c:crossBetween val="midCat"/>
        <c:majorUnit val="1"/>
      </c:valAx>
      <c:valAx>
        <c:axId val="124817792"/>
        <c:scaling>
          <c:orientation val="minMax"/>
        </c:scaling>
        <c:axPos val="l"/>
        <c:majorGridlines/>
        <c:numFmt formatCode="0" sourceLinked="1"/>
        <c:tickLblPos val="nextTo"/>
        <c:crossAx val="124816000"/>
        <c:crossesAt val="-100"/>
        <c:crossBetween val="midCat"/>
        <c:majorUnit val="1"/>
      </c:valAx>
      <c:spPr>
        <a:solidFill>
          <a:srgbClr val="F5FFF5"/>
        </a:solidFill>
      </c:spPr>
    </c:plotArea>
    <c:plotVisOnly val="1"/>
  </c:chart>
  <c:printSettings>
    <c:headerFooter/>
    <c:pageMargins b="0.75000000000001266" l="0.70000000000000062" r="0.70000000000000062" t="0.75000000000001266"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2.1862765853314346E-2"/>
          <c:y val="8.6066044070072831E-2"/>
          <c:w val="0.96533876023519605"/>
          <c:h val="0.75849478117560887"/>
        </c:manualLayout>
      </c:layout>
      <c:scatterChart>
        <c:scatterStyle val="lineMarker"/>
        <c:ser>
          <c:idx val="0"/>
          <c:order val="0"/>
          <c:spPr>
            <a:ln>
              <a:solidFill>
                <a:srgbClr val="00B4FF"/>
              </a:solidFill>
            </a:ln>
          </c:spPr>
          <c:marker>
            <c:symbol val="none"/>
          </c:marker>
          <c:dPt>
            <c:idx val="16"/>
            <c:spPr>
              <a:ln>
                <a:noFill/>
              </a:ln>
            </c:spPr>
          </c:dPt>
          <c:dPt>
            <c:idx val="17"/>
            <c:spPr>
              <a:ln>
                <a:solidFill>
                  <a:srgbClr val="FF0000"/>
                </a:solidFill>
              </a:ln>
            </c:spPr>
          </c:dPt>
          <c:dPt>
            <c:idx val="18"/>
            <c:spPr>
              <a:ln>
                <a:noFill/>
              </a:ln>
            </c:spPr>
          </c:dPt>
          <c:dPt>
            <c:idx val="19"/>
            <c:spPr>
              <a:ln>
                <a:solidFill>
                  <a:srgbClr val="FF0000"/>
                </a:solidFill>
              </a:ln>
            </c:spPr>
          </c:dPt>
          <c:dPt>
            <c:idx val="20"/>
            <c:spPr>
              <a:ln>
                <a:noFill/>
              </a:ln>
            </c:spPr>
          </c:dPt>
          <c:dPt>
            <c:idx val="21"/>
            <c:spPr>
              <a:ln>
                <a:solidFill>
                  <a:srgbClr val="FF0000"/>
                </a:solidFill>
              </a:ln>
            </c:spPr>
          </c:dPt>
          <c:dPt>
            <c:idx val="22"/>
            <c:spPr>
              <a:ln>
                <a:noFill/>
              </a:ln>
            </c:spPr>
          </c:dPt>
          <c:dPt>
            <c:idx val="23"/>
            <c:spPr>
              <a:ln>
                <a:solidFill>
                  <a:srgbClr val="FF0000"/>
                </a:solidFill>
              </a:ln>
            </c:spPr>
          </c:dPt>
          <c:xVal>
            <c:numRef>
              <c:f>PV!$F$239:$F$262</c:f>
              <c:numCache>
                <c:formatCode>0</c:formatCode>
                <c:ptCount val="24"/>
                <c:pt idx="0">
                  <c:v>0</c:v>
                </c:pt>
                <c:pt idx="1">
                  <c:v>5.3805774278215219</c:v>
                </c:pt>
                <c:pt idx="2">
                  <c:v>5.3805774278215219</c:v>
                </c:pt>
                <c:pt idx="3">
                  <c:v>10.761154855643044</c:v>
                </c:pt>
                <c:pt idx="4">
                  <c:v>10.761154855643044</c:v>
                </c:pt>
                <c:pt idx="5">
                  <c:v>16.141732283464567</c:v>
                </c:pt>
                <c:pt idx="6">
                  <c:v>16.141732283464567</c:v>
                </c:pt>
                <c:pt idx="7">
                  <c:v>21.522309711286088</c:v>
                </c:pt>
                <c:pt idx="8">
                  <c:v>21.522309711286088</c:v>
                </c:pt>
                <c:pt idx="9">
                  <c:v>26.902887139107609</c:v>
                </c:pt>
                <c:pt idx="10">
                  <c:v>26.902887139107609</c:v>
                </c:pt>
                <c:pt idx="11">
                  <c:v>32.283464566929133</c:v>
                </c:pt>
                <c:pt idx="12">
                  <c:v>32.283464566929133</c:v>
                </c:pt>
                <c:pt idx="13">
                  <c:v>0</c:v>
                </c:pt>
                <c:pt idx="14">
                  <c:v>0</c:v>
                </c:pt>
                <c:pt idx="15">
                  <c:v>32.283464566929133</c:v>
                </c:pt>
                <c:pt idx="16">
                  <c:v>15.694902395013123</c:v>
                </c:pt>
                <c:pt idx="17">
                  <c:v>16.58856217191601</c:v>
                </c:pt>
                <c:pt idx="18">
                  <c:v>16.58856217191601</c:v>
                </c:pt>
                <c:pt idx="19">
                  <c:v>15.694902395013123</c:v>
                </c:pt>
                <c:pt idx="20">
                  <c:v>16.58856217191601</c:v>
                </c:pt>
                <c:pt idx="21">
                  <c:v>15.694902395013123</c:v>
                </c:pt>
                <c:pt idx="22">
                  <c:v>16.58856217191601</c:v>
                </c:pt>
                <c:pt idx="23">
                  <c:v>15.694902395013123</c:v>
                </c:pt>
              </c:numCache>
            </c:numRef>
          </c:xVal>
          <c:yVal>
            <c:numRef>
              <c:f>PV!$G$239:$G$262</c:f>
              <c:numCache>
                <c:formatCode>0</c:formatCode>
                <c:ptCount val="24"/>
                <c:pt idx="0">
                  <c:v>1.6272965879265093</c:v>
                </c:pt>
                <c:pt idx="1">
                  <c:v>1.6272965879265093</c:v>
                </c:pt>
                <c:pt idx="2">
                  <c:v>-1.6272965879265093</c:v>
                </c:pt>
                <c:pt idx="3">
                  <c:v>-1.6272965879265093</c:v>
                </c:pt>
                <c:pt idx="4">
                  <c:v>1.6272965879265093</c:v>
                </c:pt>
                <c:pt idx="5">
                  <c:v>1.6272965879265093</c:v>
                </c:pt>
                <c:pt idx="6">
                  <c:v>-1.6272965879265093</c:v>
                </c:pt>
                <c:pt idx="7">
                  <c:v>-1.6272965879265093</c:v>
                </c:pt>
                <c:pt idx="8">
                  <c:v>1.6272965879265093</c:v>
                </c:pt>
                <c:pt idx="9">
                  <c:v>1.6272965879265093</c:v>
                </c:pt>
                <c:pt idx="10">
                  <c:v>-1.6272965879265093</c:v>
                </c:pt>
                <c:pt idx="11">
                  <c:v>-1.6272965879265093</c:v>
                </c:pt>
                <c:pt idx="12">
                  <c:v>1.6272965879265093</c:v>
                </c:pt>
                <c:pt idx="13">
                  <c:v>1.6272965879265093</c:v>
                </c:pt>
                <c:pt idx="14">
                  <c:v>-1.6272965879265093</c:v>
                </c:pt>
                <c:pt idx="15">
                  <c:v>-1.6272965879265093</c:v>
                </c:pt>
                <c:pt idx="16">
                  <c:v>0.44682988845144356</c:v>
                </c:pt>
                <c:pt idx="17">
                  <c:v>-0.44682988845144356</c:v>
                </c:pt>
                <c:pt idx="18">
                  <c:v>0.44682988845144356</c:v>
                </c:pt>
                <c:pt idx="19">
                  <c:v>-0.44682988845144356</c:v>
                </c:pt>
                <c:pt idx="20">
                  <c:v>0.36681840551181111</c:v>
                </c:pt>
                <c:pt idx="21">
                  <c:v>1.2604781824146982</c:v>
                </c:pt>
                <c:pt idx="22">
                  <c:v>1.2604781824146982</c:v>
                </c:pt>
                <c:pt idx="23">
                  <c:v>0.36681840551181111</c:v>
                </c:pt>
              </c:numCache>
            </c:numRef>
          </c:yVal>
        </c:ser>
        <c:axId val="124844672"/>
        <c:axId val="124854656"/>
      </c:scatterChart>
      <c:valAx>
        <c:axId val="124844672"/>
        <c:scaling>
          <c:orientation val="minMax"/>
          <c:min val="-1"/>
        </c:scaling>
        <c:axPos val="b"/>
        <c:majorGridlines/>
        <c:numFmt formatCode="0" sourceLinked="1"/>
        <c:tickLblPos val="nextTo"/>
        <c:crossAx val="124854656"/>
        <c:crossesAt val="-100"/>
        <c:crossBetween val="midCat"/>
        <c:majorUnit val="1"/>
      </c:valAx>
      <c:valAx>
        <c:axId val="124854656"/>
        <c:scaling>
          <c:orientation val="minMax"/>
        </c:scaling>
        <c:axPos val="l"/>
        <c:majorGridlines/>
        <c:numFmt formatCode="0" sourceLinked="1"/>
        <c:tickLblPos val="nextTo"/>
        <c:crossAx val="124844672"/>
        <c:crossesAt val="-100"/>
        <c:crossBetween val="midCat"/>
        <c:majorUnit val="1"/>
      </c:valAx>
      <c:spPr>
        <a:solidFill>
          <a:srgbClr val="F5FFF5"/>
        </a:solidFill>
      </c:spPr>
    </c:plotArea>
    <c:plotVisOnly val="1"/>
  </c:chart>
  <c:printSettings>
    <c:headerFooter/>
    <c:pageMargins b="0.75000000000001288" l="0.70000000000000062" r="0.70000000000000062" t="0.75000000000001288" header="0.30000000000000032" footer="0.30000000000000032"/>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3.1668047367012592E-2"/>
          <c:y val="3.0897559171273674E-2"/>
          <c:w val="0.94979346208820303"/>
          <c:h val="0.87132023076958987"/>
        </c:manualLayout>
      </c:layout>
      <c:scatterChart>
        <c:scatterStyle val="lineMarker"/>
        <c:ser>
          <c:idx val="0"/>
          <c:order val="0"/>
          <c:spPr>
            <a:ln>
              <a:solidFill>
                <a:srgbClr val="00B4FF"/>
              </a:solidFill>
            </a:ln>
          </c:spPr>
          <c:marker>
            <c:symbol val="none"/>
          </c:marker>
          <c:dPt>
            <c:idx val="15"/>
            <c:spPr>
              <a:ln>
                <a:noFill/>
              </a:ln>
            </c:spPr>
          </c:dPt>
          <c:dPt>
            <c:idx val="17"/>
            <c:spPr>
              <a:ln>
                <a:noFill/>
              </a:ln>
            </c:spPr>
          </c:dPt>
          <c:dPt>
            <c:idx val="18"/>
            <c:spPr>
              <a:ln>
                <a:solidFill>
                  <a:srgbClr val="FF0000"/>
                </a:solidFill>
              </a:ln>
            </c:spPr>
          </c:dPt>
          <c:dPt>
            <c:idx val="19"/>
            <c:spPr>
              <a:ln>
                <a:noFill/>
              </a:ln>
            </c:spPr>
          </c:dPt>
          <c:dPt>
            <c:idx val="20"/>
            <c:spPr>
              <a:ln>
                <a:solidFill>
                  <a:srgbClr val="FF0000"/>
                </a:solidFill>
              </a:ln>
            </c:spPr>
          </c:dPt>
          <c:dPt>
            <c:idx val="21"/>
            <c:spPr>
              <a:ln>
                <a:noFill/>
              </a:ln>
            </c:spPr>
          </c:dPt>
          <c:dPt>
            <c:idx val="22"/>
            <c:spPr>
              <a:ln>
                <a:solidFill>
                  <a:srgbClr val="FF0000"/>
                </a:solidFill>
              </a:ln>
            </c:spPr>
          </c:dPt>
          <c:dPt>
            <c:idx val="23"/>
            <c:spPr>
              <a:ln>
                <a:noFill/>
              </a:ln>
            </c:spPr>
          </c:dPt>
          <c:dPt>
            <c:idx val="24"/>
            <c:spPr>
              <a:ln>
                <a:solidFill>
                  <a:srgbClr val="FF0000"/>
                </a:solidFill>
              </a:ln>
            </c:spPr>
          </c:dPt>
          <c:xVal>
            <c:numRef>
              <c:f>PV!$F$671:$F$695</c:f>
              <c:numCache>
                <c:formatCode>0</c:formatCode>
                <c:ptCount val="25"/>
                <c:pt idx="0">
                  <c:v>0</c:v>
                </c:pt>
                <c:pt idx="1">
                  <c:v>0</c:v>
                </c:pt>
                <c:pt idx="2">
                  <c:v>5.3805774278215219</c:v>
                </c:pt>
                <c:pt idx="3">
                  <c:v>5.3805774278215219</c:v>
                </c:pt>
                <c:pt idx="4">
                  <c:v>10.761154855643044</c:v>
                </c:pt>
                <c:pt idx="5">
                  <c:v>10.761154855643044</c:v>
                </c:pt>
                <c:pt idx="6">
                  <c:v>16.141732283464567</c:v>
                </c:pt>
                <c:pt idx="7">
                  <c:v>16.141732283464567</c:v>
                </c:pt>
                <c:pt idx="8">
                  <c:v>21.522309711286088</c:v>
                </c:pt>
                <c:pt idx="9">
                  <c:v>21.522309711286088</c:v>
                </c:pt>
                <c:pt idx="10">
                  <c:v>16.141732283464567</c:v>
                </c:pt>
                <c:pt idx="11">
                  <c:v>16.141732283464567</c:v>
                </c:pt>
                <c:pt idx="12">
                  <c:v>0</c:v>
                </c:pt>
                <c:pt idx="13">
                  <c:v>0</c:v>
                </c:pt>
                <c:pt idx="14">
                  <c:v>21.522309711286088</c:v>
                </c:pt>
                <c:pt idx="15">
                  <c:v>10.761154855643044</c:v>
                </c:pt>
                <c:pt idx="16">
                  <c:v>5.3805774278215219</c:v>
                </c:pt>
                <c:pt idx="17">
                  <c:v>10.408677821522309</c:v>
                </c:pt>
                <c:pt idx="18">
                  <c:v>11.113631889763779</c:v>
                </c:pt>
                <c:pt idx="19">
                  <c:v>11.113631889763779</c:v>
                </c:pt>
                <c:pt idx="20">
                  <c:v>10.408677821522309</c:v>
                </c:pt>
                <c:pt idx="21">
                  <c:v>11.113631889763779</c:v>
                </c:pt>
                <c:pt idx="22">
                  <c:v>10.408677821522309</c:v>
                </c:pt>
                <c:pt idx="23">
                  <c:v>11.113631889763779</c:v>
                </c:pt>
                <c:pt idx="24">
                  <c:v>10.408677821522309</c:v>
                </c:pt>
              </c:numCache>
            </c:numRef>
          </c:xVal>
          <c:yVal>
            <c:numRef>
              <c:f>PV!$G$671:$G$695</c:f>
              <c:numCache>
                <c:formatCode>0</c:formatCode>
                <c:ptCount val="25"/>
                <c:pt idx="0">
                  <c:v>0</c:v>
                </c:pt>
                <c:pt idx="1">
                  <c:v>3.2545931758530187</c:v>
                </c:pt>
                <c:pt idx="2">
                  <c:v>3.2545931758530187</c:v>
                </c:pt>
                <c:pt idx="3">
                  <c:v>-3.2545931758530187</c:v>
                </c:pt>
                <c:pt idx="4">
                  <c:v>-3.2545931758530187</c:v>
                </c:pt>
                <c:pt idx="5">
                  <c:v>3.2545931758530187</c:v>
                </c:pt>
                <c:pt idx="6">
                  <c:v>3.2545931758530187</c:v>
                </c:pt>
                <c:pt idx="7">
                  <c:v>-3.2545931758530187</c:v>
                </c:pt>
                <c:pt idx="8">
                  <c:v>-3.2545931758530187</c:v>
                </c:pt>
                <c:pt idx="9">
                  <c:v>3.2545931758530187</c:v>
                </c:pt>
                <c:pt idx="10">
                  <c:v>3.2545931758530187</c:v>
                </c:pt>
                <c:pt idx="11">
                  <c:v>-3.2545931758530187</c:v>
                </c:pt>
                <c:pt idx="12">
                  <c:v>-3.2545931758530187</c:v>
                </c:pt>
                <c:pt idx="13">
                  <c:v>0</c:v>
                </c:pt>
                <c:pt idx="14">
                  <c:v>0</c:v>
                </c:pt>
                <c:pt idx="15">
                  <c:v>3.2545931758530187</c:v>
                </c:pt>
                <c:pt idx="16">
                  <c:v>3.2545931758530187</c:v>
                </c:pt>
                <c:pt idx="17">
                  <c:v>0.35247703412073489</c:v>
                </c:pt>
                <c:pt idx="18">
                  <c:v>-0.35247703412073489</c:v>
                </c:pt>
                <c:pt idx="19">
                  <c:v>0.35247703412073489</c:v>
                </c:pt>
                <c:pt idx="20">
                  <c:v>-0.35247703412073489</c:v>
                </c:pt>
                <c:pt idx="21">
                  <c:v>1.2748195538057745</c:v>
                </c:pt>
                <c:pt idx="22">
                  <c:v>1.9797736220472442</c:v>
                </c:pt>
                <c:pt idx="23">
                  <c:v>1.9797736220472442</c:v>
                </c:pt>
                <c:pt idx="24">
                  <c:v>1.2748195538057745</c:v>
                </c:pt>
              </c:numCache>
            </c:numRef>
          </c:yVal>
        </c:ser>
        <c:axId val="124872576"/>
        <c:axId val="124874112"/>
      </c:scatterChart>
      <c:valAx>
        <c:axId val="124872576"/>
        <c:scaling>
          <c:orientation val="minMax"/>
          <c:min val="-1"/>
        </c:scaling>
        <c:axPos val="b"/>
        <c:majorGridlines/>
        <c:numFmt formatCode="0" sourceLinked="1"/>
        <c:tickLblPos val="nextTo"/>
        <c:crossAx val="124874112"/>
        <c:crossesAt val="-100"/>
        <c:crossBetween val="midCat"/>
        <c:majorUnit val="1"/>
      </c:valAx>
      <c:valAx>
        <c:axId val="124874112"/>
        <c:scaling>
          <c:orientation val="minMax"/>
        </c:scaling>
        <c:axPos val="l"/>
        <c:majorGridlines/>
        <c:numFmt formatCode="0" sourceLinked="1"/>
        <c:tickLblPos val="nextTo"/>
        <c:crossAx val="124872576"/>
        <c:crossesAt val="-100"/>
        <c:crossBetween val="midCat"/>
        <c:majorUnit val="1"/>
      </c:valAx>
      <c:spPr>
        <a:solidFill>
          <a:srgbClr val="F5FFF5"/>
        </a:solidFill>
      </c:spPr>
    </c:plotArea>
    <c:plotVisOnly val="1"/>
  </c:chart>
  <c:printSettings>
    <c:headerFooter/>
    <c:pageMargins b="0.7500000000000131" l="0.70000000000000062" r="0.70000000000000062" t="0.7500000000000131" header="0.30000000000000032" footer="0.30000000000000032"/>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5256309295426983E-2"/>
          <c:y val="3.0897559171273684E-2"/>
          <c:w val="0.92825062492625376"/>
          <c:h val="0.9216354360199368"/>
        </c:manualLayout>
      </c:layout>
      <c:scatterChart>
        <c:scatterStyle val="lineMarker"/>
        <c:ser>
          <c:idx val="0"/>
          <c:order val="0"/>
          <c:spPr>
            <a:ln>
              <a:solidFill>
                <a:srgbClr val="00B4FF"/>
              </a:solidFill>
            </a:ln>
          </c:spPr>
          <c:marker>
            <c:symbol val="none"/>
          </c:marker>
          <c:dPt>
            <c:idx val="15"/>
            <c:spPr>
              <a:ln>
                <a:noFill/>
              </a:ln>
            </c:spPr>
          </c:dPt>
          <c:dPt>
            <c:idx val="17"/>
            <c:spPr>
              <a:ln>
                <a:noFill/>
              </a:ln>
            </c:spPr>
          </c:dPt>
          <c:dPt>
            <c:idx val="18"/>
            <c:spPr>
              <a:ln>
                <a:solidFill>
                  <a:srgbClr val="FF0000"/>
                </a:solidFill>
              </a:ln>
            </c:spPr>
          </c:dPt>
          <c:dPt>
            <c:idx val="19"/>
            <c:spPr>
              <a:ln>
                <a:noFill/>
              </a:ln>
            </c:spPr>
          </c:dPt>
          <c:dPt>
            <c:idx val="20"/>
            <c:spPr>
              <a:ln>
                <a:solidFill>
                  <a:srgbClr val="FF0000"/>
                </a:solidFill>
              </a:ln>
            </c:spPr>
          </c:dPt>
          <c:dPt>
            <c:idx val="21"/>
            <c:spPr>
              <a:ln>
                <a:noFill/>
              </a:ln>
            </c:spPr>
          </c:dPt>
          <c:dPt>
            <c:idx val="22"/>
            <c:spPr>
              <a:ln>
                <a:solidFill>
                  <a:srgbClr val="FF0000"/>
                </a:solidFill>
              </a:ln>
            </c:spPr>
          </c:dPt>
          <c:dPt>
            <c:idx val="23"/>
            <c:spPr>
              <a:ln>
                <a:noFill/>
              </a:ln>
            </c:spPr>
          </c:dPt>
          <c:dPt>
            <c:idx val="24"/>
            <c:spPr>
              <a:ln>
                <a:solidFill>
                  <a:srgbClr val="FF0000"/>
                </a:solidFill>
              </a:ln>
            </c:spPr>
          </c:dPt>
          <c:xVal>
            <c:numRef>
              <c:f>PV!$F$698:$F$722</c:f>
              <c:numCache>
                <c:formatCode>0</c:formatCode>
                <c:ptCount val="25"/>
                <c:pt idx="0">
                  <c:v>0</c:v>
                </c:pt>
                <c:pt idx="1">
                  <c:v>0</c:v>
                </c:pt>
                <c:pt idx="2">
                  <c:v>3.2545931758530187</c:v>
                </c:pt>
                <c:pt idx="3">
                  <c:v>3.2545931758530187</c:v>
                </c:pt>
                <c:pt idx="4">
                  <c:v>6.5091863517060373</c:v>
                </c:pt>
                <c:pt idx="5">
                  <c:v>6.5091863517060373</c:v>
                </c:pt>
                <c:pt idx="6">
                  <c:v>9.7637795275590555</c:v>
                </c:pt>
                <c:pt idx="7">
                  <c:v>9.7637795275590555</c:v>
                </c:pt>
                <c:pt idx="8">
                  <c:v>13.018372703412075</c:v>
                </c:pt>
                <c:pt idx="9">
                  <c:v>13.018372703412075</c:v>
                </c:pt>
                <c:pt idx="10">
                  <c:v>9.7637795275590555</c:v>
                </c:pt>
                <c:pt idx="11">
                  <c:v>9.7637795275590555</c:v>
                </c:pt>
                <c:pt idx="12">
                  <c:v>0</c:v>
                </c:pt>
                <c:pt idx="13">
                  <c:v>0</c:v>
                </c:pt>
                <c:pt idx="14">
                  <c:v>13.018372703412075</c:v>
                </c:pt>
                <c:pt idx="15">
                  <c:v>6.5091863517060373</c:v>
                </c:pt>
                <c:pt idx="16">
                  <c:v>3.2545931758530187</c:v>
                </c:pt>
                <c:pt idx="17">
                  <c:v>6.2098589238845152</c:v>
                </c:pt>
                <c:pt idx="18">
                  <c:v>6.8085137795275594</c:v>
                </c:pt>
                <c:pt idx="19">
                  <c:v>6.8085137795275594</c:v>
                </c:pt>
                <c:pt idx="20">
                  <c:v>6.2098589238845152</c:v>
                </c:pt>
                <c:pt idx="21">
                  <c:v>6.8085137795275594</c:v>
                </c:pt>
                <c:pt idx="22">
                  <c:v>6.2098589238845152</c:v>
                </c:pt>
                <c:pt idx="23">
                  <c:v>6.8085137795275594</c:v>
                </c:pt>
                <c:pt idx="24">
                  <c:v>6.2098589238845152</c:v>
                </c:pt>
              </c:numCache>
            </c:numRef>
          </c:xVal>
          <c:yVal>
            <c:numRef>
              <c:f>PV!$G$698:$G$722</c:f>
              <c:numCache>
                <c:formatCode>0</c:formatCode>
                <c:ptCount val="25"/>
                <c:pt idx="0">
                  <c:v>0</c:v>
                </c:pt>
                <c:pt idx="1">
                  <c:v>5.3805774278215219</c:v>
                </c:pt>
                <c:pt idx="2">
                  <c:v>5.3805774278215219</c:v>
                </c:pt>
                <c:pt idx="3">
                  <c:v>-5.3805774278215219</c:v>
                </c:pt>
                <c:pt idx="4">
                  <c:v>-5.3805774278215219</c:v>
                </c:pt>
                <c:pt idx="5">
                  <c:v>5.3805774278215219</c:v>
                </c:pt>
                <c:pt idx="6">
                  <c:v>5.3805774278215219</c:v>
                </c:pt>
                <c:pt idx="7">
                  <c:v>-5.3805774278215219</c:v>
                </c:pt>
                <c:pt idx="8">
                  <c:v>-5.3805774278215219</c:v>
                </c:pt>
                <c:pt idx="9">
                  <c:v>5.3805774278215219</c:v>
                </c:pt>
                <c:pt idx="10">
                  <c:v>5.3805774278215219</c:v>
                </c:pt>
                <c:pt idx="11">
                  <c:v>-5.3805774278215219</c:v>
                </c:pt>
                <c:pt idx="12">
                  <c:v>-5.3805774278215219</c:v>
                </c:pt>
                <c:pt idx="13">
                  <c:v>0</c:v>
                </c:pt>
                <c:pt idx="14">
                  <c:v>0</c:v>
                </c:pt>
                <c:pt idx="15">
                  <c:v>5.3805774278215219</c:v>
                </c:pt>
                <c:pt idx="16">
                  <c:v>5.3805774278215219</c:v>
                </c:pt>
                <c:pt idx="17">
                  <c:v>0.29932742782152227</c:v>
                </c:pt>
                <c:pt idx="18">
                  <c:v>-0.29932742782152227</c:v>
                </c:pt>
                <c:pt idx="19">
                  <c:v>0.29932742782152227</c:v>
                </c:pt>
                <c:pt idx="20">
                  <c:v>-0.29932742782152227</c:v>
                </c:pt>
                <c:pt idx="21">
                  <c:v>2.3909612860892389</c:v>
                </c:pt>
                <c:pt idx="22">
                  <c:v>2.9896161417322831</c:v>
                </c:pt>
                <c:pt idx="23">
                  <c:v>2.9896161417322831</c:v>
                </c:pt>
                <c:pt idx="24">
                  <c:v>2.3909612860892389</c:v>
                </c:pt>
              </c:numCache>
            </c:numRef>
          </c:yVal>
        </c:ser>
        <c:axId val="124934016"/>
        <c:axId val="124935552"/>
      </c:scatterChart>
      <c:valAx>
        <c:axId val="124934016"/>
        <c:scaling>
          <c:orientation val="minMax"/>
        </c:scaling>
        <c:axPos val="b"/>
        <c:majorGridlines/>
        <c:numFmt formatCode="0" sourceLinked="1"/>
        <c:tickLblPos val="nextTo"/>
        <c:crossAx val="124935552"/>
        <c:crossesAt val="-100"/>
        <c:crossBetween val="midCat"/>
        <c:majorUnit val="1"/>
      </c:valAx>
      <c:valAx>
        <c:axId val="124935552"/>
        <c:scaling>
          <c:orientation val="minMax"/>
        </c:scaling>
        <c:axPos val="l"/>
        <c:majorGridlines/>
        <c:numFmt formatCode="0" sourceLinked="1"/>
        <c:tickLblPos val="nextTo"/>
        <c:crossAx val="124934016"/>
        <c:crossesAt val="-100"/>
        <c:crossBetween val="midCat"/>
        <c:majorUnit val="1"/>
      </c:valAx>
      <c:spPr>
        <a:solidFill>
          <a:srgbClr val="F5FFF5"/>
        </a:solidFill>
      </c:spPr>
    </c:plotArea>
    <c:plotVisOnly val="1"/>
  </c:chart>
  <c:printSettings>
    <c:headerFooter/>
    <c:pageMargins b="0.75000000000001332" l="0.70000000000000062" r="0.70000000000000062" t="0.7500000000000133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0101840436438786E-2"/>
          <c:y val="2.2540705281921918E-2"/>
          <c:w val="0.89084316268109165"/>
          <c:h val="0.76632880189324371"/>
        </c:manualLayout>
      </c:layout>
      <c:scatterChart>
        <c:scatterStyle val="lineMarker"/>
        <c:ser>
          <c:idx val="0"/>
          <c:order val="0"/>
          <c:spPr>
            <a:ln w="38100">
              <a:solidFill>
                <a:srgbClr val="C00000"/>
              </a:solidFill>
            </a:ln>
          </c:spPr>
          <c:marker>
            <c:symbol val="none"/>
          </c:marker>
          <c:dPt>
            <c:idx val="1"/>
            <c:marker>
              <c:symbol val="circle"/>
              <c:size val="3"/>
            </c:marker>
            <c:spPr>
              <a:ln w="38100">
                <a:solidFill>
                  <a:srgbClr val="C88C14"/>
                </a:solidFill>
              </a:ln>
            </c:spPr>
          </c:dPt>
          <c:dPt>
            <c:idx val="2"/>
            <c:spPr>
              <a:ln w="38100">
                <a:solidFill>
                  <a:srgbClr val="F078E6"/>
                </a:solidFill>
              </a:ln>
            </c:spPr>
          </c:dPt>
          <c:dPt>
            <c:idx val="3"/>
            <c:spPr>
              <a:ln w="38100">
                <a:solidFill>
                  <a:srgbClr val="00FF00"/>
                </a:solidFill>
              </a:ln>
            </c:spPr>
          </c:dPt>
          <c:dPt>
            <c:idx val="4"/>
            <c:spPr>
              <a:ln w="38100">
                <a:solidFill>
                  <a:srgbClr val="00FF00"/>
                </a:solidFill>
              </a:ln>
            </c:spPr>
          </c:dPt>
          <c:dPt>
            <c:idx val="5"/>
            <c:marker>
              <c:symbol val="circle"/>
              <c:size val="3"/>
              <c:spPr>
                <a:solidFill>
                  <a:srgbClr val="4F81BD"/>
                </a:solidFill>
              </c:spPr>
            </c:marker>
            <c:spPr>
              <a:ln w="38100">
                <a:solidFill>
                  <a:srgbClr val="F078E6"/>
                </a:solidFill>
              </a:ln>
            </c:spPr>
          </c:dPt>
          <c:dPt>
            <c:idx val="6"/>
            <c:marker>
              <c:symbol val="circle"/>
              <c:size val="3"/>
            </c:marker>
            <c:spPr>
              <a:ln w="38100">
                <a:solidFill>
                  <a:srgbClr val="C88C14"/>
                </a:solidFill>
              </a:ln>
            </c:spPr>
          </c:dPt>
          <c:dPt>
            <c:idx val="7"/>
            <c:spPr>
              <a:ln w="38100">
                <a:solidFill>
                  <a:srgbClr val="C88C14"/>
                </a:solidFill>
              </a:ln>
            </c:spPr>
          </c:dPt>
          <c:dPt>
            <c:idx val="8"/>
            <c:spPr>
              <a:ln w="38100">
                <a:noFill/>
              </a:ln>
            </c:spPr>
          </c:dPt>
          <c:dPt>
            <c:idx val="9"/>
            <c:spPr>
              <a:ln w="38100">
                <a:noFill/>
              </a:ln>
            </c:spPr>
          </c:dPt>
          <c:dPt>
            <c:idx val="10"/>
            <c:spPr>
              <a:ln w="38100">
                <a:solidFill>
                  <a:srgbClr val="00B4FF"/>
                </a:solidFill>
              </a:ln>
            </c:spPr>
          </c:dPt>
          <c:dPt>
            <c:idx val="11"/>
            <c:spPr>
              <a:ln w="38100">
                <a:solidFill>
                  <a:srgbClr val="00B4FF"/>
                </a:solidFill>
              </a:ln>
            </c:spPr>
          </c:dPt>
          <c:dPt>
            <c:idx val="12"/>
            <c:spPr>
              <a:ln w="38100">
                <a:solidFill>
                  <a:srgbClr val="00B4FF"/>
                </a:solidFill>
              </a:ln>
            </c:spPr>
          </c:dPt>
          <c:dPt>
            <c:idx val="13"/>
            <c:spPr>
              <a:ln w="38100">
                <a:noFill/>
              </a:ln>
            </c:spPr>
          </c:dPt>
          <c:dPt>
            <c:idx val="14"/>
            <c:spPr>
              <a:ln w="38100">
                <a:noFill/>
              </a:ln>
            </c:spPr>
          </c:dPt>
          <c:dPt>
            <c:idx val="15"/>
            <c:spPr>
              <a:ln w="38100">
                <a:solidFill>
                  <a:srgbClr val="FF0000"/>
                </a:solidFill>
              </a:ln>
            </c:spPr>
          </c:dPt>
          <c:dPt>
            <c:idx val="16"/>
            <c:spPr>
              <a:ln w="38100">
                <a:solidFill>
                  <a:srgbClr val="FF0000"/>
                </a:solidFill>
              </a:ln>
            </c:spPr>
          </c:dPt>
          <c:dPt>
            <c:idx val="17"/>
            <c:spPr>
              <a:ln w="38100">
                <a:solidFill>
                  <a:srgbClr val="FF0000"/>
                </a:solidFill>
              </a:ln>
            </c:spPr>
          </c:dPt>
          <c:dPt>
            <c:idx val="18"/>
            <c:spPr>
              <a:ln w="38100">
                <a:noFill/>
              </a:ln>
            </c:spPr>
          </c:dPt>
          <c:dPt>
            <c:idx val="19"/>
            <c:spPr>
              <a:ln w="38100">
                <a:noFill/>
              </a:ln>
            </c:spPr>
          </c:dPt>
          <c:dPt>
            <c:idx val="20"/>
            <c:spPr>
              <a:ln w="38100">
                <a:noFill/>
              </a:ln>
            </c:spPr>
          </c:dPt>
          <c:dPt>
            <c:idx val="21"/>
            <c:spPr>
              <a:ln w="38100">
                <a:solidFill>
                  <a:srgbClr val="00B4FF"/>
                </a:solidFill>
              </a:ln>
            </c:spPr>
          </c:dPt>
          <c:dPt>
            <c:idx val="22"/>
            <c:spPr>
              <a:ln w="38100">
                <a:solidFill>
                  <a:srgbClr val="00B4FF"/>
                </a:solidFill>
              </a:ln>
            </c:spPr>
          </c:dPt>
          <c:dPt>
            <c:idx val="23"/>
            <c:spPr>
              <a:ln w="38100">
                <a:solidFill>
                  <a:srgbClr val="00B4FF"/>
                </a:solidFill>
              </a:ln>
            </c:spPr>
          </c:dPt>
          <c:dPt>
            <c:idx val="24"/>
            <c:spPr>
              <a:ln w="38100">
                <a:solidFill>
                  <a:srgbClr val="00B4FF"/>
                </a:solidFill>
              </a:ln>
            </c:spPr>
          </c:dPt>
          <c:dPt>
            <c:idx val="25"/>
            <c:spPr>
              <a:ln w="38100">
                <a:solidFill>
                  <a:srgbClr val="00B4FF"/>
                </a:solidFill>
              </a:ln>
            </c:spPr>
          </c:dPt>
          <c:dPt>
            <c:idx val="26"/>
            <c:spPr>
              <a:ln w="38100">
                <a:solidFill>
                  <a:srgbClr val="00B4FF"/>
                </a:solidFill>
              </a:ln>
            </c:spPr>
          </c:dPt>
          <c:dPt>
            <c:idx val="27"/>
            <c:spPr>
              <a:ln w="38100">
                <a:solidFill>
                  <a:srgbClr val="00B4FF"/>
                </a:solidFill>
              </a:ln>
            </c:spPr>
          </c:dPt>
          <c:dPt>
            <c:idx val="28"/>
            <c:spPr>
              <a:ln w="38100">
                <a:solidFill>
                  <a:srgbClr val="FF0000"/>
                </a:solidFill>
              </a:ln>
            </c:spPr>
          </c:dPt>
          <c:dPt>
            <c:idx val="29"/>
            <c:spPr>
              <a:ln w="38100">
                <a:solidFill>
                  <a:srgbClr val="00B0F0"/>
                </a:solidFill>
              </a:ln>
            </c:spPr>
          </c:dPt>
          <c:dPt>
            <c:idx val="30"/>
            <c:spPr>
              <a:ln w="38100">
                <a:solidFill>
                  <a:schemeClr val="tx1"/>
                </a:solidFill>
              </a:ln>
            </c:spPr>
          </c:dPt>
          <c:dPt>
            <c:idx val="31"/>
            <c:marker>
              <c:symbol val="circle"/>
              <c:size val="5"/>
              <c:spPr>
                <a:solidFill>
                  <a:srgbClr val="FFB4E6"/>
                </a:solidFill>
              </c:spPr>
            </c:marker>
            <c:spPr>
              <a:ln w="38100">
                <a:solidFill>
                  <a:schemeClr val="tx1"/>
                </a:solidFill>
              </a:ln>
            </c:spPr>
          </c:dPt>
          <c:dPt>
            <c:idx val="32"/>
            <c:spPr>
              <a:ln w="38100">
                <a:solidFill>
                  <a:srgbClr val="00B0F0"/>
                </a:solidFill>
              </a:ln>
            </c:spPr>
          </c:dPt>
          <c:dPt>
            <c:idx val="33"/>
            <c:spPr>
              <a:ln w="38100">
                <a:solidFill>
                  <a:schemeClr val="tx1"/>
                </a:solidFill>
              </a:ln>
            </c:spPr>
          </c:dPt>
          <c:dPt>
            <c:idx val="34"/>
            <c:marker>
              <c:symbol val="circle"/>
              <c:size val="5"/>
              <c:spPr>
                <a:solidFill>
                  <a:srgbClr val="00B0F0"/>
                </a:solidFill>
              </c:spPr>
            </c:marker>
            <c:spPr>
              <a:ln w="38100">
                <a:solidFill>
                  <a:schemeClr val="tx1"/>
                </a:solidFill>
              </a:ln>
            </c:spPr>
          </c:dPt>
          <c:dPt>
            <c:idx val="35"/>
            <c:spPr>
              <a:ln w="38100">
                <a:solidFill>
                  <a:srgbClr val="00B0F0"/>
                </a:solidFill>
              </a:ln>
            </c:spPr>
          </c:dPt>
          <c:dPt>
            <c:idx val="36"/>
            <c:spPr>
              <a:ln w="38100">
                <a:solidFill>
                  <a:schemeClr val="tx1"/>
                </a:solidFill>
              </a:ln>
            </c:spPr>
          </c:dPt>
          <c:dPt>
            <c:idx val="37"/>
            <c:spPr>
              <a:ln w="38100">
                <a:solidFill>
                  <a:schemeClr val="tx1"/>
                </a:solidFill>
              </a:ln>
            </c:spPr>
          </c:dPt>
          <c:dPt>
            <c:idx val="38"/>
            <c:spPr>
              <a:ln w="38100">
                <a:solidFill>
                  <a:srgbClr val="00B050"/>
                </a:solidFill>
              </a:ln>
            </c:spPr>
          </c:dPt>
          <c:dPt>
            <c:idx val="39"/>
            <c:spPr>
              <a:ln w="38100">
                <a:solidFill>
                  <a:srgbClr val="00B050"/>
                </a:solidFill>
              </a:ln>
            </c:spPr>
          </c:dPt>
          <c:dPt>
            <c:idx val="40"/>
            <c:spPr>
              <a:ln w="38100">
                <a:solidFill>
                  <a:schemeClr val="tx1"/>
                </a:solidFill>
              </a:ln>
            </c:spPr>
          </c:dPt>
          <c:dPt>
            <c:idx val="41"/>
            <c:spPr>
              <a:ln w="38100">
                <a:solidFill>
                  <a:schemeClr val="tx1"/>
                </a:solidFill>
              </a:ln>
            </c:spPr>
          </c:dPt>
          <c:dPt>
            <c:idx val="42"/>
            <c:spPr>
              <a:ln w="38100">
                <a:solidFill>
                  <a:srgbClr val="00B050"/>
                </a:solidFill>
              </a:ln>
            </c:spPr>
          </c:dPt>
          <c:dPt>
            <c:idx val="43"/>
            <c:spPr>
              <a:ln w="38100">
                <a:solidFill>
                  <a:srgbClr val="00B050"/>
                </a:solidFill>
              </a:ln>
            </c:spPr>
          </c:dPt>
          <c:dPt>
            <c:idx val="44"/>
            <c:spPr>
              <a:ln w="38100">
                <a:solidFill>
                  <a:schemeClr val="tx1"/>
                </a:solidFill>
              </a:ln>
            </c:spPr>
          </c:dPt>
          <c:dPt>
            <c:idx val="45"/>
            <c:spPr>
              <a:ln w="38100">
                <a:solidFill>
                  <a:schemeClr val="tx1"/>
                </a:solidFill>
              </a:ln>
            </c:spPr>
          </c:dPt>
          <c:dPt>
            <c:idx val="46"/>
            <c:spPr>
              <a:ln w="38100">
                <a:solidFill>
                  <a:srgbClr val="00B050"/>
                </a:solidFill>
              </a:ln>
            </c:spPr>
          </c:dPt>
          <c:dPt>
            <c:idx val="47"/>
            <c:spPr>
              <a:ln w="38100">
                <a:solidFill>
                  <a:srgbClr val="00B050"/>
                </a:solidFill>
              </a:ln>
            </c:spPr>
          </c:dPt>
          <c:dPt>
            <c:idx val="48"/>
            <c:spPr>
              <a:ln w="38100">
                <a:solidFill>
                  <a:schemeClr val="tx1"/>
                </a:solidFill>
              </a:ln>
            </c:spPr>
          </c:dPt>
          <c:dPt>
            <c:idx val="49"/>
            <c:marker>
              <c:symbol val="circle"/>
              <c:size val="5"/>
              <c:spPr>
                <a:solidFill>
                  <a:srgbClr val="FFB4E6"/>
                </a:solidFill>
              </c:spPr>
            </c:marker>
            <c:spPr>
              <a:ln w="38100">
                <a:solidFill>
                  <a:schemeClr val="tx1"/>
                </a:solidFill>
              </a:ln>
            </c:spPr>
          </c:dPt>
          <c:dPt>
            <c:idx val="50"/>
            <c:spPr>
              <a:ln w="38100">
                <a:solidFill>
                  <a:srgbClr val="00B050"/>
                </a:solidFill>
              </a:ln>
            </c:spPr>
          </c:dPt>
          <c:dPt>
            <c:idx val="51"/>
            <c:spPr>
              <a:ln w="38100">
                <a:solidFill>
                  <a:schemeClr val="tx1"/>
                </a:solidFill>
              </a:ln>
            </c:spPr>
          </c:dPt>
          <c:dPt>
            <c:idx val="52"/>
            <c:marker>
              <c:symbol val="circle"/>
              <c:size val="5"/>
              <c:spPr>
                <a:solidFill>
                  <a:srgbClr val="00B050"/>
                </a:solidFill>
              </c:spPr>
            </c:marker>
            <c:spPr>
              <a:ln w="38100">
                <a:solidFill>
                  <a:schemeClr val="tx1"/>
                </a:solidFill>
              </a:ln>
            </c:spPr>
          </c:dPt>
          <c:dPt>
            <c:idx val="53"/>
            <c:spPr>
              <a:ln w="38100">
                <a:solidFill>
                  <a:srgbClr val="00B050"/>
                </a:solidFill>
              </a:ln>
            </c:spPr>
          </c:dPt>
          <c:dPt>
            <c:idx val="54"/>
            <c:spPr>
              <a:ln w="38100">
                <a:solidFill>
                  <a:schemeClr val="tx1"/>
                </a:solidFill>
              </a:ln>
            </c:spPr>
          </c:dPt>
          <c:dPt>
            <c:idx val="55"/>
            <c:spPr>
              <a:ln w="38100">
                <a:solidFill>
                  <a:schemeClr val="tx1"/>
                </a:solidFill>
              </a:ln>
            </c:spPr>
          </c:dPt>
          <c:dPt>
            <c:idx val="56"/>
            <c:spPr>
              <a:ln w="38100">
                <a:solidFill>
                  <a:schemeClr val="tx1"/>
                </a:solidFill>
              </a:ln>
            </c:spPr>
          </c:dPt>
          <c:dPt>
            <c:idx val="57"/>
            <c:spPr>
              <a:ln w="38100">
                <a:solidFill>
                  <a:srgbClr val="FF0000"/>
                </a:solidFill>
              </a:ln>
            </c:spPr>
          </c:dPt>
          <c:dPt>
            <c:idx val="58"/>
            <c:spPr>
              <a:ln w="38100">
                <a:solidFill>
                  <a:schemeClr val="tx1"/>
                </a:solidFill>
              </a:ln>
            </c:spPr>
          </c:dPt>
          <c:dPt>
            <c:idx val="59"/>
            <c:spPr>
              <a:ln w="38100">
                <a:solidFill>
                  <a:schemeClr val="tx1"/>
                </a:solidFill>
              </a:ln>
            </c:spPr>
          </c:dPt>
          <c:dPt>
            <c:idx val="60"/>
            <c:spPr>
              <a:ln w="38100">
                <a:solidFill>
                  <a:srgbClr val="FF0000"/>
                </a:solidFill>
              </a:ln>
            </c:spPr>
          </c:dPt>
          <c:dPt>
            <c:idx val="61"/>
            <c:spPr>
              <a:ln w="38100">
                <a:solidFill>
                  <a:srgbClr val="FF0000"/>
                </a:solidFill>
              </a:ln>
            </c:spPr>
          </c:dPt>
          <c:dPt>
            <c:idx val="62"/>
            <c:spPr>
              <a:ln w="38100">
                <a:solidFill>
                  <a:schemeClr val="tx1"/>
                </a:solidFill>
              </a:ln>
            </c:spPr>
          </c:dPt>
          <c:dPt>
            <c:idx val="63"/>
            <c:spPr>
              <a:ln w="38100">
                <a:solidFill>
                  <a:schemeClr val="tx1"/>
                </a:solidFill>
              </a:ln>
            </c:spPr>
          </c:dPt>
          <c:dPt>
            <c:idx val="64"/>
            <c:spPr>
              <a:ln w="38100">
                <a:solidFill>
                  <a:srgbClr val="FF0000"/>
                </a:solidFill>
              </a:ln>
            </c:spPr>
          </c:dPt>
          <c:dPt>
            <c:idx val="65"/>
            <c:spPr>
              <a:ln w="38100">
                <a:solidFill>
                  <a:srgbClr val="FF0000"/>
                </a:solidFill>
              </a:ln>
            </c:spPr>
          </c:dPt>
          <c:dPt>
            <c:idx val="66"/>
            <c:spPr>
              <a:ln w="38100">
                <a:solidFill>
                  <a:schemeClr val="tx1"/>
                </a:solidFill>
              </a:ln>
            </c:spPr>
          </c:dPt>
          <c:dPt>
            <c:idx val="67"/>
            <c:marker>
              <c:symbol val="circle"/>
              <c:size val="5"/>
              <c:spPr>
                <a:solidFill>
                  <a:srgbClr val="FFB4E6"/>
                </a:solidFill>
              </c:spPr>
            </c:marker>
            <c:spPr>
              <a:ln w="38100">
                <a:solidFill>
                  <a:schemeClr val="tx1"/>
                </a:solidFill>
              </a:ln>
            </c:spPr>
          </c:dPt>
          <c:dPt>
            <c:idx val="68"/>
            <c:spPr>
              <a:ln w="38100">
                <a:solidFill>
                  <a:srgbClr val="FF0000"/>
                </a:solidFill>
              </a:ln>
            </c:spPr>
          </c:dPt>
          <c:dPt>
            <c:idx val="69"/>
            <c:spPr>
              <a:ln w="38100">
                <a:solidFill>
                  <a:schemeClr val="tx1"/>
                </a:solidFill>
              </a:ln>
            </c:spPr>
          </c:dPt>
          <c:dPt>
            <c:idx val="70"/>
            <c:marker>
              <c:symbol val="circle"/>
              <c:size val="5"/>
              <c:spPr>
                <a:solidFill>
                  <a:srgbClr val="FF0000"/>
                </a:solidFill>
              </c:spPr>
            </c:marker>
            <c:spPr>
              <a:ln w="38100">
                <a:solidFill>
                  <a:schemeClr val="tx1"/>
                </a:solidFill>
              </a:ln>
            </c:spPr>
          </c:dPt>
          <c:dPt>
            <c:idx val="71"/>
            <c:spPr>
              <a:ln w="38100">
                <a:solidFill>
                  <a:srgbClr val="FF0000"/>
                </a:solidFill>
              </a:ln>
            </c:spPr>
          </c:dPt>
          <c:xVal>
            <c:numRef>
              <c:f>(Main!$E$67:$E$85,Main!$E$86:$E$94)</c:f>
              <c:numCache>
                <c:formatCode>0</c:formatCode>
                <c:ptCount val="28"/>
                <c:pt idx="0">
                  <c:v>0</c:v>
                </c:pt>
                <c:pt idx="1">
                  <c:v>0</c:v>
                </c:pt>
                <c:pt idx="2">
                  <c:v>0.78018372703411143</c:v>
                </c:pt>
                <c:pt idx="3">
                  <c:v>8.9999999999999929</c:v>
                </c:pt>
                <c:pt idx="4">
                  <c:v>17.219816272965872</c:v>
                </c:pt>
                <c:pt idx="5">
                  <c:v>17.999999999999982</c:v>
                </c:pt>
                <c:pt idx="6">
                  <c:v>17.999999999999982</c:v>
                </c:pt>
                <c:pt idx="7">
                  <c:v>17.999999999999982</c:v>
                </c:pt>
                <c:pt idx="8">
                  <c:v>0</c:v>
                </c:pt>
                <c:pt idx="9">
                  <c:v>0.78018372703411143</c:v>
                </c:pt>
                <c:pt idx="10">
                  <c:v>0.78018372703411143</c:v>
                </c:pt>
                <c:pt idx="11">
                  <c:v>17.219816272965872</c:v>
                </c:pt>
                <c:pt idx="12">
                  <c:v>17.219816272965872</c:v>
                </c:pt>
                <c:pt idx="13">
                  <c:v>0</c:v>
                </c:pt>
                <c:pt idx="14">
                  <c:v>0.78018372703411143</c:v>
                </c:pt>
                <c:pt idx="15">
                  <c:v>0.78018372703411143</c:v>
                </c:pt>
                <c:pt idx="16">
                  <c:v>17.219816272965872</c:v>
                </c:pt>
                <c:pt idx="17">
                  <c:v>17.219816272965872</c:v>
                </c:pt>
                <c:pt idx="18">
                  <c:v>0</c:v>
                </c:pt>
                <c:pt idx="19">
                  <c:v>8.9999999999999929</c:v>
                </c:pt>
                <c:pt idx="20">
                  <c:v>0.7801837270341121</c:v>
                </c:pt>
                <c:pt idx="21">
                  <c:v>0.78018372703411243</c:v>
                </c:pt>
                <c:pt idx="22">
                  <c:v>0.78018372703411243</c:v>
                </c:pt>
                <c:pt idx="23">
                  <c:v>17.219816272965875</c:v>
                </c:pt>
                <c:pt idx="24">
                  <c:v>17.219816272965875</c:v>
                </c:pt>
                <c:pt idx="25">
                  <c:v>0.78018372703411387</c:v>
                </c:pt>
                <c:pt idx="26">
                  <c:v>0.78018372703411387</c:v>
                </c:pt>
                <c:pt idx="27">
                  <c:v>0.7801837270341121</c:v>
                </c:pt>
              </c:numCache>
            </c:numRef>
          </c:xVal>
          <c:yVal>
            <c:numRef>
              <c:f>(Main!$F$67:$F$85,Main!$F$86:$F$94)</c:f>
              <c:numCache>
                <c:formatCode>0</c:formatCode>
                <c:ptCount val="28"/>
                <c:pt idx="0">
                  <c:v>0</c:v>
                </c:pt>
                <c:pt idx="1">
                  <c:v>7.401410761154855</c:v>
                </c:pt>
                <c:pt idx="2">
                  <c:v>7.401410761154855</c:v>
                </c:pt>
                <c:pt idx="3">
                  <c:v>7.401410761154855</c:v>
                </c:pt>
                <c:pt idx="4">
                  <c:v>7.401410761154855</c:v>
                </c:pt>
                <c:pt idx="5">
                  <c:v>7.401410761154855</c:v>
                </c:pt>
                <c:pt idx="6">
                  <c:v>7.401410761154855</c:v>
                </c:pt>
                <c:pt idx="7">
                  <c:v>0</c:v>
                </c:pt>
                <c:pt idx="8">
                  <c:v>0</c:v>
                </c:pt>
                <c:pt idx="9">
                  <c:v>7.401410761154855</c:v>
                </c:pt>
                <c:pt idx="10">
                  <c:v>7.401410761154855</c:v>
                </c:pt>
                <c:pt idx="11">
                  <c:v>7.401410761154855</c:v>
                </c:pt>
                <c:pt idx="12">
                  <c:v>7.401410761154855</c:v>
                </c:pt>
                <c:pt idx="13">
                  <c:v>0</c:v>
                </c:pt>
                <c:pt idx="14">
                  <c:v>7.401410761154855</c:v>
                </c:pt>
                <c:pt idx="15">
                  <c:v>7.401410761154855</c:v>
                </c:pt>
                <c:pt idx="16">
                  <c:v>7.401410761154855</c:v>
                </c:pt>
                <c:pt idx="17">
                  <c:v>7.401410761154855</c:v>
                </c:pt>
                <c:pt idx="18">
                  <c:v>0</c:v>
                </c:pt>
                <c:pt idx="19">
                  <c:v>7.401410761154855</c:v>
                </c:pt>
                <c:pt idx="20">
                  <c:v>7.401410761154855</c:v>
                </c:pt>
                <c:pt idx="21">
                  <c:v>12.80282152230971</c:v>
                </c:pt>
                <c:pt idx="22">
                  <c:v>12.80282152230971</c:v>
                </c:pt>
                <c:pt idx="23">
                  <c:v>12.80282152230971</c:v>
                </c:pt>
                <c:pt idx="24">
                  <c:v>2</c:v>
                </c:pt>
                <c:pt idx="25">
                  <c:v>2</c:v>
                </c:pt>
                <c:pt idx="26">
                  <c:v>2</c:v>
                </c:pt>
                <c:pt idx="27">
                  <c:v>7.401410761154855</c:v>
                </c:pt>
              </c:numCache>
            </c:numRef>
          </c:yVal>
        </c:ser>
        <c:axId val="114396160"/>
        <c:axId val="114402048"/>
      </c:scatterChart>
      <c:valAx>
        <c:axId val="114396160"/>
        <c:scaling>
          <c:orientation val="minMax"/>
        </c:scaling>
        <c:axPos val="b"/>
        <c:majorGridlines/>
        <c:numFmt formatCode="0" sourceLinked="1"/>
        <c:tickLblPos val="nextTo"/>
        <c:spPr>
          <a:ln w="0">
            <a:noFill/>
          </a:ln>
          <a:effectLst>
            <a:outerShdw blurRad="50800" dist="50800" dir="5400000" algn="ctr" rotWithShape="0">
              <a:srgbClr val="000000"/>
            </a:outerShdw>
          </a:effectLst>
        </c:spPr>
        <c:crossAx val="114402048"/>
        <c:crossesAt val="-100"/>
        <c:crossBetween val="midCat"/>
        <c:majorUnit val="2"/>
      </c:valAx>
      <c:valAx>
        <c:axId val="114402048"/>
        <c:scaling>
          <c:orientation val="minMax"/>
        </c:scaling>
        <c:axPos val="l"/>
        <c:majorGridlines/>
        <c:numFmt formatCode="0" sourceLinked="1"/>
        <c:tickLblPos val="nextTo"/>
        <c:spPr>
          <a:ln w="0">
            <a:noFill/>
          </a:ln>
        </c:spPr>
        <c:crossAx val="114396160"/>
        <c:crossesAt val="-100"/>
        <c:crossBetween val="midCat"/>
        <c:majorUnit val="2"/>
      </c:valAx>
      <c:spPr>
        <a:gradFill>
          <a:gsLst>
            <a:gs pos="0">
              <a:srgbClr val="C4D6EB"/>
            </a:gs>
            <a:gs pos="100000">
              <a:srgbClr val="FFEBFA"/>
            </a:gs>
          </a:gsLst>
          <a:lin ang="5400000" scaled="0"/>
        </a:gradFill>
        <a:ln>
          <a:noFill/>
        </a:ln>
      </c:spPr>
    </c:plotArea>
    <c:plotVisOnly val="1"/>
  </c:chart>
  <c:printSettings>
    <c:headerFooter/>
    <c:pageMargins b="0.75000000000001288" l="0.70000000000000062" r="0.70000000000000062" t="0.75000000000001288"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2.5617651452105081E-2"/>
          <c:y val="3.0897559171273695E-2"/>
          <c:w val="0.95938576275526444"/>
          <c:h val="0.88528871391076058"/>
        </c:manualLayout>
      </c:layout>
      <c:scatterChart>
        <c:scatterStyle val="lineMarker"/>
        <c:ser>
          <c:idx val="0"/>
          <c:order val="0"/>
          <c:spPr>
            <a:ln>
              <a:solidFill>
                <a:srgbClr val="00B4FF"/>
              </a:solidFill>
            </a:ln>
          </c:spPr>
          <c:marker>
            <c:symbol val="none"/>
          </c:marker>
          <c:dPt>
            <c:idx val="15"/>
            <c:spPr>
              <a:ln>
                <a:noFill/>
              </a:ln>
            </c:spPr>
          </c:dPt>
          <c:dPt>
            <c:idx val="17"/>
            <c:spPr>
              <a:ln>
                <a:noFill/>
              </a:ln>
            </c:spPr>
          </c:dPt>
          <c:dPt>
            <c:idx val="18"/>
            <c:spPr>
              <a:ln>
                <a:solidFill>
                  <a:srgbClr val="FF0000"/>
                </a:solidFill>
              </a:ln>
            </c:spPr>
          </c:dPt>
          <c:dPt>
            <c:idx val="19"/>
            <c:spPr>
              <a:ln>
                <a:noFill/>
              </a:ln>
            </c:spPr>
          </c:dPt>
          <c:dPt>
            <c:idx val="20"/>
            <c:spPr>
              <a:ln>
                <a:solidFill>
                  <a:srgbClr val="FF0000"/>
                </a:solidFill>
              </a:ln>
            </c:spPr>
          </c:dPt>
          <c:dPt>
            <c:idx val="21"/>
            <c:spPr>
              <a:ln>
                <a:noFill/>
              </a:ln>
            </c:spPr>
          </c:dPt>
          <c:dPt>
            <c:idx val="22"/>
            <c:spPr>
              <a:ln>
                <a:solidFill>
                  <a:srgbClr val="FF0000"/>
                </a:solidFill>
              </a:ln>
            </c:spPr>
          </c:dPt>
          <c:dPt>
            <c:idx val="23"/>
            <c:spPr>
              <a:ln>
                <a:noFill/>
              </a:ln>
            </c:spPr>
          </c:dPt>
          <c:dPt>
            <c:idx val="24"/>
            <c:spPr>
              <a:ln>
                <a:solidFill>
                  <a:srgbClr val="FF0000"/>
                </a:solidFill>
              </a:ln>
            </c:spPr>
          </c:dPt>
          <c:xVal>
            <c:numRef>
              <c:f>PV!$F$730:$F$754</c:f>
              <c:numCache>
                <c:formatCode>0</c:formatCode>
                <c:ptCount val="25"/>
                <c:pt idx="0">
                  <c:v>0</c:v>
                </c:pt>
                <c:pt idx="1">
                  <c:v>0</c:v>
                </c:pt>
                <c:pt idx="2">
                  <c:v>5.3805774278215219</c:v>
                </c:pt>
                <c:pt idx="3">
                  <c:v>5.3805774278215219</c:v>
                </c:pt>
                <c:pt idx="4">
                  <c:v>10.761154855643044</c:v>
                </c:pt>
                <c:pt idx="5">
                  <c:v>10.761154855643044</c:v>
                </c:pt>
                <c:pt idx="6">
                  <c:v>16.141732283464567</c:v>
                </c:pt>
                <c:pt idx="7">
                  <c:v>16.141732283464567</c:v>
                </c:pt>
                <c:pt idx="8">
                  <c:v>21.522309711286088</c:v>
                </c:pt>
                <c:pt idx="9">
                  <c:v>21.522309711286088</c:v>
                </c:pt>
                <c:pt idx="10">
                  <c:v>26.902887139107609</c:v>
                </c:pt>
                <c:pt idx="11">
                  <c:v>26.902887139107609</c:v>
                </c:pt>
                <c:pt idx="12">
                  <c:v>0</c:v>
                </c:pt>
                <c:pt idx="13">
                  <c:v>0</c:v>
                </c:pt>
                <c:pt idx="14">
                  <c:v>26.902887139107609</c:v>
                </c:pt>
                <c:pt idx="15">
                  <c:v>0</c:v>
                </c:pt>
                <c:pt idx="16">
                  <c:v>26.902887139107609</c:v>
                </c:pt>
                <c:pt idx="17">
                  <c:v>13.031188484251967</c:v>
                </c:pt>
                <c:pt idx="18">
                  <c:v>13.871698654855642</c:v>
                </c:pt>
                <c:pt idx="19">
                  <c:v>13.871698654855642</c:v>
                </c:pt>
                <c:pt idx="20">
                  <c:v>13.031188484251967</c:v>
                </c:pt>
                <c:pt idx="21">
                  <c:v>13.871698654855642</c:v>
                </c:pt>
                <c:pt idx="22">
                  <c:v>13.031188484251967</c:v>
                </c:pt>
                <c:pt idx="23">
                  <c:v>13.871698654855642</c:v>
                </c:pt>
                <c:pt idx="24">
                  <c:v>13.031188484251967</c:v>
                </c:pt>
              </c:numCache>
            </c:numRef>
          </c:xVal>
          <c:yVal>
            <c:numRef>
              <c:f>PV!$G$730:$G$754</c:f>
              <c:numCache>
                <c:formatCode>0</c:formatCode>
                <c:ptCount val="25"/>
                <c:pt idx="0">
                  <c:v>0</c:v>
                </c:pt>
                <c:pt idx="1">
                  <c:v>3.2545931758530187</c:v>
                </c:pt>
                <c:pt idx="2">
                  <c:v>3.2545931758530187</c:v>
                </c:pt>
                <c:pt idx="3">
                  <c:v>-3.2545931758530187</c:v>
                </c:pt>
                <c:pt idx="4">
                  <c:v>-3.2545931758530187</c:v>
                </c:pt>
                <c:pt idx="5">
                  <c:v>3.2545931758530187</c:v>
                </c:pt>
                <c:pt idx="6">
                  <c:v>3.2545931758530187</c:v>
                </c:pt>
                <c:pt idx="7">
                  <c:v>-3.2545931758530187</c:v>
                </c:pt>
                <c:pt idx="8">
                  <c:v>-3.2545931758530187</c:v>
                </c:pt>
                <c:pt idx="9">
                  <c:v>3.2545931758530187</c:v>
                </c:pt>
                <c:pt idx="10">
                  <c:v>3.2545931758530187</c:v>
                </c:pt>
                <c:pt idx="11">
                  <c:v>-3.2545931758530187</c:v>
                </c:pt>
                <c:pt idx="12">
                  <c:v>-3.2545931758530187</c:v>
                </c:pt>
                <c:pt idx="13">
                  <c:v>3.2545931758530187</c:v>
                </c:pt>
                <c:pt idx="14">
                  <c:v>3.2545931758530187</c:v>
                </c:pt>
                <c:pt idx="15">
                  <c:v>0</c:v>
                </c:pt>
                <c:pt idx="16">
                  <c:v>0</c:v>
                </c:pt>
                <c:pt idx="17">
                  <c:v>0.42025508530183731</c:v>
                </c:pt>
                <c:pt idx="18">
                  <c:v>-0.42025508530183731</c:v>
                </c:pt>
                <c:pt idx="19">
                  <c:v>0.42025508530183731</c:v>
                </c:pt>
                <c:pt idx="20">
                  <c:v>-0.42025508530183731</c:v>
                </c:pt>
                <c:pt idx="21">
                  <c:v>1.2070415026246719</c:v>
                </c:pt>
                <c:pt idx="22">
                  <c:v>2.0475516732283467</c:v>
                </c:pt>
                <c:pt idx="23">
                  <c:v>2.0475516732283467</c:v>
                </c:pt>
                <c:pt idx="24">
                  <c:v>1.2070415026246719</c:v>
                </c:pt>
              </c:numCache>
            </c:numRef>
          </c:yVal>
        </c:ser>
        <c:axId val="124970880"/>
        <c:axId val="124972416"/>
      </c:scatterChart>
      <c:valAx>
        <c:axId val="124970880"/>
        <c:scaling>
          <c:orientation val="minMax"/>
          <c:max val="28"/>
          <c:min val="-1"/>
        </c:scaling>
        <c:axPos val="b"/>
        <c:majorGridlines/>
        <c:numFmt formatCode="0" sourceLinked="1"/>
        <c:majorTickMark val="none"/>
        <c:minorTickMark val="in"/>
        <c:tickLblPos val="nextTo"/>
        <c:crossAx val="124972416"/>
        <c:crossesAt val="-100"/>
        <c:crossBetween val="midCat"/>
        <c:majorUnit val="1"/>
        <c:minorUnit val="1"/>
      </c:valAx>
      <c:valAx>
        <c:axId val="124972416"/>
        <c:scaling>
          <c:orientation val="minMax"/>
        </c:scaling>
        <c:axPos val="l"/>
        <c:majorGridlines/>
        <c:numFmt formatCode="0" sourceLinked="1"/>
        <c:majorTickMark val="none"/>
        <c:minorTickMark val="in"/>
        <c:tickLblPos val="nextTo"/>
        <c:crossAx val="124970880"/>
        <c:crossesAt val="-100"/>
        <c:crossBetween val="midCat"/>
        <c:majorUnit val="1"/>
        <c:minorUnit val="1"/>
      </c:valAx>
      <c:spPr>
        <a:solidFill>
          <a:srgbClr val="F5FFF5"/>
        </a:solidFill>
      </c:spPr>
    </c:plotArea>
    <c:plotVisOnly val="1"/>
  </c:chart>
  <c:printSettings>
    <c:headerFooter/>
    <c:pageMargins b="0.75000000000001354" l="0.70000000000000062" r="0.70000000000000062" t="0.75000000000001354" header="0.30000000000000032" footer="0.30000000000000032"/>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0657685097335521E-2"/>
          <c:y val="3.0897559171273702E-2"/>
          <c:w val="0.93554128599758091"/>
          <c:h val="0.91494577811920008"/>
        </c:manualLayout>
      </c:layout>
      <c:scatterChart>
        <c:scatterStyle val="lineMarker"/>
        <c:ser>
          <c:idx val="0"/>
          <c:order val="0"/>
          <c:spPr>
            <a:ln>
              <a:solidFill>
                <a:srgbClr val="00B4FF"/>
              </a:solidFill>
            </a:ln>
          </c:spPr>
          <c:marker>
            <c:symbol val="none"/>
          </c:marker>
          <c:dPt>
            <c:idx val="15"/>
            <c:spPr>
              <a:ln>
                <a:noFill/>
              </a:ln>
            </c:spPr>
          </c:dPt>
          <c:dPt>
            <c:idx val="17"/>
            <c:spPr>
              <a:ln>
                <a:noFill/>
              </a:ln>
            </c:spPr>
          </c:dPt>
          <c:dPt>
            <c:idx val="18"/>
            <c:spPr>
              <a:ln>
                <a:solidFill>
                  <a:srgbClr val="FF0000"/>
                </a:solidFill>
              </a:ln>
            </c:spPr>
          </c:dPt>
          <c:dPt>
            <c:idx val="19"/>
            <c:spPr>
              <a:ln>
                <a:noFill/>
              </a:ln>
            </c:spPr>
          </c:dPt>
          <c:dPt>
            <c:idx val="20"/>
            <c:spPr>
              <a:ln>
                <a:solidFill>
                  <a:srgbClr val="FF0000"/>
                </a:solidFill>
              </a:ln>
            </c:spPr>
          </c:dPt>
          <c:dPt>
            <c:idx val="21"/>
            <c:spPr>
              <a:ln>
                <a:noFill/>
              </a:ln>
            </c:spPr>
          </c:dPt>
          <c:dPt>
            <c:idx val="22"/>
            <c:spPr>
              <a:ln>
                <a:solidFill>
                  <a:srgbClr val="FF0000"/>
                </a:solidFill>
              </a:ln>
            </c:spPr>
          </c:dPt>
          <c:dPt>
            <c:idx val="23"/>
            <c:spPr>
              <a:ln>
                <a:noFill/>
              </a:ln>
            </c:spPr>
          </c:dPt>
          <c:dPt>
            <c:idx val="24"/>
            <c:spPr>
              <a:ln>
                <a:solidFill>
                  <a:srgbClr val="FF0000"/>
                </a:solidFill>
              </a:ln>
            </c:spPr>
          </c:dPt>
          <c:xVal>
            <c:numRef>
              <c:f>PV!$F$757:$F$781</c:f>
              <c:numCache>
                <c:formatCode>0</c:formatCode>
                <c:ptCount val="25"/>
                <c:pt idx="0">
                  <c:v>0</c:v>
                </c:pt>
                <c:pt idx="1">
                  <c:v>0</c:v>
                </c:pt>
                <c:pt idx="2">
                  <c:v>3.2545931758530187</c:v>
                </c:pt>
                <c:pt idx="3">
                  <c:v>3.2545931758530187</c:v>
                </c:pt>
                <c:pt idx="4">
                  <c:v>6.5091863517060373</c:v>
                </c:pt>
                <c:pt idx="5">
                  <c:v>6.5091863517060373</c:v>
                </c:pt>
                <c:pt idx="6">
                  <c:v>9.7637795275590555</c:v>
                </c:pt>
                <c:pt idx="7">
                  <c:v>9.7637795275590555</c:v>
                </c:pt>
                <c:pt idx="8">
                  <c:v>13.018372703412075</c:v>
                </c:pt>
                <c:pt idx="9">
                  <c:v>13.018372703412075</c:v>
                </c:pt>
                <c:pt idx="10">
                  <c:v>16.272965879265094</c:v>
                </c:pt>
                <c:pt idx="11">
                  <c:v>16.272965879265094</c:v>
                </c:pt>
                <c:pt idx="12">
                  <c:v>0</c:v>
                </c:pt>
                <c:pt idx="13">
                  <c:v>0</c:v>
                </c:pt>
                <c:pt idx="14">
                  <c:v>16.272965879265094</c:v>
                </c:pt>
                <c:pt idx="15">
                  <c:v>0</c:v>
                </c:pt>
                <c:pt idx="16">
                  <c:v>16.272965879265094</c:v>
                </c:pt>
                <c:pt idx="17">
                  <c:v>7.7959522637795287</c:v>
                </c:pt>
                <c:pt idx="18">
                  <c:v>8.477013615485566</c:v>
                </c:pt>
                <c:pt idx="19">
                  <c:v>8.477013615485566</c:v>
                </c:pt>
                <c:pt idx="20">
                  <c:v>7.7959522637795287</c:v>
                </c:pt>
                <c:pt idx="21">
                  <c:v>8.477013615485566</c:v>
                </c:pt>
                <c:pt idx="22">
                  <c:v>7.7959522637795287</c:v>
                </c:pt>
                <c:pt idx="23">
                  <c:v>8.477013615485566</c:v>
                </c:pt>
                <c:pt idx="24">
                  <c:v>7.7959522637795287</c:v>
                </c:pt>
              </c:numCache>
            </c:numRef>
          </c:xVal>
          <c:yVal>
            <c:numRef>
              <c:f>PV!$G$757:$G$781</c:f>
              <c:numCache>
                <c:formatCode>0</c:formatCode>
                <c:ptCount val="25"/>
                <c:pt idx="0">
                  <c:v>0</c:v>
                </c:pt>
                <c:pt idx="1">
                  <c:v>5.3805774278215219</c:v>
                </c:pt>
                <c:pt idx="2">
                  <c:v>5.3805774278215219</c:v>
                </c:pt>
                <c:pt idx="3">
                  <c:v>-5.3805774278215219</c:v>
                </c:pt>
                <c:pt idx="4">
                  <c:v>-5.3805774278215219</c:v>
                </c:pt>
                <c:pt idx="5">
                  <c:v>5.3805774278215219</c:v>
                </c:pt>
                <c:pt idx="6">
                  <c:v>5.3805774278215219</c:v>
                </c:pt>
                <c:pt idx="7">
                  <c:v>-5.3805774278215219</c:v>
                </c:pt>
                <c:pt idx="8">
                  <c:v>-5.3805774278215219</c:v>
                </c:pt>
                <c:pt idx="9">
                  <c:v>5.3805774278215219</c:v>
                </c:pt>
                <c:pt idx="10">
                  <c:v>5.3805774278215219</c:v>
                </c:pt>
                <c:pt idx="11">
                  <c:v>-5.3805774278215219</c:v>
                </c:pt>
                <c:pt idx="12">
                  <c:v>-5.3805774278215219</c:v>
                </c:pt>
                <c:pt idx="13">
                  <c:v>5.3805774278215219</c:v>
                </c:pt>
                <c:pt idx="14">
                  <c:v>5.3805774278215219</c:v>
                </c:pt>
                <c:pt idx="15">
                  <c:v>0</c:v>
                </c:pt>
                <c:pt idx="16">
                  <c:v>0</c:v>
                </c:pt>
                <c:pt idx="17">
                  <c:v>0.34053067585301838</c:v>
                </c:pt>
                <c:pt idx="18">
                  <c:v>-0.34053067585301838</c:v>
                </c:pt>
                <c:pt idx="19">
                  <c:v>0.34053067585301838</c:v>
                </c:pt>
                <c:pt idx="20">
                  <c:v>-0.34053067585301838</c:v>
                </c:pt>
                <c:pt idx="21">
                  <c:v>2.3497580380577427</c:v>
                </c:pt>
                <c:pt idx="22">
                  <c:v>3.0308193897637792</c:v>
                </c:pt>
                <c:pt idx="23">
                  <c:v>3.0308193897637792</c:v>
                </c:pt>
                <c:pt idx="24">
                  <c:v>2.3497580380577427</c:v>
                </c:pt>
              </c:numCache>
            </c:numRef>
          </c:yVal>
        </c:ser>
        <c:axId val="124995840"/>
        <c:axId val="125005824"/>
      </c:scatterChart>
      <c:valAx>
        <c:axId val="124995840"/>
        <c:scaling>
          <c:orientation val="minMax"/>
          <c:min val="-1"/>
        </c:scaling>
        <c:axPos val="b"/>
        <c:majorGridlines/>
        <c:numFmt formatCode="0" sourceLinked="1"/>
        <c:majorTickMark val="none"/>
        <c:minorTickMark val="in"/>
        <c:tickLblPos val="nextTo"/>
        <c:crossAx val="125005824"/>
        <c:crossesAt val="-100"/>
        <c:crossBetween val="midCat"/>
        <c:majorUnit val="1"/>
        <c:minorUnit val="1"/>
      </c:valAx>
      <c:valAx>
        <c:axId val="125005824"/>
        <c:scaling>
          <c:orientation val="minMax"/>
        </c:scaling>
        <c:axPos val="l"/>
        <c:majorGridlines/>
        <c:numFmt formatCode="0" sourceLinked="1"/>
        <c:majorTickMark val="none"/>
        <c:minorTickMark val="in"/>
        <c:tickLblPos val="nextTo"/>
        <c:crossAx val="124995840"/>
        <c:crossesAt val="-100"/>
        <c:crossBetween val="midCat"/>
        <c:majorUnit val="1"/>
        <c:minorUnit val="1"/>
      </c:valAx>
      <c:spPr>
        <a:solidFill>
          <a:srgbClr val="F5FFF5"/>
        </a:solidFill>
      </c:spPr>
    </c:plotArea>
    <c:plotVisOnly val="1"/>
  </c:chart>
  <c:printSettings>
    <c:headerFooter/>
    <c:pageMargins b="0.75000000000001377" l="0.70000000000000062" r="0.70000000000000062" t="0.75000000000001377"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3.1120702504779565E-2"/>
          <c:y val="2.8089866375811196E-2"/>
          <c:w val="0.94901513236771362"/>
          <c:h val="0.9211785623571247"/>
        </c:manualLayout>
      </c:layout>
      <c:scatterChart>
        <c:scatterStyle val="lineMarker"/>
        <c:ser>
          <c:idx val="0"/>
          <c:order val="0"/>
          <c:spPr>
            <a:ln>
              <a:solidFill>
                <a:srgbClr val="00B4FF"/>
              </a:solidFill>
            </a:ln>
          </c:spPr>
          <c:marker>
            <c:symbol val="none"/>
          </c:marker>
          <c:dPt>
            <c:idx val="13"/>
            <c:spPr>
              <a:ln w="34925">
                <a:solidFill>
                  <a:srgbClr val="00B4FF"/>
                </a:solidFill>
              </a:ln>
            </c:spPr>
          </c:dPt>
          <c:dPt>
            <c:idx val="26"/>
            <c:spPr>
              <a:ln>
                <a:noFill/>
              </a:ln>
            </c:spPr>
          </c:dPt>
          <c:dPt>
            <c:idx val="28"/>
            <c:spPr>
              <a:ln>
                <a:noFill/>
              </a:ln>
            </c:spPr>
          </c:dPt>
          <c:dPt>
            <c:idx val="30"/>
            <c:spPr>
              <a:ln>
                <a:noFill/>
              </a:ln>
            </c:spPr>
          </c:dPt>
          <c:dPt>
            <c:idx val="32"/>
            <c:spPr>
              <a:ln>
                <a:noFill/>
              </a:ln>
            </c:spPr>
          </c:dPt>
          <c:dPt>
            <c:idx val="36"/>
            <c:spPr>
              <a:ln>
                <a:noFill/>
              </a:ln>
            </c:spPr>
          </c:dPt>
          <c:dPt>
            <c:idx val="37"/>
            <c:spPr>
              <a:ln>
                <a:solidFill>
                  <a:srgbClr val="FF0000"/>
                </a:solidFill>
              </a:ln>
            </c:spPr>
          </c:dPt>
          <c:dPt>
            <c:idx val="38"/>
            <c:spPr>
              <a:ln>
                <a:noFill/>
              </a:ln>
            </c:spPr>
          </c:dPt>
          <c:dPt>
            <c:idx val="39"/>
            <c:spPr>
              <a:ln>
                <a:solidFill>
                  <a:srgbClr val="FF0000"/>
                </a:solidFill>
              </a:ln>
            </c:spPr>
          </c:dPt>
          <c:dPt>
            <c:idx val="40"/>
            <c:spPr>
              <a:ln>
                <a:noFill/>
              </a:ln>
            </c:spPr>
          </c:dPt>
          <c:dPt>
            <c:idx val="41"/>
            <c:spPr>
              <a:ln>
                <a:solidFill>
                  <a:srgbClr val="FF0000"/>
                </a:solidFill>
              </a:ln>
            </c:spPr>
          </c:dPt>
          <c:dPt>
            <c:idx val="42"/>
            <c:spPr>
              <a:ln>
                <a:noFill/>
              </a:ln>
            </c:spPr>
          </c:dPt>
          <c:dPt>
            <c:idx val="43"/>
            <c:spPr>
              <a:ln>
                <a:solidFill>
                  <a:srgbClr val="FF0000"/>
                </a:solidFill>
              </a:ln>
            </c:spPr>
          </c:dPt>
          <c:dPt>
            <c:idx val="44"/>
            <c:spPr>
              <a:ln>
                <a:noFill/>
              </a:ln>
            </c:spPr>
          </c:dPt>
          <c:dPt>
            <c:idx val="45"/>
            <c:spPr>
              <a:ln>
                <a:solidFill>
                  <a:srgbClr val="FF0000"/>
                </a:solidFill>
              </a:ln>
            </c:spPr>
          </c:dPt>
          <c:dPt>
            <c:idx val="47"/>
            <c:spPr>
              <a:ln>
                <a:solidFill>
                  <a:srgbClr val="FF0000"/>
                </a:solidFill>
              </a:ln>
            </c:spPr>
          </c:dPt>
          <c:xVal>
            <c:numRef>
              <c:f>PV!$F$467:$F$514</c:f>
              <c:numCache>
                <c:formatCode>0</c:formatCode>
                <c:ptCount val="48"/>
                <c:pt idx="0">
                  <c:v>21.522309711286088</c:v>
                </c:pt>
                <c:pt idx="1">
                  <c:v>16.141732283464567</c:v>
                </c:pt>
                <c:pt idx="2">
                  <c:v>16.141732283464567</c:v>
                </c:pt>
                <c:pt idx="3">
                  <c:v>10.761154855643044</c:v>
                </c:pt>
                <c:pt idx="4">
                  <c:v>10.761154855643044</c:v>
                </c:pt>
                <c:pt idx="5">
                  <c:v>5.3805774278215219</c:v>
                </c:pt>
                <c:pt idx="6">
                  <c:v>5.3805774278215219</c:v>
                </c:pt>
                <c:pt idx="7">
                  <c:v>0</c:v>
                </c:pt>
                <c:pt idx="8">
                  <c:v>0</c:v>
                </c:pt>
                <c:pt idx="9">
                  <c:v>5.3805774278215219</c:v>
                </c:pt>
                <c:pt idx="10">
                  <c:v>5.3805774278215219</c:v>
                </c:pt>
                <c:pt idx="11">
                  <c:v>10.761154855643044</c:v>
                </c:pt>
                <c:pt idx="12">
                  <c:v>10.761154855643044</c:v>
                </c:pt>
                <c:pt idx="13">
                  <c:v>16.141732283464567</c:v>
                </c:pt>
                <c:pt idx="14">
                  <c:v>16.141732283464567</c:v>
                </c:pt>
                <c:pt idx="15">
                  <c:v>21.522309711286088</c:v>
                </c:pt>
                <c:pt idx="16">
                  <c:v>21.522309711286088</c:v>
                </c:pt>
                <c:pt idx="17">
                  <c:v>16.141732283464567</c:v>
                </c:pt>
                <c:pt idx="18">
                  <c:v>16.141732283464567</c:v>
                </c:pt>
                <c:pt idx="19">
                  <c:v>10.761154855643044</c:v>
                </c:pt>
                <c:pt idx="20">
                  <c:v>10.761154855643044</c:v>
                </c:pt>
                <c:pt idx="21">
                  <c:v>16.141732283464567</c:v>
                </c:pt>
                <c:pt idx="22">
                  <c:v>16.141732283464567</c:v>
                </c:pt>
                <c:pt idx="23">
                  <c:v>21.522309711286088</c:v>
                </c:pt>
                <c:pt idx="24">
                  <c:v>21.522309711286088</c:v>
                </c:pt>
                <c:pt idx="25">
                  <c:v>16.141732283464567</c:v>
                </c:pt>
                <c:pt idx="26">
                  <c:v>21.522309711286088</c:v>
                </c:pt>
                <c:pt idx="27">
                  <c:v>21.522309711286088</c:v>
                </c:pt>
                <c:pt idx="28">
                  <c:v>16.141732283464567</c:v>
                </c:pt>
                <c:pt idx="29">
                  <c:v>16.141732283464567</c:v>
                </c:pt>
                <c:pt idx="30">
                  <c:v>10.761154855643044</c:v>
                </c:pt>
                <c:pt idx="31">
                  <c:v>10.761154855643044</c:v>
                </c:pt>
                <c:pt idx="32">
                  <c:v>5.3805774278215219</c:v>
                </c:pt>
                <c:pt idx="33">
                  <c:v>5.3805774278215219</c:v>
                </c:pt>
                <c:pt idx="34">
                  <c:v>5.3805774278215219</c:v>
                </c:pt>
                <c:pt idx="35">
                  <c:v>10.761154855643044</c:v>
                </c:pt>
                <c:pt idx="36">
                  <c:v>13.016560039370079</c:v>
                </c:pt>
                <c:pt idx="37">
                  <c:v>13.886327099737533</c:v>
                </c:pt>
                <c:pt idx="38">
                  <c:v>13.886327099737533</c:v>
                </c:pt>
                <c:pt idx="39">
                  <c:v>13.016560039370079</c:v>
                </c:pt>
                <c:pt idx="40">
                  <c:v>13.886327099737533</c:v>
                </c:pt>
                <c:pt idx="41">
                  <c:v>13.016560039370079</c:v>
                </c:pt>
                <c:pt idx="42">
                  <c:v>13.886327099737533</c:v>
                </c:pt>
                <c:pt idx="43">
                  <c:v>13.016560039370079</c:v>
                </c:pt>
                <c:pt idx="44">
                  <c:v>0</c:v>
                </c:pt>
                <c:pt idx="45">
                  <c:v>16.141732283464567</c:v>
                </c:pt>
                <c:pt idx="46">
                  <c:v>16.141732283464567</c:v>
                </c:pt>
                <c:pt idx="47">
                  <c:v>0</c:v>
                </c:pt>
              </c:numCache>
            </c:numRef>
          </c:xVal>
          <c:yVal>
            <c:numRef>
              <c:f>PV!$G$467:$G$514</c:f>
              <c:numCache>
                <c:formatCode>0</c:formatCode>
                <c:ptCount val="48"/>
                <c:pt idx="0">
                  <c:v>6.5091863517060373</c:v>
                </c:pt>
                <c:pt idx="1">
                  <c:v>6.5091863517060373</c:v>
                </c:pt>
                <c:pt idx="2">
                  <c:v>4.8818897637795278</c:v>
                </c:pt>
                <c:pt idx="3">
                  <c:v>4.8818897637795278</c:v>
                </c:pt>
                <c:pt idx="4">
                  <c:v>3.2545931758530187</c:v>
                </c:pt>
                <c:pt idx="5">
                  <c:v>3.2545931758530187</c:v>
                </c:pt>
                <c:pt idx="6">
                  <c:v>1.6272965879265093</c:v>
                </c:pt>
                <c:pt idx="7">
                  <c:v>1.6272965879265093</c:v>
                </c:pt>
                <c:pt idx="8">
                  <c:v>-1.6272965879265093</c:v>
                </c:pt>
                <c:pt idx="9">
                  <c:v>-1.6272965879265093</c:v>
                </c:pt>
                <c:pt idx="10">
                  <c:v>-3.2545931758530187</c:v>
                </c:pt>
                <c:pt idx="11">
                  <c:v>-3.2545931758530187</c:v>
                </c:pt>
                <c:pt idx="12">
                  <c:v>-4.8818897637795278</c:v>
                </c:pt>
                <c:pt idx="13">
                  <c:v>-4.8818897637795278</c:v>
                </c:pt>
                <c:pt idx="14">
                  <c:v>-6.5091863517060373</c:v>
                </c:pt>
                <c:pt idx="15">
                  <c:v>-6.5091863517060373</c:v>
                </c:pt>
                <c:pt idx="16">
                  <c:v>-3.2545931758530187</c:v>
                </c:pt>
                <c:pt idx="17">
                  <c:v>-3.2545931758530187</c:v>
                </c:pt>
                <c:pt idx="18">
                  <c:v>-1.6272965879265093</c:v>
                </c:pt>
                <c:pt idx="19">
                  <c:v>-1.6272965879265093</c:v>
                </c:pt>
                <c:pt idx="20">
                  <c:v>1.6272965879265093</c:v>
                </c:pt>
                <c:pt idx="21">
                  <c:v>1.6272965879265093</c:v>
                </c:pt>
                <c:pt idx="22">
                  <c:v>3.2545931758530187</c:v>
                </c:pt>
                <c:pt idx="23">
                  <c:v>3.2545931758530187</c:v>
                </c:pt>
                <c:pt idx="24">
                  <c:v>0</c:v>
                </c:pt>
                <c:pt idx="25">
                  <c:v>0</c:v>
                </c:pt>
                <c:pt idx="26">
                  <c:v>6.5091863517060373</c:v>
                </c:pt>
                <c:pt idx="27">
                  <c:v>-3.2545931758530187</c:v>
                </c:pt>
                <c:pt idx="28">
                  <c:v>4.8818897637795278</c:v>
                </c:pt>
                <c:pt idx="29">
                  <c:v>-4.8818897637795278</c:v>
                </c:pt>
                <c:pt idx="30">
                  <c:v>3.2545931758530187</c:v>
                </c:pt>
                <c:pt idx="31">
                  <c:v>-3.2545931758530187</c:v>
                </c:pt>
                <c:pt idx="32">
                  <c:v>1.6272965879265093</c:v>
                </c:pt>
                <c:pt idx="33">
                  <c:v>-1.6272965879265093</c:v>
                </c:pt>
                <c:pt idx="34">
                  <c:v>0</c:v>
                </c:pt>
                <c:pt idx="35">
                  <c:v>0</c:v>
                </c:pt>
                <c:pt idx="36">
                  <c:v>0.434883530183727</c:v>
                </c:pt>
                <c:pt idx="37">
                  <c:v>-0.434883530183727</c:v>
                </c:pt>
                <c:pt idx="38">
                  <c:v>0.434883530183727</c:v>
                </c:pt>
                <c:pt idx="39">
                  <c:v>-0.434883530183727</c:v>
                </c:pt>
                <c:pt idx="40">
                  <c:v>2.0060613517060371</c:v>
                </c:pt>
                <c:pt idx="41">
                  <c:v>2.8758284120734907</c:v>
                </c:pt>
                <c:pt idx="42">
                  <c:v>2.8758284120734907</c:v>
                </c:pt>
                <c:pt idx="43">
                  <c:v>2.0060613517060371</c:v>
                </c:pt>
                <c:pt idx="44">
                  <c:v>1.6272965879265093</c:v>
                </c:pt>
                <c:pt idx="45">
                  <c:v>6.5091863517060373</c:v>
                </c:pt>
                <c:pt idx="46">
                  <c:v>-6.5091863517060373</c:v>
                </c:pt>
                <c:pt idx="47">
                  <c:v>-1.6272965879265093</c:v>
                </c:pt>
              </c:numCache>
            </c:numRef>
          </c:yVal>
        </c:ser>
        <c:axId val="125040128"/>
        <c:axId val="125041664"/>
      </c:scatterChart>
      <c:valAx>
        <c:axId val="125040128"/>
        <c:scaling>
          <c:orientation val="minMax"/>
          <c:min val="-1"/>
        </c:scaling>
        <c:axPos val="b"/>
        <c:majorGridlines/>
        <c:numFmt formatCode="0" sourceLinked="1"/>
        <c:tickLblPos val="nextTo"/>
        <c:crossAx val="125041664"/>
        <c:crossesAt val="-100"/>
        <c:crossBetween val="midCat"/>
        <c:majorUnit val="1"/>
      </c:valAx>
      <c:valAx>
        <c:axId val="125041664"/>
        <c:scaling>
          <c:orientation val="minMax"/>
        </c:scaling>
        <c:axPos val="l"/>
        <c:majorGridlines/>
        <c:numFmt formatCode="0" sourceLinked="1"/>
        <c:tickLblPos val="nextTo"/>
        <c:crossAx val="125040128"/>
        <c:crossesAt val="-100"/>
        <c:crossBetween val="midCat"/>
        <c:majorUnit val="1"/>
      </c:valAx>
      <c:spPr>
        <a:solidFill>
          <a:srgbClr val="F5FFF5"/>
        </a:solidFill>
      </c:spPr>
    </c:plotArea>
    <c:plotVisOnly val="1"/>
  </c:chart>
  <c:printSettings>
    <c:headerFooter/>
    <c:pageMargins b="0.75000000000001221" l="0.70000000000000062" r="0.70000000000000062" t="0.75000000000001221"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6.1594918231624871E-2"/>
          <c:y val="2.1330489308432943E-2"/>
          <c:w val="0.90997225434087381"/>
          <c:h val="0.94014568063718384"/>
        </c:manualLayout>
      </c:layout>
      <c:scatterChart>
        <c:scatterStyle val="lineMarker"/>
        <c:ser>
          <c:idx val="0"/>
          <c:order val="0"/>
          <c:spPr>
            <a:ln>
              <a:solidFill>
                <a:srgbClr val="00B4FF"/>
              </a:solidFill>
            </a:ln>
          </c:spPr>
          <c:marker>
            <c:symbol val="none"/>
          </c:marker>
          <c:dPt>
            <c:idx val="13"/>
            <c:spPr>
              <a:ln w="34925">
                <a:solidFill>
                  <a:srgbClr val="00B4FF"/>
                </a:solidFill>
              </a:ln>
            </c:spPr>
          </c:dPt>
          <c:dPt>
            <c:idx val="26"/>
            <c:spPr>
              <a:ln>
                <a:noFill/>
              </a:ln>
            </c:spPr>
          </c:dPt>
          <c:dPt>
            <c:idx val="28"/>
            <c:spPr>
              <a:ln>
                <a:noFill/>
              </a:ln>
            </c:spPr>
          </c:dPt>
          <c:dPt>
            <c:idx val="30"/>
            <c:spPr>
              <a:ln>
                <a:noFill/>
              </a:ln>
            </c:spPr>
          </c:dPt>
          <c:dPt>
            <c:idx val="32"/>
            <c:spPr>
              <a:ln>
                <a:noFill/>
              </a:ln>
            </c:spPr>
          </c:dPt>
          <c:dPt>
            <c:idx val="36"/>
            <c:spPr>
              <a:ln>
                <a:noFill/>
              </a:ln>
            </c:spPr>
          </c:dPt>
          <c:dPt>
            <c:idx val="37"/>
            <c:spPr>
              <a:ln>
                <a:solidFill>
                  <a:srgbClr val="FF0000"/>
                </a:solidFill>
              </a:ln>
            </c:spPr>
          </c:dPt>
          <c:dPt>
            <c:idx val="38"/>
            <c:spPr>
              <a:ln>
                <a:noFill/>
              </a:ln>
            </c:spPr>
          </c:dPt>
          <c:dPt>
            <c:idx val="39"/>
            <c:spPr>
              <a:ln>
                <a:solidFill>
                  <a:srgbClr val="FF0000"/>
                </a:solidFill>
              </a:ln>
            </c:spPr>
          </c:dPt>
          <c:dPt>
            <c:idx val="40"/>
            <c:spPr>
              <a:ln>
                <a:noFill/>
              </a:ln>
            </c:spPr>
          </c:dPt>
          <c:dPt>
            <c:idx val="41"/>
            <c:spPr>
              <a:ln>
                <a:solidFill>
                  <a:srgbClr val="FF0000"/>
                </a:solidFill>
              </a:ln>
            </c:spPr>
          </c:dPt>
          <c:dPt>
            <c:idx val="42"/>
            <c:spPr>
              <a:ln>
                <a:noFill/>
              </a:ln>
            </c:spPr>
          </c:dPt>
          <c:dPt>
            <c:idx val="43"/>
            <c:spPr>
              <a:ln>
                <a:solidFill>
                  <a:srgbClr val="FF0000"/>
                </a:solidFill>
              </a:ln>
            </c:spPr>
          </c:dPt>
          <c:dPt>
            <c:idx val="44"/>
            <c:spPr>
              <a:ln>
                <a:noFill/>
              </a:ln>
            </c:spPr>
          </c:dPt>
          <c:dPt>
            <c:idx val="45"/>
            <c:spPr>
              <a:ln>
                <a:solidFill>
                  <a:srgbClr val="FF0000"/>
                </a:solidFill>
              </a:ln>
            </c:spPr>
          </c:dPt>
          <c:dPt>
            <c:idx val="47"/>
            <c:spPr>
              <a:ln>
                <a:solidFill>
                  <a:srgbClr val="FF0000"/>
                </a:solidFill>
              </a:ln>
            </c:spPr>
          </c:dPt>
          <c:xVal>
            <c:numRef>
              <c:f>PV!$F$517:$F$564</c:f>
              <c:numCache>
                <c:formatCode>0</c:formatCode>
                <c:ptCount val="48"/>
                <c:pt idx="0">
                  <c:v>13.018372703412075</c:v>
                </c:pt>
                <c:pt idx="1">
                  <c:v>9.7637795275590555</c:v>
                </c:pt>
                <c:pt idx="2">
                  <c:v>9.7637795275590555</c:v>
                </c:pt>
                <c:pt idx="3">
                  <c:v>6.5091863517060373</c:v>
                </c:pt>
                <c:pt idx="4">
                  <c:v>6.5091863517060373</c:v>
                </c:pt>
                <c:pt idx="5">
                  <c:v>3.2545931758530187</c:v>
                </c:pt>
                <c:pt idx="6">
                  <c:v>3.2545931758530187</c:v>
                </c:pt>
                <c:pt idx="7">
                  <c:v>0</c:v>
                </c:pt>
                <c:pt idx="8">
                  <c:v>0</c:v>
                </c:pt>
                <c:pt idx="9">
                  <c:v>3.2545931758530187</c:v>
                </c:pt>
                <c:pt idx="10">
                  <c:v>3.2545931758530187</c:v>
                </c:pt>
                <c:pt idx="11">
                  <c:v>6.5091863517060373</c:v>
                </c:pt>
                <c:pt idx="12">
                  <c:v>6.5091863517060373</c:v>
                </c:pt>
                <c:pt idx="13">
                  <c:v>9.7637795275590555</c:v>
                </c:pt>
                <c:pt idx="14">
                  <c:v>9.7637795275590555</c:v>
                </c:pt>
                <c:pt idx="15">
                  <c:v>13.018372703412075</c:v>
                </c:pt>
                <c:pt idx="16">
                  <c:v>13.018372703412075</c:v>
                </c:pt>
                <c:pt idx="17">
                  <c:v>9.7637795275590555</c:v>
                </c:pt>
                <c:pt idx="18">
                  <c:v>9.7637795275590555</c:v>
                </c:pt>
                <c:pt idx="19">
                  <c:v>6.5091863517060373</c:v>
                </c:pt>
                <c:pt idx="20">
                  <c:v>6.5091863517060373</c:v>
                </c:pt>
                <c:pt idx="21">
                  <c:v>9.7637795275590555</c:v>
                </c:pt>
                <c:pt idx="22">
                  <c:v>9.7637795275590555</c:v>
                </c:pt>
                <c:pt idx="23">
                  <c:v>13.018372703412075</c:v>
                </c:pt>
                <c:pt idx="24">
                  <c:v>13.018372703412075</c:v>
                </c:pt>
                <c:pt idx="25">
                  <c:v>9.7637795275590555</c:v>
                </c:pt>
                <c:pt idx="26">
                  <c:v>13.018372703412075</c:v>
                </c:pt>
                <c:pt idx="27">
                  <c:v>13.018372703412075</c:v>
                </c:pt>
                <c:pt idx="28">
                  <c:v>9.7637795275590555</c:v>
                </c:pt>
                <c:pt idx="29">
                  <c:v>9.7637795275590555</c:v>
                </c:pt>
                <c:pt idx="30">
                  <c:v>6.5091863517060373</c:v>
                </c:pt>
                <c:pt idx="31">
                  <c:v>6.5091863517060373</c:v>
                </c:pt>
                <c:pt idx="32">
                  <c:v>3.2545931758530187</c:v>
                </c:pt>
                <c:pt idx="33">
                  <c:v>3.2545931758530187</c:v>
                </c:pt>
                <c:pt idx="34">
                  <c:v>3.2545931758530187</c:v>
                </c:pt>
                <c:pt idx="35">
                  <c:v>6.5091863517060373</c:v>
                </c:pt>
                <c:pt idx="36">
                  <c:v>7.7015994094488196</c:v>
                </c:pt>
                <c:pt idx="37">
                  <c:v>8.5713664698162741</c:v>
                </c:pt>
                <c:pt idx="38">
                  <c:v>8.5713664698162741</c:v>
                </c:pt>
                <c:pt idx="39">
                  <c:v>7.7015994094488196</c:v>
                </c:pt>
                <c:pt idx="40">
                  <c:v>8.5713664698162741</c:v>
                </c:pt>
                <c:pt idx="41">
                  <c:v>7.7015994094488196</c:v>
                </c:pt>
                <c:pt idx="42">
                  <c:v>8.5713664698162741</c:v>
                </c:pt>
                <c:pt idx="43">
                  <c:v>7.7015994094488196</c:v>
                </c:pt>
                <c:pt idx="44">
                  <c:v>0</c:v>
                </c:pt>
                <c:pt idx="45">
                  <c:v>9.7637795275590555</c:v>
                </c:pt>
                <c:pt idx="46">
                  <c:v>9.7637795275590555</c:v>
                </c:pt>
                <c:pt idx="47">
                  <c:v>0</c:v>
                </c:pt>
              </c:numCache>
            </c:numRef>
          </c:xVal>
          <c:yVal>
            <c:numRef>
              <c:f>PV!$G$517:$G$564</c:f>
              <c:numCache>
                <c:formatCode>0</c:formatCode>
                <c:ptCount val="48"/>
                <c:pt idx="0">
                  <c:v>10.761154855643044</c:v>
                </c:pt>
                <c:pt idx="1">
                  <c:v>10.761154855643044</c:v>
                </c:pt>
                <c:pt idx="2">
                  <c:v>8.0708661417322833</c:v>
                </c:pt>
                <c:pt idx="3">
                  <c:v>8.0708661417322833</c:v>
                </c:pt>
                <c:pt idx="4">
                  <c:v>5.3805774278215219</c:v>
                </c:pt>
                <c:pt idx="5">
                  <c:v>5.3805774278215219</c:v>
                </c:pt>
                <c:pt idx="6">
                  <c:v>2.690288713910761</c:v>
                </c:pt>
                <c:pt idx="7">
                  <c:v>2.690288713910761</c:v>
                </c:pt>
                <c:pt idx="8">
                  <c:v>-2.690288713910761</c:v>
                </c:pt>
                <c:pt idx="9">
                  <c:v>-2.690288713910761</c:v>
                </c:pt>
                <c:pt idx="10">
                  <c:v>-5.3805774278215219</c:v>
                </c:pt>
                <c:pt idx="11">
                  <c:v>-5.3805774278215219</c:v>
                </c:pt>
                <c:pt idx="12">
                  <c:v>-8.0708661417322833</c:v>
                </c:pt>
                <c:pt idx="13">
                  <c:v>-8.0708661417322833</c:v>
                </c:pt>
                <c:pt idx="14">
                  <c:v>-10.761154855643044</c:v>
                </c:pt>
                <c:pt idx="15">
                  <c:v>-10.761154855643044</c:v>
                </c:pt>
                <c:pt idx="16">
                  <c:v>-5.3805774278215219</c:v>
                </c:pt>
                <c:pt idx="17">
                  <c:v>-5.3805774278215219</c:v>
                </c:pt>
                <c:pt idx="18">
                  <c:v>-2.690288713910761</c:v>
                </c:pt>
                <c:pt idx="19">
                  <c:v>-2.690288713910761</c:v>
                </c:pt>
                <c:pt idx="20">
                  <c:v>2.690288713910761</c:v>
                </c:pt>
                <c:pt idx="21">
                  <c:v>2.690288713910761</c:v>
                </c:pt>
                <c:pt idx="22">
                  <c:v>5.3805774278215219</c:v>
                </c:pt>
                <c:pt idx="23">
                  <c:v>5.3805774278215219</c:v>
                </c:pt>
                <c:pt idx="24">
                  <c:v>0</c:v>
                </c:pt>
                <c:pt idx="25">
                  <c:v>0</c:v>
                </c:pt>
                <c:pt idx="26">
                  <c:v>10.761154855643044</c:v>
                </c:pt>
                <c:pt idx="27">
                  <c:v>-5.3805774278215219</c:v>
                </c:pt>
                <c:pt idx="28">
                  <c:v>8.0708661417322833</c:v>
                </c:pt>
                <c:pt idx="29">
                  <c:v>-8.0708661417322833</c:v>
                </c:pt>
                <c:pt idx="30">
                  <c:v>5.3805774278215219</c:v>
                </c:pt>
                <c:pt idx="31">
                  <c:v>-5.3805774278215219</c:v>
                </c:pt>
                <c:pt idx="32">
                  <c:v>2.690288713910761</c:v>
                </c:pt>
                <c:pt idx="33">
                  <c:v>-2.690288713910761</c:v>
                </c:pt>
                <c:pt idx="34">
                  <c:v>0</c:v>
                </c:pt>
                <c:pt idx="35">
                  <c:v>0</c:v>
                </c:pt>
                <c:pt idx="36">
                  <c:v>0.434883530183727</c:v>
                </c:pt>
                <c:pt idx="37">
                  <c:v>-0.434883530183727</c:v>
                </c:pt>
                <c:pt idx="38">
                  <c:v>0.434883530183727</c:v>
                </c:pt>
                <c:pt idx="39">
                  <c:v>-0.434883530183727</c:v>
                </c:pt>
                <c:pt idx="40">
                  <c:v>3.6005495406824148</c:v>
                </c:pt>
                <c:pt idx="41">
                  <c:v>4.4703166010498689</c:v>
                </c:pt>
                <c:pt idx="42">
                  <c:v>4.4703166010498689</c:v>
                </c:pt>
                <c:pt idx="43">
                  <c:v>3.6005495406824148</c:v>
                </c:pt>
                <c:pt idx="44">
                  <c:v>2.690288713910761</c:v>
                </c:pt>
                <c:pt idx="45">
                  <c:v>10.761154855643044</c:v>
                </c:pt>
                <c:pt idx="46">
                  <c:v>-10.761154855643044</c:v>
                </c:pt>
                <c:pt idx="47">
                  <c:v>-2.690288713910761</c:v>
                </c:pt>
              </c:numCache>
            </c:numRef>
          </c:yVal>
        </c:ser>
        <c:axId val="126145664"/>
        <c:axId val="126147200"/>
      </c:scatterChart>
      <c:valAx>
        <c:axId val="126145664"/>
        <c:scaling>
          <c:orientation val="minMax"/>
          <c:min val="-1"/>
        </c:scaling>
        <c:axPos val="b"/>
        <c:majorGridlines/>
        <c:numFmt formatCode="0" sourceLinked="1"/>
        <c:tickLblPos val="nextTo"/>
        <c:crossAx val="126147200"/>
        <c:crossesAt val="-100"/>
        <c:crossBetween val="midCat"/>
        <c:majorUnit val="1"/>
      </c:valAx>
      <c:valAx>
        <c:axId val="126147200"/>
        <c:scaling>
          <c:orientation val="minMax"/>
        </c:scaling>
        <c:axPos val="l"/>
        <c:majorGridlines/>
        <c:numFmt formatCode="0" sourceLinked="1"/>
        <c:tickLblPos val="nextTo"/>
        <c:crossAx val="126145664"/>
        <c:crossesAt val="-100"/>
        <c:crossBetween val="midCat"/>
        <c:majorUnit val="1"/>
      </c:valAx>
      <c:spPr>
        <a:solidFill>
          <a:srgbClr val="F5FFF5"/>
        </a:solidFill>
      </c:spPr>
    </c:plotArea>
    <c:plotVisOnly val="1"/>
  </c:chart>
  <c:printSettings>
    <c:headerFooter/>
    <c:pageMargins b="0.75000000000001243" l="0.70000000000000062" r="0.70000000000000062" t="0.75000000000001243"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2.165615895951151E-2"/>
          <c:y val="3.0897559171273684E-2"/>
          <c:w val="0.965666314906513"/>
          <c:h val="0.8844961626632114"/>
        </c:manualLayout>
      </c:layout>
      <c:scatterChart>
        <c:scatterStyle val="lineMarker"/>
        <c:ser>
          <c:idx val="0"/>
          <c:order val="0"/>
          <c:spPr>
            <a:ln>
              <a:solidFill>
                <a:srgbClr val="00B4FF"/>
              </a:solidFill>
            </a:ln>
          </c:spPr>
          <c:marker>
            <c:symbol val="none"/>
          </c:marker>
          <c:dPt>
            <c:idx val="15"/>
            <c:spPr>
              <a:ln>
                <a:noFill/>
              </a:ln>
            </c:spPr>
          </c:dPt>
          <c:dPt>
            <c:idx val="19"/>
            <c:spPr>
              <a:ln>
                <a:noFill/>
              </a:ln>
            </c:spPr>
          </c:dPt>
          <c:dPt>
            <c:idx val="20"/>
            <c:spPr>
              <a:ln>
                <a:solidFill>
                  <a:srgbClr val="FF0000"/>
                </a:solidFill>
              </a:ln>
            </c:spPr>
          </c:dPt>
          <c:dPt>
            <c:idx val="21"/>
            <c:spPr>
              <a:ln>
                <a:noFill/>
              </a:ln>
            </c:spPr>
          </c:dPt>
          <c:dPt>
            <c:idx val="22"/>
            <c:spPr>
              <a:ln>
                <a:solidFill>
                  <a:srgbClr val="FF0000"/>
                </a:solidFill>
              </a:ln>
            </c:spPr>
          </c:dPt>
          <c:dPt>
            <c:idx val="23"/>
            <c:spPr>
              <a:ln>
                <a:noFill/>
              </a:ln>
            </c:spPr>
          </c:dPt>
          <c:dPt>
            <c:idx val="24"/>
            <c:spPr>
              <a:ln>
                <a:solidFill>
                  <a:srgbClr val="FF0000"/>
                </a:solidFill>
              </a:ln>
            </c:spPr>
          </c:dPt>
          <c:dPt>
            <c:idx val="25"/>
            <c:spPr>
              <a:ln>
                <a:noFill/>
              </a:ln>
            </c:spPr>
          </c:dPt>
          <c:dPt>
            <c:idx val="26"/>
            <c:spPr>
              <a:ln>
                <a:solidFill>
                  <a:srgbClr val="FF0000"/>
                </a:solidFill>
              </a:ln>
            </c:spPr>
          </c:dPt>
          <c:xVal>
            <c:numRef>
              <c:f>PV!$F$788:$F$814</c:f>
              <c:numCache>
                <c:formatCode>0</c:formatCode>
                <c:ptCount val="27"/>
                <c:pt idx="0">
                  <c:v>0</c:v>
                </c:pt>
                <c:pt idx="1">
                  <c:v>0</c:v>
                </c:pt>
                <c:pt idx="2">
                  <c:v>5.3805774278215219</c:v>
                </c:pt>
                <c:pt idx="3">
                  <c:v>5.3805774278215219</c:v>
                </c:pt>
                <c:pt idx="4">
                  <c:v>10.761154855643044</c:v>
                </c:pt>
                <c:pt idx="5">
                  <c:v>10.761154855643044</c:v>
                </c:pt>
                <c:pt idx="6">
                  <c:v>16.141732283464567</c:v>
                </c:pt>
                <c:pt idx="7">
                  <c:v>16.141732283464567</c:v>
                </c:pt>
                <c:pt idx="8">
                  <c:v>21.522309711286088</c:v>
                </c:pt>
                <c:pt idx="9">
                  <c:v>21.522309711286088</c:v>
                </c:pt>
                <c:pt idx="10">
                  <c:v>26.902887139107609</c:v>
                </c:pt>
                <c:pt idx="11">
                  <c:v>26.902887139107609</c:v>
                </c:pt>
                <c:pt idx="12">
                  <c:v>32.283464566929133</c:v>
                </c:pt>
                <c:pt idx="13">
                  <c:v>32.283464566929133</c:v>
                </c:pt>
                <c:pt idx="14">
                  <c:v>0</c:v>
                </c:pt>
                <c:pt idx="15">
                  <c:v>26.902887139107609</c:v>
                </c:pt>
                <c:pt idx="16">
                  <c:v>0</c:v>
                </c:pt>
                <c:pt idx="17">
                  <c:v>0</c:v>
                </c:pt>
                <c:pt idx="18">
                  <c:v>32.283464566929133</c:v>
                </c:pt>
                <c:pt idx="19">
                  <c:v>15.653699146981626</c:v>
                </c:pt>
                <c:pt idx="20">
                  <c:v>16.629765419947507</c:v>
                </c:pt>
                <c:pt idx="21">
                  <c:v>16.629765419947507</c:v>
                </c:pt>
                <c:pt idx="22">
                  <c:v>15.653699146981626</c:v>
                </c:pt>
                <c:pt idx="23">
                  <c:v>16.629765419947507</c:v>
                </c:pt>
                <c:pt idx="24">
                  <c:v>15.653699146981626</c:v>
                </c:pt>
                <c:pt idx="25">
                  <c:v>16.629765419947507</c:v>
                </c:pt>
                <c:pt idx="26">
                  <c:v>15.653699146981626</c:v>
                </c:pt>
              </c:numCache>
            </c:numRef>
          </c:xVal>
          <c:yVal>
            <c:numRef>
              <c:f>PV!$G$788:$G$814</c:f>
              <c:numCache>
                <c:formatCode>0</c:formatCode>
                <c:ptCount val="27"/>
                <c:pt idx="0">
                  <c:v>0</c:v>
                </c:pt>
                <c:pt idx="1">
                  <c:v>3.2545931758530187</c:v>
                </c:pt>
                <c:pt idx="2">
                  <c:v>3.2545931758530187</c:v>
                </c:pt>
                <c:pt idx="3">
                  <c:v>-3.2545931758530187</c:v>
                </c:pt>
                <c:pt idx="4">
                  <c:v>-3.2545931758530187</c:v>
                </c:pt>
                <c:pt idx="5">
                  <c:v>3.2545931758530187</c:v>
                </c:pt>
                <c:pt idx="6">
                  <c:v>3.2545931758530187</c:v>
                </c:pt>
                <c:pt idx="7">
                  <c:v>-3.2545931758530187</c:v>
                </c:pt>
                <c:pt idx="8">
                  <c:v>-3.2545931758530187</c:v>
                </c:pt>
                <c:pt idx="9">
                  <c:v>3.2545931758530187</c:v>
                </c:pt>
                <c:pt idx="10">
                  <c:v>3.2545931758530187</c:v>
                </c:pt>
                <c:pt idx="11">
                  <c:v>-3.2545931758530187</c:v>
                </c:pt>
                <c:pt idx="12">
                  <c:v>-3.2545931758530187</c:v>
                </c:pt>
                <c:pt idx="13">
                  <c:v>3.2545931758530187</c:v>
                </c:pt>
                <c:pt idx="14">
                  <c:v>3.2545931758530187</c:v>
                </c:pt>
                <c:pt idx="15">
                  <c:v>-3.2545931758530187</c:v>
                </c:pt>
                <c:pt idx="16">
                  <c:v>-3.2545931758530187</c:v>
                </c:pt>
                <c:pt idx="17">
                  <c:v>0</c:v>
                </c:pt>
                <c:pt idx="18">
                  <c:v>0</c:v>
                </c:pt>
                <c:pt idx="19">
                  <c:v>0.48803313648293967</c:v>
                </c:pt>
                <c:pt idx="20">
                  <c:v>-0.48803313648293967</c:v>
                </c:pt>
                <c:pt idx="21">
                  <c:v>0.48803313648293967</c:v>
                </c:pt>
                <c:pt idx="22">
                  <c:v>-0.48803313648293967</c:v>
                </c:pt>
                <c:pt idx="23">
                  <c:v>1.1392634514435698</c:v>
                </c:pt>
                <c:pt idx="24">
                  <c:v>2.1153297244094489</c:v>
                </c:pt>
                <c:pt idx="25">
                  <c:v>2.1153297244094489</c:v>
                </c:pt>
                <c:pt idx="26">
                  <c:v>1.1392634514435698</c:v>
                </c:pt>
              </c:numCache>
            </c:numRef>
          </c:yVal>
        </c:ser>
        <c:axId val="126186624"/>
        <c:axId val="126188160"/>
      </c:scatterChart>
      <c:valAx>
        <c:axId val="126186624"/>
        <c:scaling>
          <c:orientation val="minMax"/>
          <c:min val="-1"/>
        </c:scaling>
        <c:axPos val="b"/>
        <c:majorGridlines/>
        <c:numFmt formatCode="0" sourceLinked="1"/>
        <c:majorTickMark val="none"/>
        <c:minorTickMark val="in"/>
        <c:tickLblPos val="nextTo"/>
        <c:crossAx val="126188160"/>
        <c:crossesAt val="-100"/>
        <c:crossBetween val="midCat"/>
        <c:majorUnit val="1"/>
        <c:minorUnit val="1"/>
      </c:valAx>
      <c:valAx>
        <c:axId val="126188160"/>
        <c:scaling>
          <c:orientation val="minMax"/>
        </c:scaling>
        <c:axPos val="l"/>
        <c:majorGridlines/>
        <c:numFmt formatCode="0" sourceLinked="1"/>
        <c:majorTickMark val="none"/>
        <c:minorTickMark val="in"/>
        <c:tickLblPos val="nextTo"/>
        <c:crossAx val="126186624"/>
        <c:crossesAt val="-100"/>
        <c:crossBetween val="midCat"/>
        <c:majorUnit val="1"/>
        <c:minorUnit val="1"/>
      </c:valAx>
      <c:spPr>
        <a:solidFill>
          <a:srgbClr val="F5FFF5"/>
        </a:solidFill>
      </c:spPr>
    </c:plotArea>
    <c:plotVisOnly val="1"/>
  </c:chart>
  <c:printSettings>
    <c:headerFooter/>
    <c:pageMargins b="0.75000000000001332" l="0.70000000000000062" r="0.70000000000000062" t="0.75000000000001332" header="0.30000000000000032" footer="0.30000000000000032"/>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3.32118123083886E-2"/>
          <c:y val="3.0897559171273695E-2"/>
          <c:w val="0.94734597638888585"/>
          <c:h val="0.91135819685606256"/>
        </c:manualLayout>
      </c:layout>
      <c:scatterChart>
        <c:scatterStyle val="lineMarker"/>
        <c:ser>
          <c:idx val="0"/>
          <c:order val="0"/>
          <c:spPr>
            <a:ln>
              <a:solidFill>
                <a:srgbClr val="00B4FF"/>
              </a:solidFill>
            </a:ln>
          </c:spPr>
          <c:marker>
            <c:symbol val="none"/>
          </c:marker>
          <c:dPt>
            <c:idx val="15"/>
            <c:spPr>
              <a:ln>
                <a:noFill/>
              </a:ln>
            </c:spPr>
          </c:dPt>
          <c:dPt>
            <c:idx val="19"/>
            <c:spPr>
              <a:ln>
                <a:noFill/>
              </a:ln>
            </c:spPr>
          </c:dPt>
          <c:dPt>
            <c:idx val="20"/>
            <c:spPr>
              <a:ln>
                <a:solidFill>
                  <a:srgbClr val="FF0000"/>
                </a:solidFill>
              </a:ln>
            </c:spPr>
          </c:dPt>
          <c:dPt>
            <c:idx val="21"/>
            <c:spPr>
              <a:ln>
                <a:noFill/>
              </a:ln>
            </c:spPr>
          </c:dPt>
          <c:dPt>
            <c:idx val="22"/>
            <c:spPr>
              <a:ln>
                <a:solidFill>
                  <a:srgbClr val="FF0000"/>
                </a:solidFill>
              </a:ln>
            </c:spPr>
          </c:dPt>
          <c:dPt>
            <c:idx val="23"/>
            <c:spPr>
              <a:ln>
                <a:noFill/>
              </a:ln>
            </c:spPr>
          </c:dPt>
          <c:dPt>
            <c:idx val="24"/>
            <c:spPr>
              <a:ln>
                <a:solidFill>
                  <a:srgbClr val="FF0000"/>
                </a:solidFill>
              </a:ln>
            </c:spPr>
          </c:dPt>
          <c:dPt>
            <c:idx val="25"/>
            <c:spPr>
              <a:ln>
                <a:noFill/>
              </a:ln>
            </c:spPr>
          </c:dPt>
          <c:dPt>
            <c:idx val="26"/>
            <c:spPr>
              <a:ln>
                <a:solidFill>
                  <a:srgbClr val="FF0000"/>
                </a:solidFill>
              </a:ln>
            </c:spPr>
          </c:dPt>
          <c:xVal>
            <c:numRef>
              <c:f>PV!$F$817:$F$843</c:f>
              <c:numCache>
                <c:formatCode>0</c:formatCode>
                <c:ptCount val="27"/>
                <c:pt idx="0">
                  <c:v>0</c:v>
                </c:pt>
                <c:pt idx="1">
                  <c:v>0</c:v>
                </c:pt>
                <c:pt idx="2">
                  <c:v>3.2545931758530187</c:v>
                </c:pt>
                <c:pt idx="3">
                  <c:v>3.2545931758530187</c:v>
                </c:pt>
                <c:pt idx="4">
                  <c:v>6.5091863517060373</c:v>
                </c:pt>
                <c:pt idx="5">
                  <c:v>6.5091863517060373</c:v>
                </c:pt>
                <c:pt idx="6">
                  <c:v>9.7637795275590555</c:v>
                </c:pt>
                <c:pt idx="7">
                  <c:v>9.7637795275590555</c:v>
                </c:pt>
                <c:pt idx="8">
                  <c:v>13.018372703412075</c:v>
                </c:pt>
                <c:pt idx="9">
                  <c:v>13.018372703412075</c:v>
                </c:pt>
                <c:pt idx="10">
                  <c:v>16.272965879265094</c:v>
                </c:pt>
                <c:pt idx="11">
                  <c:v>16.272965879265094</c:v>
                </c:pt>
                <c:pt idx="12">
                  <c:v>19.527559055118111</c:v>
                </c:pt>
                <c:pt idx="13">
                  <c:v>19.527559055118111</c:v>
                </c:pt>
                <c:pt idx="14">
                  <c:v>0</c:v>
                </c:pt>
                <c:pt idx="15">
                  <c:v>16.272965879265094</c:v>
                </c:pt>
                <c:pt idx="16">
                  <c:v>0</c:v>
                </c:pt>
                <c:pt idx="17">
                  <c:v>0</c:v>
                </c:pt>
                <c:pt idx="18">
                  <c:v>19.527559055118111</c:v>
                </c:pt>
                <c:pt idx="19">
                  <c:v>9.3820456036745412</c:v>
                </c:pt>
                <c:pt idx="20">
                  <c:v>10.14551345144357</c:v>
                </c:pt>
                <c:pt idx="21">
                  <c:v>10.14551345144357</c:v>
                </c:pt>
                <c:pt idx="22">
                  <c:v>9.3820456036745412</c:v>
                </c:pt>
                <c:pt idx="23">
                  <c:v>10.14551345144357</c:v>
                </c:pt>
                <c:pt idx="24">
                  <c:v>9.3820456036745412</c:v>
                </c:pt>
                <c:pt idx="25">
                  <c:v>10.14551345144357</c:v>
                </c:pt>
                <c:pt idx="26">
                  <c:v>9.3820456036745412</c:v>
                </c:pt>
              </c:numCache>
            </c:numRef>
          </c:xVal>
          <c:yVal>
            <c:numRef>
              <c:f>PV!$G$817:$G$843</c:f>
              <c:numCache>
                <c:formatCode>0</c:formatCode>
                <c:ptCount val="27"/>
                <c:pt idx="0">
                  <c:v>0</c:v>
                </c:pt>
                <c:pt idx="1">
                  <c:v>5.3805774278215219</c:v>
                </c:pt>
                <c:pt idx="2">
                  <c:v>5.3805774278215219</c:v>
                </c:pt>
                <c:pt idx="3">
                  <c:v>-5.3805774278215219</c:v>
                </c:pt>
                <c:pt idx="4">
                  <c:v>-5.3805774278215219</c:v>
                </c:pt>
                <c:pt idx="5">
                  <c:v>5.3805774278215219</c:v>
                </c:pt>
                <c:pt idx="6">
                  <c:v>5.3805774278215219</c:v>
                </c:pt>
                <c:pt idx="7">
                  <c:v>-5.3805774278215219</c:v>
                </c:pt>
                <c:pt idx="8">
                  <c:v>-5.3805774278215219</c:v>
                </c:pt>
                <c:pt idx="9">
                  <c:v>5.3805774278215219</c:v>
                </c:pt>
                <c:pt idx="10">
                  <c:v>5.3805774278215219</c:v>
                </c:pt>
                <c:pt idx="11">
                  <c:v>-5.3805774278215219</c:v>
                </c:pt>
                <c:pt idx="12">
                  <c:v>-5.3805774278215219</c:v>
                </c:pt>
                <c:pt idx="13">
                  <c:v>5.3805774278215219</c:v>
                </c:pt>
                <c:pt idx="14">
                  <c:v>5.3805774278215219</c:v>
                </c:pt>
                <c:pt idx="15">
                  <c:v>-5.3805774278215219</c:v>
                </c:pt>
                <c:pt idx="16">
                  <c:v>-5.3805774278215219</c:v>
                </c:pt>
                <c:pt idx="17">
                  <c:v>0</c:v>
                </c:pt>
                <c:pt idx="18">
                  <c:v>0</c:v>
                </c:pt>
                <c:pt idx="19">
                  <c:v>0.38173392388451444</c:v>
                </c:pt>
                <c:pt idx="20">
                  <c:v>-0.38173392388451444</c:v>
                </c:pt>
                <c:pt idx="21">
                  <c:v>0.38173392388451444</c:v>
                </c:pt>
                <c:pt idx="22">
                  <c:v>-0.38173392388451444</c:v>
                </c:pt>
                <c:pt idx="23">
                  <c:v>2.3085547900262466</c:v>
                </c:pt>
                <c:pt idx="24">
                  <c:v>3.0720226377952753</c:v>
                </c:pt>
                <c:pt idx="25">
                  <c:v>3.0720226377952753</c:v>
                </c:pt>
                <c:pt idx="26">
                  <c:v>2.3085547900262466</c:v>
                </c:pt>
              </c:numCache>
            </c:numRef>
          </c:yVal>
        </c:ser>
        <c:axId val="126223104"/>
        <c:axId val="126224640"/>
      </c:scatterChart>
      <c:valAx>
        <c:axId val="126223104"/>
        <c:scaling>
          <c:orientation val="minMax"/>
          <c:min val="-1"/>
        </c:scaling>
        <c:axPos val="b"/>
        <c:majorGridlines/>
        <c:numFmt formatCode="0" sourceLinked="1"/>
        <c:majorTickMark val="none"/>
        <c:minorTickMark val="in"/>
        <c:tickLblPos val="nextTo"/>
        <c:crossAx val="126224640"/>
        <c:crossesAt val="-100"/>
        <c:crossBetween val="midCat"/>
        <c:majorUnit val="1"/>
        <c:minorUnit val="1"/>
      </c:valAx>
      <c:valAx>
        <c:axId val="126224640"/>
        <c:scaling>
          <c:orientation val="minMax"/>
        </c:scaling>
        <c:axPos val="l"/>
        <c:majorGridlines/>
        <c:numFmt formatCode="0" sourceLinked="1"/>
        <c:majorTickMark val="none"/>
        <c:minorTickMark val="in"/>
        <c:tickLblPos val="nextTo"/>
        <c:crossAx val="126223104"/>
        <c:crossesAt val="-100"/>
        <c:crossBetween val="midCat"/>
        <c:majorUnit val="1"/>
        <c:minorUnit val="1"/>
      </c:valAx>
      <c:spPr>
        <a:solidFill>
          <a:srgbClr val="F5FFF5"/>
        </a:solidFill>
      </c:spPr>
    </c:plotArea>
    <c:plotVisOnly val="1"/>
  </c:chart>
  <c:printSettings>
    <c:headerFooter/>
    <c:pageMargins b="0.75000000000001354" l="0.70000000000000062" r="0.70000000000000062" t="0.75000000000001354"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2862250446783341E-2"/>
          <c:y val="6.0919175226553469E-2"/>
          <c:w val="0.90033815714305909"/>
          <c:h val="0.82905803441236514"/>
        </c:manualLayout>
      </c:layout>
      <c:scatterChart>
        <c:scatterStyle val="lineMarker"/>
        <c:ser>
          <c:idx val="0"/>
          <c:order val="0"/>
          <c:spPr>
            <a:ln>
              <a:solidFill>
                <a:srgbClr val="00B4FF"/>
              </a:solidFill>
            </a:ln>
          </c:spPr>
          <c:marker>
            <c:symbol val="none"/>
          </c:marker>
          <c:dPt>
            <c:idx val="10"/>
            <c:spPr>
              <a:ln>
                <a:noFill/>
              </a:ln>
            </c:spPr>
          </c:dPt>
          <c:dPt>
            <c:idx val="12"/>
            <c:spPr>
              <a:ln>
                <a:noFill/>
              </a:ln>
            </c:spPr>
          </c:dPt>
          <c:dPt>
            <c:idx val="14"/>
            <c:spPr>
              <a:ln>
                <a:noFill/>
              </a:ln>
            </c:spPr>
          </c:dPt>
          <c:dPt>
            <c:idx val="15"/>
            <c:spPr>
              <a:ln>
                <a:solidFill>
                  <a:srgbClr val="FF0000"/>
                </a:solidFill>
              </a:ln>
            </c:spPr>
          </c:dPt>
          <c:dPt>
            <c:idx val="16"/>
            <c:spPr>
              <a:ln>
                <a:noFill/>
              </a:ln>
            </c:spPr>
          </c:dPt>
          <c:dPt>
            <c:idx val="17"/>
            <c:spPr>
              <a:ln>
                <a:solidFill>
                  <a:srgbClr val="FF0000"/>
                </a:solidFill>
              </a:ln>
            </c:spPr>
          </c:dPt>
          <c:dPt>
            <c:idx val="18"/>
            <c:spPr>
              <a:ln>
                <a:noFill/>
              </a:ln>
            </c:spPr>
          </c:dPt>
          <c:dPt>
            <c:idx val="19"/>
            <c:spPr>
              <a:ln>
                <a:solidFill>
                  <a:srgbClr val="FF0000"/>
                </a:solidFill>
              </a:ln>
            </c:spPr>
          </c:dPt>
          <c:dPt>
            <c:idx val="20"/>
            <c:spPr>
              <a:ln>
                <a:noFill/>
              </a:ln>
            </c:spPr>
          </c:dPt>
          <c:dPt>
            <c:idx val="21"/>
            <c:spPr>
              <a:ln>
                <a:solidFill>
                  <a:srgbClr val="FF0000"/>
                </a:solidFill>
              </a:ln>
            </c:spPr>
          </c:dPt>
          <c:xVal>
            <c:numRef>
              <c:f>PV!$F$265:$F$286</c:f>
              <c:numCache>
                <c:formatCode>0</c:formatCode>
                <c:ptCount val="22"/>
                <c:pt idx="0">
                  <c:v>5.3805774278215219</c:v>
                </c:pt>
                <c:pt idx="1">
                  <c:v>5.3805774278215219</c:v>
                </c:pt>
                <c:pt idx="2">
                  <c:v>8.6351706036745401</c:v>
                </c:pt>
                <c:pt idx="3">
                  <c:v>8.6351706036745401</c:v>
                </c:pt>
                <c:pt idx="4">
                  <c:v>8.6351706036745401</c:v>
                </c:pt>
                <c:pt idx="5">
                  <c:v>5.3805774278215219</c:v>
                </c:pt>
                <c:pt idx="6">
                  <c:v>5.3805774278215219</c:v>
                </c:pt>
                <c:pt idx="7">
                  <c:v>0</c:v>
                </c:pt>
                <c:pt idx="8">
                  <c:v>0</c:v>
                </c:pt>
                <c:pt idx="9">
                  <c:v>5.3805774278215219</c:v>
                </c:pt>
                <c:pt idx="10">
                  <c:v>0</c:v>
                </c:pt>
                <c:pt idx="11">
                  <c:v>5.3805774278215219</c:v>
                </c:pt>
                <c:pt idx="12">
                  <c:v>0</c:v>
                </c:pt>
                <c:pt idx="13">
                  <c:v>5.3805774278215219</c:v>
                </c:pt>
                <c:pt idx="14">
                  <c:v>4.6999384842519678</c:v>
                </c:pt>
                <c:pt idx="15">
                  <c:v>4.9982242454068242</c:v>
                </c:pt>
                <c:pt idx="16">
                  <c:v>4.9982242454068242</c:v>
                </c:pt>
                <c:pt idx="17">
                  <c:v>4.6999384842519678</c:v>
                </c:pt>
                <c:pt idx="18">
                  <c:v>4.9982242454068242</c:v>
                </c:pt>
                <c:pt idx="19">
                  <c:v>4.6999384842519678</c:v>
                </c:pt>
                <c:pt idx="20">
                  <c:v>4.9982242454068242</c:v>
                </c:pt>
                <c:pt idx="21">
                  <c:v>4.6999384842519678</c:v>
                </c:pt>
              </c:numCache>
            </c:numRef>
          </c:xVal>
          <c:yVal>
            <c:numRef>
              <c:f>PV!$G$265:$G$286</c:f>
              <c:numCache>
                <c:formatCode>0</c:formatCode>
                <c:ptCount val="22"/>
                <c:pt idx="0">
                  <c:v>1.6272965879265093</c:v>
                </c:pt>
                <c:pt idx="1">
                  <c:v>2.690288713910761</c:v>
                </c:pt>
                <c:pt idx="2">
                  <c:v>2.690288713910761</c:v>
                </c:pt>
                <c:pt idx="3">
                  <c:v>-2.690288713910761</c:v>
                </c:pt>
                <c:pt idx="4">
                  <c:v>-2.690288713910761</c:v>
                </c:pt>
                <c:pt idx="5">
                  <c:v>-2.690288713910761</c:v>
                </c:pt>
                <c:pt idx="6">
                  <c:v>1.6272965879265093</c:v>
                </c:pt>
                <c:pt idx="7">
                  <c:v>1.6272965879265093</c:v>
                </c:pt>
                <c:pt idx="8">
                  <c:v>-1.6272965879265093</c:v>
                </c:pt>
                <c:pt idx="9">
                  <c:v>-1.6272965879265093</c:v>
                </c:pt>
                <c:pt idx="10">
                  <c:v>1.6272965879265093</c:v>
                </c:pt>
                <c:pt idx="11">
                  <c:v>2.690288713910761</c:v>
                </c:pt>
                <c:pt idx="12">
                  <c:v>-1.6272965879265093</c:v>
                </c:pt>
                <c:pt idx="13">
                  <c:v>-2.690288713910761</c:v>
                </c:pt>
                <c:pt idx="14">
                  <c:v>0.14914288057742781</c:v>
                </c:pt>
                <c:pt idx="15">
                  <c:v>-0.14914288057742781</c:v>
                </c:pt>
                <c:pt idx="16">
                  <c:v>0.14914288057742781</c:v>
                </c:pt>
                <c:pt idx="17">
                  <c:v>-0.14914288057742781</c:v>
                </c:pt>
                <c:pt idx="18">
                  <c:v>0.93025344488188977</c:v>
                </c:pt>
                <c:pt idx="19">
                  <c:v>1.2285392060367453</c:v>
                </c:pt>
                <c:pt idx="20">
                  <c:v>1.2285392060367453</c:v>
                </c:pt>
                <c:pt idx="21">
                  <c:v>0.93025344488188977</c:v>
                </c:pt>
              </c:numCache>
            </c:numRef>
          </c:yVal>
        </c:ser>
        <c:axId val="126265216"/>
        <c:axId val="126266752"/>
      </c:scatterChart>
      <c:valAx>
        <c:axId val="126265216"/>
        <c:scaling>
          <c:orientation val="minMax"/>
          <c:min val="-1"/>
        </c:scaling>
        <c:axPos val="b"/>
        <c:majorGridlines/>
        <c:numFmt formatCode="0" sourceLinked="1"/>
        <c:tickLblPos val="nextTo"/>
        <c:crossAx val="126266752"/>
        <c:crossesAt val="-100"/>
        <c:crossBetween val="midCat"/>
        <c:majorUnit val="1"/>
      </c:valAx>
      <c:valAx>
        <c:axId val="126266752"/>
        <c:scaling>
          <c:orientation val="minMax"/>
        </c:scaling>
        <c:axPos val="l"/>
        <c:majorGridlines/>
        <c:numFmt formatCode="0" sourceLinked="1"/>
        <c:tickLblPos val="nextTo"/>
        <c:crossAx val="126265216"/>
        <c:crossesAt val="-100"/>
        <c:crossBetween val="midCat"/>
        <c:majorUnit val="1"/>
      </c:valAx>
      <c:spPr>
        <a:solidFill>
          <a:srgbClr val="F5FFF5"/>
        </a:solidFill>
      </c:spPr>
    </c:plotArea>
    <c:plotVisOnly val="1"/>
  </c:chart>
  <c:printSettings>
    <c:headerFooter/>
    <c:pageMargins b="0.75000000000001177" l="0.70000000000000062" r="0.70000000000000062" t="0.75000000000001177"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4.5256317825621992E-2"/>
          <c:y val="3.4426417628029123E-2"/>
          <c:w val="0.92825061140248044"/>
          <c:h val="0.9033979124702437"/>
        </c:manualLayout>
      </c:layout>
      <c:scatterChart>
        <c:scatterStyle val="lineMarker"/>
        <c:ser>
          <c:idx val="0"/>
          <c:order val="0"/>
          <c:spPr>
            <a:ln>
              <a:solidFill>
                <a:srgbClr val="00B4FF"/>
              </a:solidFill>
            </a:ln>
          </c:spPr>
          <c:marker>
            <c:symbol val="none"/>
          </c:marker>
          <c:dPt>
            <c:idx val="5"/>
            <c:spPr>
              <a:ln>
                <a:noFill/>
              </a:ln>
            </c:spPr>
          </c:dPt>
          <c:dPt>
            <c:idx val="16"/>
            <c:spPr>
              <a:ln>
                <a:noFill/>
              </a:ln>
            </c:spPr>
          </c:dPt>
          <c:dPt>
            <c:idx val="20"/>
            <c:spPr>
              <a:ln>
                <a:noFill/>
              </a:ln>
            </c:spPr>
          </c:dPt>
          <c:dPt>
            <c:idx val="22"/>
            <c:spPr>
              <a:ln>
                <a:noFill/>
              </a:ln>
            </c:spPr>
          </c:dPt>
          <c:dPt>
            <c:idx val="24"/>
            <c:spPr>
              <a:ln>
                <a:noFill/>
              </a:ln>
            </c:spPr>
          </c:dPt>
          <c:dPt>
            <c:idx val="25"/>
            <c:spPr>
              <a:ln>
                <a:solidFill>
                  <a:srgbClr val="FF0000"/>
                </a:solidFill>
              </a:ln>
            </c:spPr>
          </c:dPt>
          <c:dPt>
            <c:idx val="26"/>
            <c:spPr>
              <a:ln>
                <a:noFill/>
              </a:ln>
            </c:spPr>
          </c:dPt>
          <c:dPt>
            <c:idx val="27"/>
            <c:spPr>
              <a:ln>
                <a:solidFill>
                  <a:srgbClr val="FF0000"/>
                </a:solidFill>
              </a:ln>
            </c:spPr>
          </c:dPt>
          <c:dPt>
            <c:idx val="28"/>
            <c:spPr>
              <a:ln>
                <a:noFill/>
              </a:ln>
            </c:spPr>
          </c:dPt>
          <c:dPt>
            <c:idx val="29"/>
            <c:spPr>
              <a:ln>
                <a:solidFill>
                  <a:srgbClr val="FF0000"/>
                </a:solidFill>
              </a:ln>
            </c:spPr>
          </c:dPt>
          <c:dPt>
            <c:idx val="30"/>
            <c:spPr>
              <a:ln>
                <a:noFill/>
              </a:ln>
            </c:spPr>
          </c:dPt>
          <c:dPt>
            <c:idx val="31"/>
            <c:spPr>
              <a:ln>
                <a:solidFill>
                  <a:srgbClr val="FF0000"/>
                </a:solidFill>
              </a:ln>
            </c:spPr>
          </c:dPt>
          <c:dPt>
            <c:idx val="32"/>
            <c:spPr>
              <a:ln>
                <a:noFill/>
              </a:ln>
            </c:spPr>
          </c:dPt>
          <c:dPt>
            <c:idx val="33"/>
            <c:spPr>
              <a:ln>
                <a:solidFill>
                  <a:srgbClr val="FF0000"/>
                </a:solidFill>
              </a:ln>
            </c:spPr>
          </c:dPt>
          <c:dPt>
            <c:idx val="35"/>
            <c:spPr>
              <a:ln>
                <a:solidFill>
                  <a:srgbClr val="FF0000"/>
                </a:solidFill>
              </a:ln>
            </c:spPr>
          </c:dPt>
          <c:xVal>
            <c:numRef>
              <c:f>PV!$F$429:$F$464</c:f>
              <c:numCache>
                <c:formatCode>0</c:formatCode>
                <c:ptCount val="36"/>
                <c:pt idx="0">
                  <c:v>0</c:v>
                </c:pt>
                <c:pt idx="1">
                  <c:v>3.2545931758530187</c:v>
                </c:pt>
                <c:pt idx="2">
                  <c:v>3.2545931758530187</c:v>
                </c:pt>
                <c:pt idx="3">
                  <c:v>0</c:v>
                </c:pt>
                <c:pt idx="4">
                  <c:v>0</c:v>
                </c:pt>
                <c:pt idx="5">
                  <c:v>3.2545931758530187</c:v>
                </c:pt>
                <c:pt idx="6">
                  <c:v>3.2545931758530187</c:v>
                </c:pt>
                <c:pt idx="7">
                  <c:v>8.6351706036745401</c:v>
                </c:pt>
                <c:pt idx="8">
                  <c:v>8.6351706036745401</c:v>
                </c:pt>
                <c:pt idx="9">
                  <c:v>3.2545931758530187</c:v>
                </c:pt>
                <c:pt idx="10">
                  <c:v>3.2545931758530187</c:v>
                </c:pt>
                <c:pt idx="11">
                  <c:v>8.6351706036745401</c:v>
                </c:pt>
                <c:pt idx="12">
                  <c:v>8.6351706036745401</c:v>
                </c:pt>
                <c:pt idx="13">
                  <c:v>8.6351706036745401</c:v>
                </c:pt>
                <c:pt idx="14">
                  <c:v>8.6351706036745401</c:v>
                </c:pt>
                <c:pt idx="15">
                  <c:v>14.015748031496063</c:v>
                </c:pt>
                <c:pt idx="16">
                  <c:v>8.6351706036745401</c:v>
                </c:pt>
                <c:pt idx="17">
                  <c:v>8.6351706036745401</c:v>
                </c:pt>
                <c:pt idx="18">
                  <c:v>14.015748031496063</c:v>
                </c:pt>
                <c:pt idx="19">
                  <c:v>14.015748031496063</c:v>
                </c:pt>
                <c:pt idx="20">
                  <c:v>8.6351706036745401</c:v>
                </c:pt>
                <c:pt idx="21">
                  <c:v>14.015748031496063</c:v>
                </c:pt>
                <c:pt idx="22">
                  <c:v>8.6351706036745401</c:v>
                </c:pt>
                <c:pt idx="23">
                  <c:v>14.015748031496063</c:v>
                </c:pt>
                <c:pt idx="24">
                  <c:v>7.6162456255468074</c:v>
                </c:pt>
                <c:pt idx="25">
                  <c:v>8.2149004811898525</c:v>
                </c:pt>
                <c:pt idx="26">
                  <c:v>8.2149004811898525</c:v>
                </c:pt>
                <c:pt idx="27">
                  <c:v>7.6162456255468074</c:v>
                </c:pt>
                <c:pt idx="28">
                  <c:v>8.2149004811898525</c:v>
                </c:pt>
                <c:pt idx="29">
                  <c:v>7.6162456255468074</c:v>
                </c:pt>
                <c:pt idx="30">
                  <c:v>8.2149004811898525</c:v>
                </c:pt>
                <c:pt idx="31">
                  <c:v>7.6162456255468074</c:v>
                </c:pt>
                <c:pt idx="32">
                  <c:v>0</c:v>
                </c:pt>
                <c:pt idx="33">
                  <c:v>8.6351706036745401</c:v>
                </c:pt>
                <c:pt idx="34">
                  <c:v>8.6351706036745401</c:v>
                </c:pt>
                <c:pt idx="35">
                  <c:v>0</c:v>
                </c:pt>
              </c:numCache>
            </c:numRef>
          </c:xVal>
          <c:yVal>
            <c:numRef>
              <c:f>PV!$G$429:$G$464</c:f>
              <c:numCache>
                <c:formatCode>0</c:formatCode>
                <c:ptCount val="36"/>
                <c:pt idx="0">
                  <c:v>2.690288713910761</c:v>
                </c:pt>
                <c:pt idx="1">
                  <c:v>2.690288713910761</c:v>
                </c:pt>
                <c:pt idx="2">
                  <c:v>-2.690288713910761</c:v>
                </c:pt>
                <c:pt idx="3">
                  <c:v>-2.690288713910761</c:v>
                </c:pt>
                <c:pt idx="4">
                  <c:v>2.690288713910761</c:v>
                </c:pt>
                <c:pt idx="5">
                  <c:v>0</c:v>
                </c:pt>
                <c:pt idx="6">
                  <c:v>3.2545931758530187</c:v>
                </c:pt>
                <c:pt idx="7">
                  <c:v>3.2545931758530187</c:v>
                </c:pt>
                <c:pt idx="8">
                  <c:v>0</c:v>
                </c:pt>
                <c:pt idx="9">
                  <c:v>0</c:v>
                </c:pt>
                <c:pt idx="10">
                  <c:v>-3.2545931758530187</c:v>
                </c:pt>
                <c:pt idx="11">
                  <c:v>-3.2545931758530187</c:v>
                </c:pt>
                <c:pt idx="12">
                  <c:v>0</c:v>
                </c:pt>
                <c:pt idx="13">
                  <c:v>3.2545931758530187</c:v>
                </c:pt>
                <c:pt idx="14">
                  <c:v>4.8818897637795278</c:v>
                </c:pt>
                <c:pt idx="15">
                  <c:v>4.8818897637795278</c:v>
                </c:pt>
                <c:pt idx="16">
                  <c:v>-3.2545931758530187</c:v>
                </c:pt>
                <c:pt idx="17">
                  <c:v>-4.8818897637795278</c:v>
                </c:pt>
                <c:pt idx="18">
                  <c:v>-4.8818897637795278</c:v>
                </c:pt>
                <c:pt idx="19">
                  <c:v>4.8818897637795278</c:v>
                </c:pt>
                <c:pt idx="20">
                  <c:v>1.6272965879265093</c:v>
                </c:pt>
                <c:pt idx="21">
                  <c:v>1.6272965879265093</c:v>
                </c:pt>
                <c:pt idx="22">
                  <c:v>-1.6272965879265093</c:v>
                </c:pt>
                <c:pt idx="23">
                  <c:v>-1.6272965879265093</c:v>
                </c:pt>
                <c:pt idx="24">
                  <c:v>0.29932742782152233</c:v>
                </c:pt>
                <c:pt idx="25">
                  <c:v>-0.29932742782152233</c:v>
                </c:pt>
                <c:pt idx="26">
                  <c:v>0.29932742782152233</c:v>
                </c:pt>
                <c:pt idx="27">
                  <c:v>-0.29932742782152233</c:v>
                </c:pt>
                <c:pt idx="28">
                  <c:v>1.6877679352580928</c:v>
                </c:pt>
                <c:pt idx="29">
                  <c:v>2.2864227909011374</c:v>
                </c:pt>
                <c:pt idx="30">
                  <c:v>2.2864227909011374</c:v>
                </c:pt>
                <c:pt idx="31">
                  <c:v>1.6877679352580928</c:v>
                </c:pt>
                <c:pt idx="32">
                  <c:v>2.690288713910761</c:v>
                </c:pt>
                <c:pt idx="33">
                  <c:v>4.8818897637795278</c:v>
                </c:pt>
                <c:pt idx="34">
                  <c:v>-4.8818897637795278</c:v>
                </c:pt>
                <c:pt idx="35">
                  <c:v>-2.690288713910761</c:v>
                </c:pt>
              </c:numCache>
            </c:numRef>
          </c:yVal>
        </c:ser>
        <c:axId val="126307712"/>
        <c:axId val="126317696"/>
      </c:scatterChart>
      <c:valAx>
        <c:axId val="126307712"/>
        <c:scaling>
          <c:orientation val="minMax"/>
          <c:min val="-1"/>
        </c:scaling>
        <c:axPos val="b"/>
        <c:majorGridlines/>
        <c:numFmt formatCode="0" sourceLinked="1"/>
        <c:tickLblPos val="nextTo"/>
        <c:crossAx val="126317696"/>
        <c:crossesAt val="-100"/>
        <c:crossBetween val="midCat"/>
        <c:majorUnit val="1"/>
      </c:valAx>
      <c:valAx>
        <c:axId val="126317696"/>
        <c:scaling>
          <c:orientation val="minMax"/>
        </c:scaling>
        <c:axPos val="l"/>
        <c:majorGridlines/>
        <c:numFmt formatCode="0" sourceLinked="1"/>
        <c:tickLblPos val="nextTo"/>
        <c:crossAx val="126307712"/>
        <c:crossesAt val="-100"/>
        <c:crossBetween val="midCat"/>
        <c:majorUnit val="1"/>
      </c:valAx>
      <c:spPr>
        <a:solidFill>
          <a:srgbClr val="F5FFF5"/>
        </a:solidFill>
      </c:spPr>
    </c:plotArea>
    <c:plotVisOnly val="1"/>
  </c:chart>
  <c:printSettings>
    <c:headerFooter/>
    <c:pageMargins b="0.75000000000001243" l="0.70000000000000062" r="0.70000000000000062" t="0.75000000000001243" header="0.30000000000000032" footer="0.30000000000000032"/>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119113608361827"/>
          <c:y val="6.7905319174552725E-2"/>
          <c:w val="0.82409760544235544"/>
          <c:h val="0.80945459799176456"/>
        </c:manualLayout>
      </c:layout>
      <c:scatterChart>
        <c:scatterStyle val="lineMarker"/>
        <c:ser>
          <c:idx val="0"/>
          <c:order val="0"/>
          <c:spPr>
            <a:ln>
              <a:solidFill>
                <a:srgbClr val="00B4FF"/>
              </a:solidFill>
            </a:ln>
          </c:spPr>
          <c:marker>
            <c:symbol val="none"/>
          </c:marker>
          <c:dPt>
            <c:idx val="5"/>
            <c:spPr>
              <a:ln>
                <a:noFill/>
              </a:ln>
            </c:spPr>
          </c:dPt>
          <c:dPt>
            <c:idx val="6"/>
            <c:spPr>
              <a:ln>
                <a:solidFill>
                  <a:srgbClr val="FF0000"/>
                </a:solidFill>
              </a:ln>
            </c:spPr>
          </c:dPt>
          <c:dPt>
            <c:idx val="7"/>
            <c:spPr>
              <a:ln>
                <a:noFill/>
              </a:ln>
            </c:spPr>
          </c:dPt>
          <c:dPt>
            <c:idx val="8"/>
            <c:spPr>
              <a:ln>
                <a:solidFill>
                  <a:srgbClr val="FF0000"/>
                </a:solidFill>
              </a:ln>
            </c:spPr>
          </c:dPt>
          <c:dPt>
            <c:idx val="9"/>
            <c:spPr>
              <a:ln>
                <a:noFill/>
              </a:ln>
            </c:spPr>
          </c:dPt>
          <c:dPt>
            <c:idx val="10"/>
            <c:spPr>
              <a:ln>
                <a:solidFill>
                  <a:srgbClr val="FF0000"/>
                </a:solidFill>
              </a:ln>
            </c:spPr>
          </c:dPt>
          <c:dPt>
            <c:idx val="11"/>
            <c:spPr>
              <a:ln>
                <a:noFill/>
              </a:ln>
            </c:spPr>
          </c:dPt>
          <c:dPt>
            <c:idx val="12"/>
            <c:spPr>
              <a:ln>
                <a:solidFill>
                  <a:srgbClr val="FF0000"/>
                </a:solidFill>
              </a:ln>
            </c:spPr>
          </c:dPt>
          <c:dPt>
            <c:idx val="14"/>
            <c:spPr>
              <a:ln>
                <a:noFill/>
              </a:ln>
            </c:spPr>
          </c:dPt>
          <c:dPt>
            <c:idx val="15"/>
            <c:spPr>
              <a:ln>
                <a:solidFill>
                  <a:srgbClr val="FF0000"/>
                </a:solidFill>
              </a:ln>
            </c:spPr>
          </c:dPt>
          <c:dPt>
            <c:idx val="16"/>
            <c:spPr>
              <a:ln>
                <a:noFill/>
              </a:ln>
            </c:spPr>
          </c:dPt>
          <c:dPt>
            <c:idx val="17"/>
            <c:spPr>
              <a:ln>
                <a:solidFill>
                  <a:srgbClr val="FF0000"/>
                </a:solidFill>
              </a:ln>
            </c:spPr>
          </c:dPt>
          <c:dPt>
            <c:idx val="18"/>
            <c:spPr>
              <a:ln>
                <a:noFill/>
              </a:ln>
            </c:spPr>
          </c:dPt>
          <c:dPt>
            <c:idx val="19"/>
            <c:spPr>
              <a:ln>
                <a:solidFill>
                  <a:srgbClr val="FF0000"/>
                </a:solidFill>
              </a:ln>
            </c:spPr>
          </c:dPt>
          <c:dPt>
            <c:idx val="20"/>
            <c:spPr>
              <a:ln>
                <a:noFill/>
              </a:ln>
            </c:spPr>
          </c:dPt>
          <c:dPt>
            <c:idx val="21"/>
            <c:spPr>
              <a:ln>
                <a:solidFill>
                  <a:srgbClr val="FF0000"/>
                </a:solidFill>
              </a:ln>
            </c:spPr>
          </c:dPt>
          <c:dPt>
            <c:idx val="22"/>
            <c:spPr>
              <a:ln>
                <a:noFill/>
              </a:ln>
            </c:spPr>
          </c:dPt>
          <c:dPt>
            <c:idx val="23"/>
            <c:spPr>
              <a:ln>
                <a:solidFill>
                  <a:srgbClr val="FF0000"/>
                </a:solidFill>
              </a:ln>
            </c:spPr>
          </c:dPt>
          <c:dPt>
            <c:idx val="25"/>
            <c:spPr>
              <a:ln>
                <a:solidFill>
                  <a:srgbClr val="FF0000"/>
                </a:solidFill>
              </a:ln>
            </c:spPr>
          </c:dPt>
          <c:xVal>
            <c:numRef>
              <c:f>PV!$F$66:$F$78</c:f>
              <c:numCache>
                <c:formatCode>0</c:formatCode>
                <c:ptCount val="13"/>
                <c:pt idx="0">
                  <c:v>0</c:v>
                </c:pt>
                <c:pt idx="1">
                  <c:v>3.2545931758530187</c:v>
                </c:pt>
                <c:pt idx="2">
                  <c:v>3.2545931758530187</c:v>
                </c:pt>
                <c:pt idx="3">
                  <c:v>0</c:v>
                </c:pt>
                <c:pt idx="4">
                  <c:v>0</c:v>
                </c:pt>
                <c:pt idx="5">
                  <c:v>1.5193569553805775</c:v>
                </c:pt>
                <c:pt idx="6">
                  <c:v>1.7352362204724412</c:v>
                </c:pt>
                <c:pt idx="7">
                  <c:v>1.7352362204724412</c:v>
                </c:pt>
                <c:pt idx="8">
                  <c:v>1.5193569553805775</c:v>
                </c:pt>
                <c:pt idx="9">
                  <c:v>1.7352362204724412</c:v>
                </c:pt>
                <c:pt idx="10">
                  <c:v>1.5193569553805775</c:v>
                </c:pt>
                <c:pt idx="11">
                  <c:v>1.7352362204724412</c:v>
                </c:pt>
                <c:pt idx="12">
                  <c:v>1.5193569553805775</c:v>
                </c:pt>
              </c:numCache>
            </c:numRef>
          </c:xVal>
          <c:yVal>
            <c:numRef>
              <c:f>PV!$G$66:$G$78</c:f>
              <c:numCache>
                <c:formatCode>0</c:formatCode>
                <c:ptCount val="13"/>
                <c:pt idx="0">
                  <c:v>2.690288713910761</c:v>
                </c:pt>
                <c:pt idx="1">
                  <c:v>2.690288713910761</c:v>
                </c:pt>
                <c:pt idx="2">
                  <c:v>-2.690288713910761</c:v>
                </c:pt>
                <c:pt idx="3">
                  <c:v>-2.690288713910761</c:v>
                </c:pt>
                <c:pt idx="4">
                  <c:v>2.690288713910761</c:v>
                </c:pt>
                <c:pt idx="5">
                  <c:v>0.10793963254593175</c:v>
                </c:pt>
                <c:pt idx="6">
                  <c:v>-0.10793963254593175</c:v>
                </c:pt>
                <c:pt idx="7">
                  <c:v>0.10793963254593175</c:v>
                </c:pt>
                <c:pt idx="8">
                  <c:v>-0.10793963254593175</c:v>
                </c:pt>
                <c:pt idx="9">
                  <c:v>1.2372047244094486</c:v>
                </c:pt>
                <c:pt idx="10">
                  <c:v>1.4530839895013123</c:v>
                </c:pt>
                <c:pt idx="11">
                  <c:v>1.4530839895013123</c:v>
                </c:pt>
                <c:pt idx="12">
                  <c:v>1.2372047244094486</c:v>
                </c:pt>
              </c:numCache>
            </c:numRef>
          </c:yVal>
        </c:ser>
        <c:axId val="126344576"/>
        <c:axId val="126346368"/>
      </c:scatterChart>
      <c:valAx>
        <c:axId val="126344576"/>
        <c:scaling>
          <c:orientation val="minMax"/>
          <c:min val="-1"/>
        </c:scaling>
        <c:axPos val="b"/>
        <c:majorGridlines/>
        <c:numFmt formatCode="0" sourceLinked="1"/>
        <c:tickLblPos val="nextTo"/>
        <c:crossAx val="126346368"/>
        <c:crossesAt val="-100"/>
        <c:crossBetween val="midCat"/>
        <c:majorUnit val="1"/>
      </c:valAx>
      <c:valAx>
        <c:axId val="126346368"/>
        <c:scaling>
          <c:orientation val="minMax"/>
        </c:scaling>
        <c:axPos val="l"/>
        <c:majorGridlines/>
        <c:numFmt formatCode="0" sourceLinked="1"/>
        <c:tickLblPos val="nextTo"/>
        <c:crossAx val="126344576"/>
        <c:crossesAt val="-100"/>
        <c:crossBetween val="midCat"/>
        <c:majorUnit val="1"/>
      </c:valAx>
      <c:spPr>
        <a:solidFill>
          <a:srgbClr val="F5FFF5"/>
        </a:solidFill>
      </c:spPr>
    </c:plotArea>
    <c:plotVisOnly val="1"/>
  </c:chart>
  <c:printSettings>
    <c:headerFooter/>
    <c:pageMargins b="0.75000000000001266" l="0.70000000000000062" r="0.70000000000000062" t="0.75000000000001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5.8351331377304222E-2"/>
          <c:y val="6.1938743012771941E-2"/>
          <c:w val="0.90748977046023349"/>
          <c:h val="0.82619708101340894"/>
        </c:manualLayout>
      </c:layout>
      <c:scatterChart>
        <c:scatterStyle val="lineMarker"/>
        <c:ser>
          <c:idx val="0"/>
          <c:order val="0"/>
          <c:spPr>
            <a:ln>
              <a:solidFill>
                <a:srgbClr val="00B4FF"/>
              </a:solidFill>
            </a:ln>
          </c:spPr>
          <c:marker>
            <c:symbol val="none"/>
          </c:marker>
          <c:dPt>
            <c:idx val="7"/>
            <c:spPr>
              <a:ln>
                <a:noFill/>
              </a:ln>
            </c:spPr>
          </c:dPt>
          <c:dPt>
            <c:idx val="8"/>
            <c:spPr>
              <a:ln>
                <a:solidFill>
                  <a:srgbClr val="FF0000"/>
                </a:solidFill>
              </a:ln>
            </c:spPr>
          </c:dPt>
          <c:dPt>
            <c:idx val="9"/>
            <c:spPr>
              <a:ln>
                <a:noFill/>
              </a:ln>
            </c:spPr>
          </c:dPt>
          <c:dPt>
            <c:idx val="10"/>
            <c:spPr>
              <a:ln>
                <a:solidFill>
                  <a:srgbClr val="FF0000"/>
                </a:solidFill>
              </a:ln>
            </c:spPr>
          </c:dPt>
          <c:dPt>
            <c:idx val="11"/>
            <c:spPr>
              <a:ln>
                <a:noFill/>
              </a:ln>
            </c:spPr>
          </c:dPt>
          <c:dPt>
            <c:idx val="12"/>
            <c:spPr>
              <a:ln>
                <a:solidFill>
                  <a:srgbClr val="FF0000"/>
                </a:solidFill>
              </a:ln>
            </c:spPr>
          </c:dPt>
          <c:dPt>
            <c:idx val="13"/>
            <c:spPr>
              <a:ln>
                <a:noFill/>
              </a:ln>
            </c:spPr>
          </c:dPt>
          <c:dPt>
            <c:idx val="14"/>
            <c:spPr>
              <a:ln>
                <a:solidFill>
                  <a:srgbClr val="FF0000"/>
                </a:solidFill>
              </a:ln>
            </c:spPr>
          </c:dPt>
          <c:xVal>
            <c:numRef>
              <c:f>PV!$F$106:$F$120</c:f>
              <c:numCache>
                <c:formatCode>0</c:formatCode>
                <c:ptCount val="15"/>
                <c:pt idx="0">
                  <c:v>0</c:v>
                </c:pt>
                <c:pt idx="1">
                  <c:v>0</c:v>
                </c:pt>
                <c:pt idx="2">
                  <c:v>5.3805774278215219</c:v>
                </c:pt>
                <c:pt idx="3">
                  <c:v>5.3805774278215219</c:v>
                </c:pt>
                <c:pt idx="4">
                  <c:v>0</c:v>
                </c:pt>
                <c:pt idx="5">
                  <c:v>0</c:v>
                </c:pt>
                <c:pt idx="6">
                  <c:v>5.3805774278215219</c:v>
                </c:pt>
                <c:pt idx="7">
                  <c:v>2.5416666666666665</c:v>
                </c:pt>
                <c:pt idx="8">
                  <c:v>2.8389107611548554</c:v>
                </c:pt>
                <c:pt idx="9">
                  <c:v>2.8389107611548554</c:v>
                </c:pt>
                <c:pt idx="10">
                  <c:v>2.5416666666666665</c:v>
                </c:pt>
                <c:pt idx="11">
                  <c:v>2.8389107611548554</c:v>
                </c:pt>
                <c:pt idx="12">
                  <c:v>2.5416666666666665</c:v>
                </c:pt>
                <c:pt idx="13">
                  <c:v>2.8389107611548554</c:v>
                </c:pt>
                <c:pt idx="14">
                  <c:v>2.5416666666666665</c:v>
                </c:pt>
              </c:numCache>
            </c:numRef>
          </c:xVal>
          <c:yVal>
            <c:numRef>
              <c:f>PV!$G$106:$G$120</c:f>
              <c:numCache>
                <c:formatCode>0</c:formatCode>
                <c:ptCount val="15"/>
                <c:pt idx="0">
                  <c:v>0</c:v>
                </c:pt>
                <c:pt idx="1">
                  <c:v>3.2545931758530187</c:v>
                </c:pt>
                <c:pt idx="2">
                  <c:v>3.2545931758530187</c:v>
                </c:pt>
                <c:pt idx="3">
                  <c:v>-3.2545931758530187</c:v>
                </c:pt>
                <c:pt idx="4">
                  <c:v>-3.2545931758530187</c:v>
                </c:pt>
                <c:pt idx="5">
                  <c:v>0</c:v>
                </c:pt>
                <c:pt idx="6">
                  <c:v>0</c:v>
                </c:pt>
                <c:pt idx="7">
                  <c:v>0.1486220472440945</c:v>
                </c:pt>
                <c:pt idx="8">
                  <c:v>-0.1486220472440945</c:v>
                </c:pt>
                <c:pt idx="9">
                  <c:v>0.1486220472440945</c:v>
                </c:pt>
                <c:pt idx="10">
                  <c:v>-0.1486220472440945</c:v>
                </c:pt>
                <c:pt idx="11">
                  <c:v>1.4786745406824149</c:v>
                </c:pt>
                <c:pt idx="12">
                  <c:v>1.7759186351706038</c:v>
                </c:pt>
                <c:pt idx="13">
                  <c:v>1.7759186351706038</c:v>
                </c:pt>
                <c:pt idx="14">
                  <c:v>1.4786745406824149</c:v>
                </c:pt>
              </c:numCache>
            </c:numRef>
          </c:yVal>
        </c:ser>
        <c:axId val="126377344"/>
        <c:axId val="126379136"/>
      </c:scatterChart>
      <c:valAx>
        <c:axId val="126377344"/>
        <c:scaling>
          <c:orientation val="minMax"/>
          <c:min val="-1"/>
        </c:scaling>
        <c:axPos val="b"/>
        <c:majorGridlines/>
        <c:numFmt formatCode="0" sourceLinked="1"/>
        <c:tickLblPos val="nextTo"/>
        <c:crossAx val="126379136"/>
        <c:crossesAt val="-100"/>
        <c:crossBetween val="midCat"/>
        <c:majorUnit val="1"/>
      </c:valAx>
      <c:valAx>
        <c:axId val="126379136"/>
        <c:scaling>
          <c:orientation val="minMax"/>
        </c:scaling>
        <c:axPos val="l"/>
        <c:majorGridlines/>
        <c:numFmt formatCode="0" sourceLinked="1"/>
        <c:tickLblPos val="nextTo"/>
        <c:crossAx val="126377344"/>
        <c:crossesAt val="-100"/>
        <c:crossBetween val="midCat"/>
        <c:majorUnit val="1"/>
      </c:valAx>
      <c:spPr>
        <a:solidFill>
          <a:srgbClr val="F5FFF5"/>
        </a:solidFill>
      </c:spPr>
    </c:plotArea>
    <c:plotVisOnly val="1"/>
  </c:chart>
  <c:printSettings>
    <c:headerFooter/>
    <c:pageMargins b="0.75000000000001332" l="0.70000000000000062" r="0.70000000000000062" t="0.7500000000000133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5335346390125194E-2"/>
          <c:y val="2.395707497536349E-2"/>
          <c:w val="0.90198839266992414"/>
          <c:h val="0.87179321900309692"/>
        </c:manualLayout>
      </c:layout>
      <c:scatterChart>
        <c:scatterStyle val="lineMarker"/>
        <c:ser>
          <c:idx val="0"/>
          <c:order val="0"/>
          <c:spPr>
            <a:ln w="38100">
              <a:solidFill>
                <a:srgbClr val="C00000"/>
              </a:solidFill>
            </a:ln>
          </c:spPr>
          <c:marker>
            <c:symbol val="none"/>
          </c:marker>
          <c:dPt>
            <c:idx val="1"/>
            <c:marker>
              <c:symbol val="circle"/>
              <c:size val="5"/>
            </c:marker>
            <c:spPr>
              <a:ln w="38100">
                <a:solidFill>
                  <a:srgbClr val="C88C14"/>
                </a:solidFill>
              </a:ln>
            </c:spPr>
          </c:dPt>
          <c:dPt>
            <c:idx val="2"/>
            <c:spPr>
              <a:ln w="38100">
                <a:solidFill>
                  <a:srgbClr val="F078E6"/>
                </a:solidFill>
              </a:ln>
            </c:spPr>
          </c:dPt>
          <c:dPt>
            <c:idx val="3"/>
            <c:spPr>
              <a:ln w="38100">
                <a:solidFill>
                  <a:srgbClr val="00FF00"/>
                </a:solidFill>
              </a:ln>
            </c:spPr>
          </c:dPt>
          <c:dPt>
            <c:idx val="4"/>
            <c:spPr>
              <a:ln w="38100">
                <a:solidFill>
                  <a:srgbClr val="00FF00"/>
                </a:solidFill>
              </a:ln>
            </c:spPr>
          </c:dPt>
          <c:dPt>
            <c:idx val="5"/>
            <c:marker>
              <c:symbol val="circle"/>
              <c:size val="5"/>
              <c:spPr>
                <a:solidFill>
                  <a:srgbClr val="4F81BD"/>
                </a:solidFill>
              </c:spPr>
            </c:marker>
            <c:spPr>
              <a:ln w="38100">
                <a:solidFill>
                  <a:srgbClr val="F078E6"/>
                </a:solidFill>
              </a:ln>
            </c:spPr>
          </c:dPt>
          <c:dPt>
            <c:idx val="6"/>
            <c:marker>
              <c:symbol val="circle"/>
              <c:size val="5"/>
            </c:marker>
            <c:spPr>
              <a:ln w="38100">
                <a:solidFill>
                  <a:srgbClr val="C88C14"/>
                </a:solidFill>
              </a:ln>
            </c:spPr>
          </c:dPt>
          <c:dPt>
            <c:idx val="7"/>
            <c:spPr>
              <a:ln w="38100">
                <a:solidFill>
                  <a:srgbClr val="C88C14"/>
                </a:solidFill>
              </a:ln>
            </c:spPr>
          </c:dPt>
          <c:dPt>
            <c:idx val="8"/>
            <c:spPr>
              <a:ln w="38100">
                <a:noFill/>
              </a:ln>
            </c:spPr>
          </c:dPt>
          <c:dPt>
            <c:idx val="9"/>
            <c:spPr>
              <a:ln w="38100">
                <a:noFill/>
              </a:ln>
            </c:spPr>
          </c:dPt>
          <c:dPt>
            <c:idx val="10"/>
            <c:spPr>
              <a:ln w="38100">
                <a:solidFill>
                  <a:srgbClr val="0000FF"/>
                </a:solidFill>
              </a:ln>
            </c:spPr>
          </c:dPt>
          <c:dPt>
            <c:idx val="11"/>
            <c:spPr>
              <a:ln w="38100">
                <a:solidFill>
                  <a:srgbClr val="0000FF"/>
                </a:solidFill>
              </a:ln>
            </c:spPr>
          </c:dPt>
          <c:dPt>
            <c:idx val="12"/>
            <c:spPr>
              <a:ln w="38100">
                <a:solidFill>
                  <a:srgbClr val="0000FF"/>
                </a:solidFill>
              </a:ln>
            </c:spPr>
          </c:dPt>
          <c:dPt>
            <c:idx val="13"/>
            <c:spPr>
              <a:ln w="38100">
                <a:noFill/>
              </a:ln>
            </c:spPr>
          </c:dPt>
          <c:dPt>
            <c:idx val="14"/>
            <c:spPr>
              <a:ln w="38100">
                <a:noFill/>
              </a:ln>
            </c:spPr>
          </c:dPt>
          <c:dPt>
            <c:idx val="15"/>
            <c:spPr>
              <a:ln w="38100">
                <a:solidFill>
                  <a:srgbClr val="FF0000"/>
                </a:solidFill>
              </a:ln>
            </c:spPr>
          </c:dPt>
          <c:dPt>
            <c:idx val="16"/>
            <c:spPr>
              <a:ln w="38100">
                <a:solidFill>
                  <a:srgbClr val="FF0000"/>
                </a:solidFill>
              </a:ln>
            </c:spPr>
          </c:dPt>
          <c:dPt>
            <c:idx val="17"/>
            <c:spPr>
              <a:ln w="38100">
                <a:solidFill>
                  <a:srgbClr val="FF0000"/>
                </a:solidFill>
              </a:ln>
            </c:spPr>
          </c:dPt>
          <c:dPt>
            <c:idx val="18"/>
            <c:spPr>
              <a:ln w="38100">
                <a:noFill/>
              </a:ln>
            </c:spPr>
          </c:dPt>
          <c:dPt>
            <c:idx val="19"/>
            <c:spPr>
              <a:ln w="38100">
                <a:noFill/>
              </a:ln>
            </c:spPr>
          </c:dPt>
          <c:dPt>
            <c:idx val="20"/>
            <c:spPr>
              <a:ln w="38100">
                <a:noFill/>
              </a:ln>
            </c:spPr>
          </c:dPt>
          <c:dPt>
            <c:idx val="21"/>
            <c:spPr>
              <a:ln w="38100">
                <a:solidFill>
                  <a:srgbClr val="0000FF"/>
                </a:solidFill>
              </a:ln>
            </c:spPr>
          </c:dPt>
          <c:dPt>
            <c:idx val="22"/>
            <c:spPr>
              <a:ln w="38100">
                <a:solidFill>
                  <a:srgbClr val="0000FF"/>
                </a:solidFill>
              </a:ln>
            </c:spPr>
          </c:dPt>
          <c:dPt>
            <c:idx val="23"/>
            <c:spPr>
              <a:ln w="38100">
                <a:solidFill>
                  <a:srgbClr val="0000FF"/>
                </a:solidFill>
              </a:ln>
            </c:spPr>
          </c:dPt>
          <c:dPt>
            <c:idx val="24"/>
            <c:spPr>
              <a:ln w="38100">
                <a:solidFill>
                  <a:srgbClr val="0000FF"/>
                </a:solidFill>
              </a:ln>
            </c:spPr>
          </c:dPt>
          <c:dPt>
            <c:idx val="25"/>
            <c:spPr>
              <a:ln w="38100">
                <a:solidFill>
                  <a:srgbClr val="0000FF"/>
                </a:solidFill>
              </a:ln>
            </c:spPr>
          </c:dPt>
          <c:dPt>
            <c:idx val="26"/>
            <c:spPr>
              <a:ln w="38100">
                <a:solidFill>
                  <a:srgbClr val="0000FF"/>
                </a:solidFill>
              </a:ln>
            </c:spPr>
          </c:dPt>
          <c:dPt>
            <c:idx val="27"/>
            <c:spPr>
              <a:ln w="38100">
                <a:solidFill>
                  <a:srgbClr val="0000FF"/>
                </a:solidFill>
              </a:ln>
            </c:spPr>
          </c:dPt>
          <c:dPt>
            <c:idx val="28"/>
            <c:spPr>
              <a:ln w="38100">
                <a:noFill/>
              </a:ln>
            </c:spPr>
          </c:dPt>
          <c:dPt>
            <c:idx val="29"/>
            <c:spPr>
              <a:ln w="38100">
                <a:solidFill>
                  <a:srgbClr val="00FF00"/>
                </a:solidFill>
              </a:ln>
            </c:spPr>
          </c:dPt>
          <c:dPt>
            <c:idx val="30"/>
            <c:spPr>
              <a:ln w="38100">
                <a:solidFill>
                  <a:srgbClr val="00FF00"/>
                </a:solidFill>
              </a:ln>
            </c:spPr>
          </c:dPt>
          <c:dPt>
            <c:idx val="31"/>
            <c:spPr>
              <a:ln w="38100">
                <a:solidFill>
                  <a:srgbClr val="00FF00"/>
                </a:solidFill>
              </a:ln>
            </c:spPr>
          </c:dPt>
          <c:dPt>
            <c:idx val="32"/>
            <c:spPr>
              <a:ln w="38100">
                <a:solidFill>
                  <a:srgbClr val="00FF00"/>
                </a:solidFill>
              </a:ln>
            </c:spPr>
          </c:dPt>
          <c:dPt>
            <c:idx val="33"/>
            <c:spPr>
              <a:ln w="38100">
                <a:solidFill>
                  <a:srgbClr val="00FF00"/>
                </a:solidFill>
              </a:ln>
            </c:spPr>
          </c:dPt>
          <c:dPt>
            <c:idx val="34"/>
            <c:marker>
              <c:symbol val="diamond"/>
              <c:size val="5"/>
              <c:spPr>
                <a:noFill/>
                <a:ln>
                  <a:solidFill>
                    <a:srgbClr val="00FF00"/>
                  </a:solidFill>
                </a:ln>
              </c:spPr>
            </c:marker>
            <c:spPr>
              <a:ln w="38100">
                <a:solidFill>
                  <a:srgbClr val="00FF00"/>
                </a:solidFill>
              </a:ln>
            </c:spPr>
          </c:dPt>
          <c:dPt>
            <c:idx val="35"/>
            <c:spPr>
              <a:ln w="38100">
                <a:solidFill>
                  <a:srgbClr val="00FF00"/>
                </a:solidFill>
              </a:ln>
            </c:spPr>
          </c:dPt>
          <c:dPt>
            <c:idx val="36"/>
            <c:spPr>
              <a:ln w="38100">
                <a:solidFill>
                  <a:srgbClr val="00FF00"/>
                </a:solidFill>
              </a:ln>
            </c:spPr>
          </c:dPt>
          <c:dPt>
            <c:idx val="37"/>
            <c:spPr>
              <a:ln w="38100">
                <a:noFill/>
              </a:ln>
            </c:spPr>
          </c:dPt>
          <c:dPt>
            <c:idx val="38"/>
            <c:spPr>
              <a:ln w="38100">
                <a:solidFill>
                  <a:srgbClr val="FF0000"/>
                </a:solidFill>
              </a:ln>
            </c:spPr>
          </c:dPt>
          <c:dPt>
            <c:idx val="39"/>
            <c:spPr>
              <a:ln w="38100">
                <a:solidFill>
                  <a:srgbClr val="FF0000"/>
                </a:solidFill>
              </a:ln>
            </c:spPr>
          </c:dPt>
          <c:dPt>
            <c:idx val="40"/>
            <c:spPr>
              <a:ln w="38100">
                <a:solidFill>
                  <a:srgbClr val="FF0000"/>
                </a:solidFill>
              </a:ln>
            </c:spPr>
          </c:dPt>
          <c:dPt>
            <c:idx val="41"/>
            <c:spPr>
              <a:ln w="38100">
                <a:solidFill>
                  <a:srgbClr val="FF0000"/>
                </a:solidFill>
              </a:ln>
            </c:spPr>
          </c:dPt>
          <c:dPt>
            <c:idx val="42"/>
            <c:spPr>
              <a:ln w="38100">
                <a:solidFill>
                  <a:srgbClr val="FF0000"/>
                </a:solidFill>
              </a:ln>
            </c:spPr>
          </c:dPt>
          <c:dPt>
            <c:idx val="43"/>
            <c:spPr>
              <a:ln w="38100">
                <a:solidFill>
                  <a:srgbClr val="FF0000"/>
                </a:solidFill>
              </a:ln>
            </c:spPr>
          </c:dPt>
          <c:dPt>
            <c:idx val="44"/>
            <c:spPr>
              <a:ln w="38100">
                <a:solidFill>
                  <a:srgbClr val="FF0000"/>
                </a:solidFill>
              </a:ln>
            </c:spPr>
          </c:dPt>
          <c:dPt>
            <c:idx val="45"/>
            <c:spPr>
              <a:ln w="38100">
                <a:solidFill>
                  <a:srgbClr val="FF0000"/>
                </a:solidFill>
              </a:ln>
            </c:spPr>
          </c:dPt>
          <c:dPt>
            <c:idx val="46"/>
            <c:spPr>
              <a:ln w="38100">
                <a:solidFill>
                  <a:srgbClr val="00B050"/>
                </a:solidFill>
              </a:ln>
            </c:spPr>
          </c:dPt>
          <c:dPt>
            <c:idx val="47"/>
            <c:spPr>
              <a:ln w="38100">
                <a:solidFill>
                  <a:srgbClr val="00B050"/>
                </a:solidFill>
              </a:ln>
            </c:spPr>
          </c:dPt>
          <c:dPt>
            <c:idx val="48"/>
            <c:spPr>
              <a:ln w="38100">
                <a:solidFill>
                  <a:schemeClr val="tx1"/>
                </a:solidFill>
              </a:ln>
            </c:spPr>
          </c:dPt>
          <c:dPt>
            <c:idx val="49"/>
            <c:marker>
              <c:symbol val="circle"/>
              <c:size val="5"/>
              <c:spPr>
                <a:solidFill>
                  <a:srgbClr val="FFB4E6"/>
                </a:solidFill>
              </c:spPr>
            </c:marker>
            <c:spPr>
              <a:ln w="38100">
                <a:solidFill>
                  <a:schemeClr val="tx1"/>
                </a:solidFill>
              </a:ln>
            </c:spPr>
          </c:dPt>
          <c:dPt>
            <c:idx val="50"/>
            <c:spPr>
              <a:ln w="38100">
                <a:solidFill>
                  <a:srgbClr val="00B050"/>
                </a:solidFill>
              </a:ln>
            </c:spPr>
          </c:dPt>
          <c:dPt>
            <c:idx val="51"/>
            <c:spPr>
              <a:ln w="38100">
                <a:solidFill>
                  <a:schemeClr val="tx1"/>
                </a:solidFill>
              </a:ln>
            </c:spPr>
          </c:dPt>
          <c:dPt>
            <c:idx val="52"/>
            <c:marker>
              <c:symbol val="circle"/>
              <c:size val="5"/>
              <c:spPr>
                <a:solidFill>
                  <a:srgbClr val="00B050"/>
                </a:solidFill>
              </c:spPr>
            </c:marker>
            <c:spPr>
              <a:ln w="38100">
                <a:solidFill>
                  <a:schemeClr val="tx1"/>
                </a:solidFill>
              </a:ln>
            </c:spPr>
          </c:dPt>
          <c:dPt>
            <c:idx val="53"/>
            <c:spPr>
              <a:ln w="38100">
                <a:solidFill>
                  <a:srgbClr val="00B050"/>
                </a:solidFill>
              </a:ln>
            </c:spPr>
          </c:dPt>
          <c:dPt>
            <c:idx val="54"/>
            <c:spPr>
              <a:ln w="38100">
                <a:solidFill>
                  <a:schemeClr val="tx1"/>
                </a:solidFill>
              </a:ln>
            </c:spPr>
          </c:dPt>
          <c:dPt>
            <c:idx val="55"/>
            <c:spPr>
              <a:ln w="38100">
                <a:solidFill>
                  <a:schemeClr val="tx1"/>
                </a:solidFill>
              </a:ln>
            </c:spPr>
          </c:dPt>
          <c:dPt>
            <c:idx val="56"/>
            <c:spPr>
              <a:ln w="38100">
                <a:solidFill>
                  <a:schemeClr val="tx1"/>
                </a:solidFill>
              </a:ln>
            </c:spPr>
          </c:dPt>
          <c:dPt>
            <c:idx val="57"/>
            <c:spPr>
              <a:ln w="38100">
                <a:solidFill>
                  <a:srgbClr val="FF0000"/>
                </a:solidFill>
              </a:ln>
            </c:spPr>
          </c:dPt>
          <c:dPt>
            <c:idx val="58"/>
            <c:spPr>
              <a:ln w="38100">
                <a:solidFill>
                  <a:schemeClr val="tx1"/>
                </a:solidFill>
              </a:ln>
            </c:spPr>
          </c:dPt>
          <c:dPt>
            <c:idx val="59"/>
            <c:spPr>
              <a:ln w="38100">
                <a:solidFill>
                  <a:schemeClr val="tx1"/>
                </a:solidFill>
              </a:ln>
            </c:spPr>
          </c:dPt>
          <c:dPt>
            <c:idx val="60"/>
            <c:spPr>
              <a:ln w="38100">
                <a:solidFill>
                  <a:srgbClr val="FF0000"/>
                </a:solidFill>
              </a:ln>
            </c:spPr>
          </c:dPt>
          <c:dPt>
            <c:idx val="61"/>
            <c:spPr>
              <a:ln w="38100">
                <a:solidFill>
                  <a:srgbClr val="FF0000"/>
                </a:solidFill>
              </a:ln>
            </c:spPr>
          </c:dPt>
          <c:dPt>
            <c:idx val="62"/>
            <c:spPr>
              <a:ln w="38100">
                <a:solidFill>
                  <a:schemeClr val="tx1"/>
                </a:solidFill>
              </a:ln>
            </c:spPr>
          </c:dPt>
          <c:dPt>
            <c:idx val="63"/>
            <c:spPr>
              <a:ln w="38100">
                <a:solidFill>
                  <a:schemeClr val="tx1"/>
                </a:solidFill>
              </a:ln>
            </c:spPr>
          </c:dPt>
          <c:dPt>
            <c:idx val="64"/>
            <c:spPr>
              <a:ln w="38100">
                <a:solidFill>
                  <a:srgbClr val="FF0000"/>
                </a:solidFill>
              </a:ln>
            </c:spPr>
          </c:dPt>
          <c:dPt>
            <c:idx val="65"/>
            <c:spPr>
              <a:ln w="38100">
                <a:solidFill>
                  <a:srgbClr val="FF0000"/>
                </a:solidFill>
              </a:ln>
            </c:spPr>
          </c:dPt>
          <c:dPt>
            <c:idx val="66"/>
            <c:spPr>
              <a:ln w="38100">
                <a:solidFill>
                  <a:schemeClr val="tx1"/>
                </a:solidFill>
              </a:ln>
            </c:spPr>
          </c:dPt>
          <c:dPt>
            <c:idx val="67"/>
            <c:marker>
              <c:symbol val="circle"/>
              <c:size val="5"/>
              <c:spPr>
                <a:solidFill>
                  <a:srgbClr val="FFB4E6"/>
                </a:solidFill>
              </c:spPr>
            </c:marker>
            <c:spPr>
              <a:ln w="38100">
                <a:solidFill>
                  <a:schemeClr val="tx1"/>
                </a:solidFill>
              </a:ln>
            </c:spPr>
          </c:dPt>
          <c:dPt>
            <c:idx val="68"/>
            <c:spPr>
              <a:ln w="38100">
                <a:solidFill>
                  <a:srgbClr val="FF0000"/>
                </a:solidFill>
              </a:ln>
            </c:spPr>
          </c:dPt>
          <c:dPt>
            <c:idx val="69"/>
            <c:spPr>
              <a:ln w="38100">
                <a:solidFill>
                  <a:schemeClr val="tx1"/>
                </a:solidFill>
              </a:ln>
            </c:spPr>
          </c:dPt>
          <c:dPt>
            <c:idx val="70"/>
            <c:marker>
              <c:symbol val="circle"/>
              <c:size val="5"/>
              <c:spPr>
                <a:solidFill>
                  <a:srgbClr val="FF0000"/>
                </a:solidFill>
              </c:spPr>
            </c:marker>
            <c:spPr>
              <a:ln w="38100">
                <a:solidFill>
                  <a:schemeClr val="tx1"/>
                </a:solidFill>
              </a:ln>
            </c:spPr>
          </c:dPt>
          <c:dPt>
            <c:idx val="71"/>
            <c:spPr>
              <a:ln w="38100">
                <a:solidFill>
                  <a:srgbClr val="FF0000"/>
                </a:solidFill>
              </a:ln>
            </c:spPr>
          </c:dPt>
          <c:xVal>
            <c:numRef>
              <c:f>(Main!$E$67:$E$85,Main!$E$86:$E$94,Main!$E$96:$E$104,Main!$E$106:$E$114)</c:f>
              <c:numCache>
                <c:formatCode>0</c:formatCode>
                <c:ptCount val="46"/>
                <c:pt idx="0">
                  <c:v>0</c:v>
                </c:pt>
                <c:pt idx="1">
                  <c:v>0</c:v>
                </c:pt>
                <c:pt idx="2">
                  <c:v>0.78018372703411143</c:v>
                </c:pt>
                <c:pt idx="3">
                  <c:v>8.9999999999999929</c:v>
                </c:pt>
                <c:pt idx="4">
                  <c:v>17.219816272965872</c:v>
                </c:pt>
                <c:pt idx="5">
                  <c:v>17.999999999999982</c:v>
                </c:pt>
                <c:pt idx="6">
                  <c:v>17.999999999999982</c:v>
                </c:pt>
                <c:pt idx="7">
                  <c:v>17.999999999999982</c:v>
                </c:pt>
                <c:pt idx="8">
                  <c:v>0</c:v>
                </c:pt>
                <c:pt idx="9">
                  <c:v>0.78018372703411143</c:v>
                </c:pt>
                <c:pt idx="10">
                  <c:v>0.78018372703411143</c:v>
                </c:pt>
                <c:pt idx="11">
                  <c:v>17.219816272965872</c:v>
                </c:pt>
                <c:pt idx="12">
                  <c:v>17.219816272965872</c:v>
                </c:pt>
                <c:pt idx="13">
                  <c:v>0</c:v>
                </c:pt>
                <c:pt idx="14">
                  <c:v>0.78018372703411143</c:v>
                </c:pt>
                <c:pt idx="15">
                  <c:v>0.78018372703411143</c:v>
                </c:pt>
                <c:pt idx="16">
                  <c:v>17.219816272965872</c:v>
                </c:pt>
                <c:pt idx="17">
                  <c:v>17.219816272965872</c:v>
                </c:pt>
                <c:pt idx="18">
                  <c:v>0</c:v>
                </c:pt>
                <c:pt idx="19">
                  <c:v>8.9999999999999929</c:v>
                </c:pt>
                <c:pt idx="20">
                  <c:v>0.7801837270341121</c:v>
                </c:pt>
                <c:pt idx="21">
                  <c:v>0.78018372703411243</c:v>
                </c:pt>
                <c:pt idx="22">
                  <c:v>0.78018372703411243</c:v>
                </c:pt>
                <c:pt idx="23">
                  <c:v>17.219816272965875</c:v>
                </c:pt>
                <c:pt idx="24">
                  <c:v>17.219816272965875</c:v>
                </c:pt>
                <c:pt idx="25">
                  <c:v>0.78018372703411387</c:v>
                </c:pt>
                <c:pt idx="26">
                  <c:v>0.78018372703411387</c:v>
                </c:pt>
                <c:pt idx="27">
                  <c:v>0.7801837270341121</c:v>
                </c:pt>
                <c:pt idx="28">
                  <c:v>8.9999999999999929</c:v>
                </c:pt>
                <c:pt idx="29">
                  <c:v>0.7801837270341121</c:v>
                </c:pt>
                <c:pt idx="30">
                  <c:v>0.78018372703411243</c:v>
                </c:pt>
                <c:pt idx="31">
                  <c:v>0.78018372703411243</c:v>
                </c:pt>
                <c:pt idx="32">
                  <c:v>17.219816272965875</c:v>
                </c:pt>
                <c:pt idx="33">
                  <c:v>17.219816272965875</c:v>
                </c:pt>
                <c:pt idx="34">
                  <c:v>0.78018372703411387</c:v>
                </c:pt>
                <c:pt idx="35">
                  <c:v>0.78018372703411387</c:v>
                </c:pt>
                <c:pt idx="36">
                  <c:v>0.7801837270341121</c:v>
                </c:pt>
                <c:pt idx="37">
                  <c:v>8.9999999999999929</c:v>
                </c:pt>
                <c:pt idx="38">
                  <c:v>0.7801837270341121</c:v>
                </c:pt>
                <c:pt idx="39">
                  <c:v>0.78018372703411243</c:v>
                </c:pt>
                <c:pt idx="40">
                  <c:v>0.78018372703411243</c:v>
                </c:pt>
                <c:pt idx="41">
                  <c:v>17.219816272965875</c:v>
                </c:pt>
                <c:pt idx="42">
                  <c:v>17.219816272965875</c:v>
                </c:pt>
                <c:pt idx="43">
                  <c:v>0.78018372703411387</c:v>
                </c:pt>
                <c:pt idx="44">
                  <c:v>0.78018372703411387</c:v>
                </c:pt>
                <c:pt idx="45">
                  <c:v>0.7801837270341121</c:v>
                </c:pt>
              </c:numCache>
            </c:numRef>
          </c:xVal>
          <c:yVal>
            <c:numRef>
              <c:f>(Main!$F$67:$F$85,Main!$F$86:$F$94,Main!$F$96:$F$104,Main!$F$106:$F$114)</c:f>
              <c:numCache>
                <c:formatCode>0</c:formatCode>
                <c:ptCount val="46"/>
                <c:pt idx="0">
                  <c:v>0</c:v>
                </c:pt>
                <c:pt idx="1">
                  <c:v>7.401410761154855</c:v>
                </c:pt>
                <c:pt idx="2">
                  <c:v>7.401410761154855</c:v>
                </c:pt>
                <c:pt idx="3">
                  <c:v>7.401410761154855</c:v>
                </c:pt>
                <c:pt idx="4">
                  <c:v>7.401410761154855</c:v>
                </c:pt>
                <c:pt idx="5">
                  <c:v>7.401410761154855</c:v>
                </c:pt>
                <c:pt idx="6">
                  <c:v>7.401410761154855</c:v>
                </c:pt>
                <c:pt idx="7">
                  <c:v>0</c:v>
                </c:pt>
                <c:pt idx="8">
                  <c:v>0</c:v>
                </c:pt>
                <c:pt idx="9">
                  <c:v>7.401410761154855</c:v>
                </c:pt>
                <c:pt idx="10">
                  <c:v>7.401410761154855</c:v>
                </c:pt>
                <c:pt idx="11">
                  <c:v>7.401410761154855</c:v>
                </c:pt>
                <c:pt idx="12">
                  <c:v>7.401410761154855</c:v>
                </c:pt>
                <c:pt idx="13">
                  <c:v>0</c:v>
                </c:pt>
                <c:pt idx="14">
                  <c:v>7.401410761154855</c:v>
                </c:pt>
                <c:pt idx="15">
                  <c:v>7.401410761154855</c:v>
                </c:pt>
                <c:pt idx="16">
                  <c:v>7.401410761154855</c:v>
                </c:pt>
                <c:pt idx="17">
                  <c:v>7.401410761154855</c:v>
                </c:pt>
                <c:pt idx="18">
                  <c:v>0</c:v>
                </c:pt>
                <c:pt idx="19">
                  <c:v>7.401410761154855</c:v>
                </c:pt>
                <c:pt idx="20">
                  <c:v>7.401410761154855</c:v>
                </c:pt>
                <c:pt idx="21">
                  <c:v>12.80282152230971</c:v>
                </c:pt>
                <c:pt idx="22">
                  <c:v>12.80282152230971</c:v>
                </c:pt>
                <c:pt idx="23">
                  <c:v>12.80282152230971</c:v>
                </c:pt>
                <c:pt idx="24">
                  <c:v>2</c:v>
                </c:pt>
                <c:pt idx="25">
                  <c:v>2</c:v>
                </c:pt>
                <c:pt idx="26">
                  <c:v>2</c:v>
                </c:pt>
                <c:pt idx="27">
                  <c:v>7.401410761154855</c:v>
                </c:pt>
                <c:pt idx="28">
                  <c:v>7.401410761154855</c:v>
                </c:pt>
                <c:pt idx="29">
                  <c:v>7.401410761154855</c:v>
                </c:pt>
                <c:pt idx="30">
                  <c:v>12.80282152230971</c:v>
                </c:pt>
                <c:pt idx="31">
                  <c:v>12.80282152230971</c:v>
                </c:pt>
                <c:pt idx="32">
                  <c:v>12.80282152230971</c:v>
                </c:pt>
                <c:pt idx="33">
                  <c:v>2</c:v>
                </c:pt>
                <c:pt idx="34">
                  <c:v>2</c:v>
                </c:pt>
                <c:pt idx="35">
                  <c:v>2</c:v>
                </c:pt>
                <c:pt idx="36">
                  <c:v>7.401410761154855</c:v>
                </c:pt>
                <c:pt idx="37">
                  <c:v>7.401410761154855</c:v>
                </c:pt>
                <c:pt idx="38">
                  <c:v>7.401410761154855</c:v>
                </c:pt>
                <c:pt idx="39">
                  <c:v>12.80282152230971</c:v>
                </c:pt>
                <c:pt idx="40">
                  <c:v>12.80282152230971</c:v>
                </c:pt>
                <c:pt idx="41">
                  <c:v>12.80282152230971</c:v>
                </c:pt>
                <c:pt idx="42">
                  <c:v>2</c:v>
                </c:pt>
                <c:pt idx="43">
                  <c:v>2</c:v>
                </c:pt>
                <c:pt idx="44">
                  <c:v>2</c:v>
                </c:pt>
                <c:pt idx="45">
                  <c:v>7.401410761154855</c:v>
                </c:pt>
              </c:numCache>
            </c:numRef>
          </c:yVal>
        </c:ser>
        <c:axId val="114453504"/>
        <c:axId val="114455296"/>
      </c:scatterChart>
      <c:valAx>
        <c:axId val="114453504"/>
        <c:scaling>
          <c:orientation val="minMax"/>
        </c:scaling>
        <c:axPos val="b"/>
        <c:majorGridlines>
          <c:spPr>
            <a:ln>
              <a:solidFill>
                <a:sysClr val="windowText" lastClr="000000">
                  <a:tint val="75000"/>
                  <a:shade val="95000"/>
                  <a:satMod val="105000"/>
                </a:sysClr>
              </a:solidFill>
            </a:ln>
          </c:spPr>
        </c:majorGridlines>
        <c:minorGridlines>
          <c:spPr>
            <a:ln w="6350"/>
          </c:spPr>
        </c:minorGridlines>
        <c:numFmt formatCode="0" sourceLinked="1"/>
        <c:majorTickMark val="cross"/>
        <c:minorTickMark val="cross"/>
        <c:tickLblPos val="nextTo"/>
        <c:spPr>
          <a:ln w="0">
            <a:noFill/>
          </a:ln>
          <a:effectLst>
            <a:outerShdw blurRad="50800" dist="50800" dir="5400000" algn="ctr" rotWithShape="0">
              <a:srgbClr val="000000"/>
            </a:outerShdw>
          </a:effectLst>
        </c:spPr>
        <c:crossAx val="114455296"/>
        <c:crossesAt val="-100"/>
        <c:crossBetween val="midCat"/>
        <c:majorUnit val="2"/>
        <c:minorUnit val="1"/>
      </c:valAx>
      <c:valAx>
        <c:axId val="114455296"/>
        <c:scaling>
          <c:orientation val="minMax"/>
        </c:scaling>
        <c:axPos val="l"/>
        <c:majorGridlines>
          <c:spPr>
            <a:ln>
              <a:solidFill>
                <a:srgbClr val="4F81BD"/>
              </a:solidFill>
            </a:ln>
          </c:spPr>
        </c:majorGridlines>
        <c:minorGridlines/>
        <c:numFmt formatCode="0" sourceLinked="1"/>
        <c:majorTickMark val="cross"/>
        <c:minorTickMark val="cross"/>
        <c:tickLblPos val="nextTo"/>
        <c:crossAx val="114453504"/>
        <c:crossesAt val="-100"/>
        <c:crossBetween val="midCat"/>
        <c:majorUnit val="2"/>
        <c:minorUnit val="1"/>
      </c:valAx>
      <c:spPr>
        <a:gradFill>
          <a:gsLst>
            <a:gs pos="11000">
              <a:srgbClr val="5E9EFF"/>
            </a:gs>
            <a:gs pos="39999">
              <a:srgbClr val="85C2FF"/>
            </a:gs>
            <a:gs pos="70000">
              <a:srgbClr val="C4D6EB"/>
            </a:gs>
            <a:gs pos="100000">
              <a:srgbClr val="FFEBFA"/>
            </a:gs>
          </a:gsLst>
          <a:lin ang="5400000" scaled="0"/>
        </a:gradFill>
        <a:ln>
          <a:noFill/>
        </a:ln>
      </c:spPr>
    </c:plotArea>
    <c:plotVisOnly val="1"/>
  </c:chart>
  <c:printSettings>
    <c:headerFooter/>
    <c:pageMargins b="0.75000000000001443" l="0.70000000000000062" r="0.70000000000000062" t="0.75000000000001443"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9196850393700793E-2"/>
          <c:y val="2.1367365843975406E-2"/>
          <c:w val="0.86228237095363058"/>
          <c:h val="0.87340975760383643"/>
        </c:manualLayout>
      </c:layout>
      <c:scatterChart>
        <c:scatterStyle val="lineMarker"/>
        <c:ser>
          <c:idx val="0"/>
          <c:order val="0"/>
          <c:spPr>
            <a:ln w="19050">
              <a:solidFill>
                <a:srgbClr val="00B4FF"/>
              </a:solidFill>
            </a:ln>
          </c:spPr>
          <c:trendline>
            <c:trendlineType val="log"/>
          </c:trendline>
          <c:trendline>
            <c:trendlineType val="power"/>
            <c:dispEq val="1"/>
            <c:trendlineLbl>
              <c:numFmt formatCode="General" sourceLinked="0"/>
            </c:trendlineLbl>
          </c:trendline>
          <c:trendline>
            <c:trendlineType val="log"/>
          </c:trendline>
          <c:trendline>
            <c:trendlineType val="log"/>
            <c:dispEq val="1"/>
            <c:trendlineLbl>
              <c:numFmt formatCode="General" sourceLinked="0"/>
            </c:trendlineLbl>
          </c:trendline>
          <c:trendline>
            <c:trendlineType val="log"/>
          </c:trendline>
          <c:trendline>
            <c:spPr>
              <a:ln w="15875">
                <a:solidFill>
                  <a:srgbClr val="FF0000"/>
                </a:solidFill>
              </a:ln>
            </c:spPr>
            <c:trendlineType val="poly"/>
            <c:order val="2"/>
            <c:dispEq val="1"/>
            <c:trendlineLbl>
              <c:layout>
                <c:manualLayout>
                  <c:x val="-2.5176838232464352E-3"/>
                  <c:y val="-8.2313341956174679E-2"/>
                </c:manualLayout>
              </c:layout>
              <c:numFmt formatCode="General" sourceLinked="0"/>
            </c:trendlineLbl>
          </c:trendline>
          <c:xVal>
            <c:numRef>
              <c:f>DecAdjust!$A$31:$A$43</c:f>
              <c:numCache>
                <c:formatCode>General</c:formatCode>
                <c:ptCount val="13"/>
                <c:pt idx="0">
                  <c:v>0</c:v>
                </c:pt>
                <c:pt idx="1">
                  <c:v>4</c:v>
                </c:pt>
                <c:pt idx="2">
                  <c:v>8</c:v>
                </c:pt>
                <c:pt idx="3">
                  <c:v>12</c:v>
                </c:pt>
                <c:pt idx="4">
                  <c:v>16</c:v>
                </c:pt>
                <c:pt idx="5">
                  <c:v>20</c:v>
                </c:pt>
                <c:pt idx="6">
                  <c:v>23.439</c:v>
                </c:pt>
                <c:pt idx="7">
                  <c:v>26.878</c:v>
                </c:pt>
                <c:pt idx="8">
                  <c:v>30.878</c:v>
                </c:pt>
                <c:pt idx="9">
                  <c:v>34.878</c:v>
                </c:pt>
                <c:pt idx="10">
                  <c:v>38.878</c:v>
                </c:pt>
                <c:pt idx="11">
                  <c:v>42.878</c:v>
                </c:pt>
                <c:pt idx="12">
                  <c:v>46.878</c:v>
                </c:pt>
              </c:numCache>
            </c:numRef>
          </c:xVal>
          <c:yVal>
            <c:numRef>
              <c:f>DecAdjust!$B$31:$B$43</c:f>
              <c:numCache>
                <c:formatCode>0.000</c:formatCode>
                <c:ptCount val="13"/>
                <c:pt idx="0">
                  <c:v>0.95859738821485807</c:v>
                </c:pt>
                <c:pt idx="1">
                  <c:v>0.97</c:v>
                </c:pt>
                <c:pt idx="2">
                  <c:v>0.98099999999999998</c:v>
                </c:pt>
                <c:pt idx="3">
                  <c:v>0.99011116978689306</c:v>
                </c:pt>
                <c:pt idx="4">
                  <c:v>0.995</c:v>
                </c:pt>
                <c:pt idx="5">
                  <c:v>0.9973335408460966</c:v>
                </c:pt>
                <c:pt idx="6">
                  <c:v>1</c:v>
                </c:pt>
                <c:pt idx="7">
                  <c:v>0.9973335408460966</c:v>
                </c:pt>
                <c:pt idx="8">
                  <c:v>0.995</c:v>
                </c:pt>
                <c:pt idx="9">
                  <c:v>0.99011116978689306</c:v>
                </c:pt>
                <c:pt idx="10">
                  <c:v>0.98099999999999998</c:v>
                </c:pt>
                <c:pt idx="11">
                  <c:v>0.97</c:v>
                </c:pt>
                <c:pt idx="12">
                  <c:v>0.95859738821485807</c:v>
                </c:pt>
              </c:numCache>
            </c:numRef>
          </c:yVal>
        </c:ser>
        <c:axId val="126936960"/>
        <c:axId val="126938496"/>
      </c:scatterChart>
      <c:valAx>
        <c:axId val="126936960"/>
        <c:scaling>
          <c:orientation val="minMax"/>
          <c:max val="50"/>
          <c:min val="0"/>
        </c:scaling>
        <c:axPos val="b"/>
        <c:numFmt formatCode="General" sourceLinked="1"/>
        <c:tickLblPos val="nextTo"/>
        <c:crossAx val="126938496"/>
        <c:crossesAt val="0.95500000000000063"/>
        <c:crossBetween val="midCat"/>
        <c:minorUnit val="5"/>
      </c:valAx>
      <c:valAx>
        <c:axId val="126938496"/>
        <c:scaling>
          <c:orientation val="minMax"/>
          <c:max val="1"/>
          <c:min val="0.95500000000000063"/>
        </c:scaling>
        <c:axPos val="l"/>
        <c:majorGridlines/>
        <c:numFmt formatCode="0.000" sourceLinked="1"/>
        <c:tickLblPos val="nextTo"/>
        <c:crossAx val="126936960"/>
        <c:crossesAt val="0"/>
        <c:crossBetween val="midCat"/>
        <c:majorUnit val="5.0000000000000114E-3"/>
      </c:valAx>
    </c:plotArea>
    <c:plotVisOnly val="1"/>
  </c:chart>
  <c:printSettings>
    <c:headerFooter/>
    <c:pageMargins b="0.75000000000000389" l="0.70000000000000062" r="0.70000000000000062" t="0.75000000000000389"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5.9907914982245333E-2"/>
          <c:y val="4.963509841285229E-2"/>
          <c:w val="0.90414868611663779"/>
          <c:h val="0.85985508721089676"/>
        </c:manualLayout>
      </c:layout>
      <c:scatterChart>
        <c:scatterStyle val="lineMarker"/>
        <c:ser>
          <c:idx val="0"/>
          <c:order val="0"/>
          <c:spPr>
            <a:ln w="25400">
              <a:solidFill>
                <a:srgbClr val="FF0000"/>
              </a:solidFill>
              <a:prstDash val="solid"/>
            </a:ln>
          </c:spPr>
          <c:marker>
            <c:symbol val="diamond"/>
            <c:size val="9"/>
            <c:spPr>
              <a:solidFill>
                <a:srgbClr val="000080"/>
              </a:solidFill>
              <a:ln w="6350">
                <a:solidFill>
                  <a:srgbClr val="000080"/>
                </a:solidFill>
                <a:prstDash val="solid"/>
              </a:ln>
            </c:spPr>
          </c:marker>
          <c:dPt>
            <c:idx val="1"/>
            <c:marker>
              <c:symbol val="diamond"/>
              <c:size val="6"/>
            </c:marker>
          </c:dPt>
          <c:dPt>
            <c:idx val="3"/>
            <c:marker>
              <c:spPr>
                <a:solidFill>
                  <a:srgbClr val="00B050"/>
                </a:solidFill>
                <a:ln w="6350">
                  <a:solidFill>
                    <a:srgbClr val="000080"/>
                  </a:solidFill>
                  <a:prstDash val="solid"/>
                </a:ln>
              </c:spPr>
            </c:marker>
          </c:dPt>
          <c:dPt>
            <c:idx val="4"/>
            <c:marker>
              <c:symbol val="diamond"/>
              <c:size val="15"/>
            </c:marker>
          </c:dPt>
          <c:dPt>
            <c:idx val="5"/>
            <c:marker>
              <c:symbol val="diamond"/>
              <c:size val="6"/>
            </c:marker>
          </c:dPt>
          <c:dPt>
            <c:idx val="6"/>
            <c:marker>
              <c:spPr>
                <a:solidFill>
                  <a:srgbClr val="00B050"/>
                </a:solidFill>
                <a:ln w="6350">
                  <a:solidFill>
                    <a:srgbClr val="000080"/>
                  </a:solidFill>
                  <a:prstDash val="solid"/>
                </a:ln>
              </c:spPr>
            </c:marker>
          </c:dPt>
          <c:dPt>
            <c:idx val="7"/>
            <c:marker>
              <c:symbol val="diamond"/>
              <c:size val="6"/>
            </c:marker>
          </c:dPt>
          <c:dPt>
            <c:idx val="8"/>
            <c:marker>
              <c:symbol val="diamond"/>
              <c:size val="15"/>
            </c:marker>
          </c:dPt>
          <c:dPt>
            <c:idx val="9"/>
            <c:marker>
              <c:spPr>
                <a:solidFill>
                  <a:srgbClr val="00B050"/>
                </a:solidFill>
                <a:ln w="6350">
                  <a:solidFill>
                    <a:srgbClr val="000080"/>
                  </a:solidFill>
                  <a:prstDash val="solid"/>
                </a:ln>
              </c:spPr>
            </c:marker>
          </c:dPt>
          <c:dPt>
            <c:idx val="11"/>
            <c:marker>
              <c:symbol val="diamond"/>
              <c:size val="6"/>
            </c:marker>
          </c:dPt>
          <c:dPt>
            <c:idx val="13"/>
            <c:marker>
              <c:symbol val="diamond"/>
              <c:size val="6"/>
            </c:marker>
          </c:dPt>
          <c:dPt>
            <c:idx val="15"/>
            <c:marker>
              <c:spPr>
                <a:solidFill>
                  <a:srgbClr val="00B050"/>
                </a:solidFill>
                <a:ln w="6350">
                  <a:solidFill>
                    <a:srgbClr val="000080"/>
                  </a:solidFill>
                  <a:prstDash val="solid"/>
                </a:ln>
              </c:spPr>
            </c:marker>
          </c:dPt>
          <c:dPt>
            <c:idx val="16"/>
            <c:marker>
              <c:symbol val="diamond"/>
              <c:size val="15"/>
            </c:marker>
          </c:dPt>
          <c:dPt>
            <c:idx val="17"/>
            <c:marker>
              <c:symbol val="diamond"/>
              <c:size val="6"/>
            </c:marker>
          </c:dPt>
          <c:dPt>
            <c:idx val="18"/>
            <c:marker>
              <c:spPr>
                <a:solidFill>
                  <a:srgbClr val="00B050"/>
                </a:solidFill>
                <a:ln w="6350">
                  <a:solidFill>
                    <a:srgbClr val="000080"/>
                  </a:solidFill>
                  <a:prstDash val="solid"/>
                </a:ln>
              </c:spPr>
            </c:marker>
          </c:dPt>
          <c:dPt>
            <c:idx val="19"/>
            <c:marker>
              <c:symbol val="diamond"/>
              <c:size val="6"/>
            </c:marker>
          </c:dPt>
          <c:dPt>
            <c:idx val="20"/>
            <c:marker>
              <c:symbol val="diamond"/>
              <c:size val="15"/>
            </c:marker>
          </c:dPt>
          <c:dPt>
            <c:idx val="21"/>
            <c:marker>
              <c:spPr>
                <a:solidFill>
                  <a:srgbClr val="00B050"/>
                </a:solidFill>
                <a:ln w="6350">
                  <a:solidFill>
                    <a:srgbClr val="000080"/>
                  </a:solidFill>
                  <a:prstDash val="solid"/>
                </a:ln>
              </c:spPr>
            </c:marker>
          </c:dPt>
          <c:dPt>
            <c:idx val="23"/>
            <c:marker>
              <c:symbol val="diamond"/>
              <c:size val="6"/>
            </c:marker>
          </c:dPt>
          <c:xVal>
            <c:numRef>
              <c:f>[1]Sheet1!$B$4:$B$28</c:f>
              <c:numCache>
                <c:formatCode>General</c:formatCode>
                <c:ptCount val="25"/>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numCache>
            </c:numRef>
          </c:xVal>
          <c:yVal>
            <c:numRef>
              <c:f>[1]Sheet1!$D$4:$D$28</c:f>
              <c:numCache>
                <c:formatCode>General</c:formatCode>
                <c:ptCount val="25"/>
                <c:pt idx="0">
                  <c:v>-23.439</c:v>
                </c:pt>
                <c:pt idx="1">
                  <c:v>-22.640335442389471</c:v>
                </c:pt>
                <c:pt idx="2">
                  <c:v>-20.298769439303459</c:v>
                </c:pt>
                <c:pt idx="3">
                  <c:v>-16.573875844231488</c:v>
                </c:pt>
                <c:pt idx="4">
                  <c:v>-11.7195</c:v>
                </c:pt>
                <c:pt idx="5">
                  <c:v>-6.0664595981579827</c:v>
                </c:pt>
                <c:pt idx="6">
                  <c:v>0</c:v>
                </c:pt>
                <c:pt idx="7">
                  <c:v>6.0664595981579872</c:v>
                </c:pt>
                <c:pt idx="8">
                  <c:v>11.719499999999996</c:v>
                </c:pt>
                <c:pt idx="9">
                  <c:v>16.573875844231488</c:v>
                </c:pt>
                <c:pt idx="10">
                  <c:v>20.298769439303459</c:v>
                </c:pt>
                <c:pt idx="11">
                  <c:v>22.640335442389471</c:v>
                </c:pt>
                <c:pt idx="12">
                  <c:v>23.439</c:v>
                </c:pt>
                <c:pt idx="13">
                  <c:v>22.640335442389475</c:v>
                </c:pt>
                <c:pt idx="14">
                  <c:v>20.298769439303452</c:v>
                </c:pt>
                <c:pt idx="15">
                  <c:v>16.573875844231488</c:v>
                </c:pt>
                <c:pt idx="16">
                  <c:v>11.719500000000007</c:v>
                </c:pt>
                <c:pt idx="17">
                  <c:v>6.0664595981579801</c:v>
                </c:pt>
                <c:pt idx="18">
                  <c:v>2.8716254634603144E-15</c:v>
                </c:pt>
                <c:pt idx="19">
                  <c:v>-6.0664595981579748</c:v>
                </c:pt>
                <c:pt idx="20">
                  <c:v>-11.719500000000002</c:v>
                </c:pt>
                <c:pt idx="21">
                  <c:v>-16.573875844231488</c:v>
                </c:pt>
                <c:pt idx="22">
                  <c:v>-20.298769439303452</c:v>
                </c:pt>
                <c:pt idx="23">
                  <c:v>-22.640335442389471</c:v>
                </c:pt>
                <c:pt idx="24">
                  <c:v>-23.439</c:v>
                </c:pt>
              </c:numCache>
            </c:numRef>
          </c:yVal>
          <c:smooth val="1"/>
        </c:ser>
        <c:axId val="126482304"/>
        <c:axId val="126483840"/>
      </c:scatterChart>
      <c:valAx>
        <c:axId val="126482304"/>
        <c:scaling>
          <c:orientation val="minMax"/>
          <c:max val="12"/>
          <c:min val="0"/>
        </c:scaling>
        <c:axPos val="b"/>
        <c:majorGridlines>
          <c:spPr>
            <a:ln w="3175">
              <a:solidFill>
                <a:srgbClr val="000000"/>
              </a:solidFill>
              <a:prstDash val="solid"/>
            </a:ln>
          </c:spPr>
        </c:majorGridlines>
        <c:numFmt formatCode="General" sourceLinked="1"/>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6483840"/>
        <c:crossesAt val="-24"/>
        <c:crossBetween val="midCat"/>
        <c:majorUnit val="1"/>
        <c:minorUnit val="0.5"/>
      </c:valAx>
      <c:valAx>
        <c:axId val="126483840"/>
        <c:scaling>
          <c:orientation val="minMax"/>
          <c:max val="24"/>
          <c:min val="-24"/>
        </c:scaling>
        <c:axPos val="l"/>
        <c:majorGridlines>
          <c:spPr>
            <a:ln w="3175">
              <a:solidFill>
                <a:srgbClr val="000000"/>
              </a:solidFill>
              <a:prstDash val="solid"/>
            </a:ln>
          </c:spPr>
        </c:majorGridlines>
        <c:numFmt formatCode="0" sourceLinked="0"/>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6482304"/>
        <c:crossesAt val="0"/>
        <c:crossBetween val="midCat"/>
        <c:majorUnit val="4"/>
        <c:minorUnit val="1"/>
      </c:valAx>
      <c:spPr>
        <a:solidFill>
          <a:srgbClr val="FFFFFF"/>
        </a:solidFill>
        <a:ln w="12700">
          <a:solidFill>
            <a:srgbClr val="00000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755" r="0.7500000000000075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5157662583843723E-2"/>
          <c:y val="3.1663788140472084E-2"/>
          <c:w val="0.88605005103528722"/>
          <c:h val="0.92129610741662449"/>
        </c:manualLayout>
      </c:layout>
      <c:scatterChart>
        <c:scatterStyle val="lineMarker"/>
        <c:ser>
          <c:idx val="0"/>
          <c:order val="0"/>
          <c:spPr>
            <a:ln w="12700">
              <a:solidFill>
                <a:srgbClr val="4F81BD"/>
              </a:solidFill>
            </a:ln>
          </c:spPr>
          <c:marker>
            <c:symbol val="circle"/>
            <c:size val="3"/>
            <c:spPr>
              <a:solidFill>
                <a:srgbClr val="FF0000"/>
              </a:solidFill>
            </c:spPr>
          </c:marker>
          <c:xVal>
            <c:numRef>
              <c:f>Wheel!$W$2:$W$311</c:f>
              <c:numCache>
                <c:formatCode>0</c:formatCode>
                <c:ptCount val="310"/>
                <c:pt idx="0">
                  <c:v>0</c:v>
                </c:pt>
                <c:pt idx="2">
                  <c:v>-8.7288485675670007</c:v>
                </c:pt>
                <c:pt idx="4">
                  <c:v>0</c:v>
                </c:pt>
                <c:pt idx="5">
                  <c:v>0</c:v>
                </c:pt>
                <c:pt idx="6">
                  <c:v>0.91461990444233265</c:v>
                </c:pt>
                <c:pt idx="7">
                  <c:v>-8.7288485675670007</c:v>
                </c:pt>
                <c:pt idx="10">
                  <c:v>0</c:v>
                </c:pt>
                <c:pt idx="11">
                  <c:v>2.0917378259437962</c:v>
                </c:pt>
                <c:pt idx="12">
                  <c:v>1.1470188043350724</c:v>
                </c:pt>
                <c:pt idx="13">
                  <c:v>-8.7288485675670007</c:v>
                </c:pt>
                <c:pt idx="16">
                  <c:v>0</c:v>
                </c:pt>
                <c:pt idx="17">
                  <c:v>4.1675562640063282</c:v>
                </c:pt>
                <c:pt idx="18">
                  <c:v>1.9798272496498175</c:v>
                </c:pt>
                <c:pt idx="19">
                  <c:v>-8.7288485675670007</c:v>
                </c:pt>
                <c:pt idx="22">
                  <c:v>0</c:v>
                </c:pt>
                <c:pt idx="23">
                  <c:v>6.2116570824604977</c:v>
                </c:pt>
                <c:pt idx="24">
                  <c:v>3.138805053368424</c:v>
                </c:pt>
                <c:pt idx="25">
                  <c:v>-8.7288485675670007</c:v>
                </c:pt>
                <c:pt idx="28">
                  <c:v>0</c:v>
                </c:pt>
                <c:pt idx="29">
                  <c:v>8.2084834398160496</c:v>
                </c:pt>
                <c:pt idx="30">
                  <c:v>4.475806636256852</c:v>
                </c:pt>
                <c:pt idx="31">
                  <c:v>-8.7288485675670007</c:v>
                </c:pt>
                <c:pt idx="34">
                  <c:v>0</c:v>
                </c:pt>
                <c:pt idx="35">
                  <c:v>10.142838281776786</c:v>
                </c:pt>
                <c:pt idx="36">
                  <c:v>5.9011531221720706</c:v>
                </c:pt>
                <c:pt idx="37">
                  <c:v>-8.7288485675670007</c:v>
                </c:pt>
                <c:pt idx="40">
                  <c:v>0</c:v>
                </c:pt>
                <c:pt idx="41">
                  <c:v>11.999999999999998</c:v>
                </c:pt>
                <c:pt idx="42">
                  <c:v>7.3552639024548991</c:v>
                </c:pt>
                <c:pt idx="43">
                  <c:v>-8.7288485675670007</c:v>
                </c:pt>
                <c:pt idx="46">
                  <c:v>0</c:v>
                </c:pt>
                <c:pt idx="47">
                  <c:v>13.765834472425105</c:v>
                </c:pt>
                <c:pt idx="48">
                  <c:v>8.7954767128691937</c:v>
                </c:pt>
                <c:pt idx="49">
                  <c:v>-8.7288485675670007</c:v>
                </c:pt>
                <c:pt idx="52">
                  <c:v>0</c:v>
                </c:pt>
                <c:pt idx="53">
                  <c:v>15.426902632476942</c:v>
                </c:pt>
                <c:pt idx="54">
                  <c:v>10.189412835897459</c:v>
                </c:pt>
                <c:pt idx="55">
                  <c:v>-8.7288485675670007</c:v>
                </c:pt>
                <c:pt idx="58">
                  <c:v>0</c:v>
                </c:pt>
                <c:pt idx="59">
                  <c:v>16.970562748477139</c:v>
                </c:pt>
                <c:pt idx="60">
                  <c:v>11.51142121992917</c:v>
                </c:pt>
                <c:pt idx="61">
                  <c:v>-8.7288485675670007</c:v>
                </c:pt>
                <c:pt idx="64">
                  <c:v>0</c:v>
                </c:pt>
                <c:pt idx="65">
                  <c:v>18.385066634855473</c:v>
                </c:pt>
                <c:pt idx="66">
                  <c:v>12.740578101268364</c:v>
                </c:pt>
                <c:pt idx="67">
                  <c:v>-8.7288485675670007</c:v>
                </c:pt>
                <c:pt idx="70">
                  <c:v>0</c:v>
                </c:pt>
                <c:pt idx="71">
                  <c:v>19.659649062935802</c:v>
                </c:pt>
                <c:pt idx="72">
                  <c:v>13.859519861836647</c:v>
                </c:pt>
                <c:pt idx="73">
                  <c:v>-8.7288485675670007</c:v>
                </c:pt>
                <c:pt idx="76">
                  <c:v>0</c:v>
                </c:pt>
                <c:pt idx="77">
                  <c:v>20.784609690826528</c:v>
                </c:pt>
                <c:pt idx="78">
                  <c:v>14.853744375888125</c:v>
                </c:pt>
                <c:pt idx="79">
                  <c:v>-8.7288485675670007</c:v>
                </c:pt>
                <c:pt idx="82">
                  <c:v>0</c:v>
                </c:pt>
                <c:pt idx="83">
                  <c:v>21.751386888879598</c:v>
                </c:pt>
                <c:pt idx="84">
                  <c:v>15.711186685115758</c:v>
                </c:pt>
                <c:pt idx="85">
                  <c:v>-8.7288485675670007</c:v>
                </c:pt>
                <c:pt idx="88">
                  <c:v>0</c:v>
                </c:pt>
                <c:pt idx="89">
                  <c:v>22.552622898861799</c:v>
                </c:pt>
                <c:pt idx="90">
                  <c:v>16.421961087054186</c:v>
                </c:pt>
                <c:pt idx="91">
                  <c:v>-8.7288485675670007</c:v>
                </c:pt>
                <c:pt idx="94">
                  <c:v>0</c:v>
                </c:pt>
                <c:pt idx="95">
                  <c:v>23.18221983093764</c:v>
                </c:pt>
                <c:pt idx="96">
                  <c:v>16.978207662745184</c:v>
                </c:pt>
                <c:pt idx="97">
                  <c:v>-8.7288485675670007</c:v>
                </c:pt>
                <c:pt idx="100">
                  <c:v>0</c:v>
                </c:pt>
                <c:pt idx="101">
                  <c:v>23.635386072292992</c:v>
                </c:pt>
                <c:pt idx="102">
                  <c:v>17.374007021155144</c:v>
                </c:pt>
                <c:pt idx="103">
                  <c:v>-8.7288485675670007</c:v>
                </c:pt>
                <c:pt idx="106">
                  <c:v>0</c:v>
                </c:pt>
                <c:pt idx="107">
                  <c:v>23.908672754201895</c:v>
                </c:pt>
                <c:pt idx="108">
                  <c:v>17.605342323312023</c:v>
                </c:pt>
                <c:pt idx="109">
                  <c:v>-8.7288485675670007</c:v>
                </c:pt>
                <c:pt idx="112">
                  <c:v>0</c:v>
                </c:pt>
                <c:pt idx="113">
                  <c:v>24</c:v>
                </c:pt>
                <c:pt idx="114">
                  <c:v>17.670097443538388</c:v>
                </c:pt>
                <c:pt idx="115">
                  <c:v>-8.7288485675670007</c:v>
                </c:pt>
                <c:pt idx="118">
                  <c:v>0</c:v>
                </c:pt>
                <c:pt idx="119">
                  <c:v>23.908672754201895</c:v>
                </c:pt>
                <c:pt idx="120">
                  <c:v>17.568087152490122</c:v>
                </c:pt>
                <c:pt idx="121">
                  <c:v>-8.7288485675670007</c:v>
                </c:pt>
                <c:pt idx="124">
                  <c:v>0</c:v>
                </c:pt>
                <c:pt idx="125">
                  <c:v>23.635386072292992</c:v>
                </c:pt>
                <c:pt idx="126">
                  <c:v>17.301121108478476</c:v>
                </c:pt>
                <c:pt idx="127">
                  <c:v>-8.7288485675670007</c:v>
                </c:pt>
                <c:pt idx="130">
                  <c:v>0</c:v>
                </c:pt>
                <c:pt idx="131">
                  <c:v>23.18221983093764</c:v>
                </c:pt>
                <c:pt idx="132">
                  <c:v>16.87310934819282</c:v>
                </c:pt>
                <c:pt idx="133">
                  <c:v>-8.7288485675670007</c:v>
                </c:pt>
                <c:pt idx="136">
                  <c:v>0</c:v>
                </c:pt>
                <c:pt idx="137">
                  <c:v>22.552622898861802</c:v>
                </c:pt>
                <c:pt idx="138">
                  <c:v>16.290223744802255</c:v>
                </c:pt>
                <c:pt idx="139">
                  <c:v>-8.7288485675670007</c:v>
                </c:pt>
                <c:pt idx="142">
                  <c:v>0</c:v>
                </c:pt>
                <c:pt idx="143">
                  <c:v>21.751386888879601</c:v>
                </c:pt>
                <c:pt idx="144">
                  <c:v>15.561138143518304</c:v>
                </c:pt>
                <c:pt idx="145">
                  <c:v>-8.7288485675670007</c:v>
                </c:pt>
                <c:pt idx="148">
                  <c:v>0</c:v>
                </c:pt>
                <c:pt idx="149">
                  <c:v>20.784609690826528</c:v>
                </c:pt>
                <c:pt idx="150">
                  <c:v>14.697379421524905</c:v>
                </c:pt>
                <c:pt idx="151">
                  <c:v>-8.7288485675670007</c:v>
                </c:pt>
                <c:pt idx="154">
                  <c:v>0</c:v>
                </c:pt>
                <c:pt idx="155">
                  <c:v>19.659649062935799</c:v>
                </c:pt>
                <c:pt idx="156">
                  <c:v>13.71383002925216</c:v>
                </c:pt>
                <c:pt idx="157">
                  <c:v>-8.7288485675670007</c:v>
                </c:pt>
                <c:pt idx="160">
                  <c:v>0</c:v>
                </c:pt>
                <c:pt idx="161">
                  <c:v>18.385066634855473</c:v>
                </c:pt>
                <c:pt idx="162">
                  <c:v>12.629420637638235</c:v>
                </c:pt>
                <c:pt idx="163">
                  <c:v>-8.7288485675670007</c:v>
                </c:pt>
                <c:pt idx="166">
                  <c:v>0</c:v>
                </c:pt>
                <c:pt idx="167">
                  <c:v>16.970562748477143</c:v>
                </c:pt>
                <c:pt idx="168">
                  <c:v>11.46801460956152</c:v>
                </c:pt>
                <c:pt idx="169">
                  <c:v>-8.7288485675670007</c:v>
                </c:pt>
                <c:pt idx="172">
                  <c:v>0</c:v>
                </c:pt>
                <c:pt idx="173">
                  <c:v>15.426902632476947</c:v>
                </c:pt>
                <c:pt idx="174">
                  <c:v>10.259358221689572</c:v>
                </c:pt>
                <c:pt idx="175">
                  <c:v>-8.7288485675670007</c:v>
                </c:pt>
                <c:pt idx="178">
                  <c:v>0</c:v>
                </c:pt>
                <c:pt idx="179">
                  <c:v>13.765834472425102</c:v>
                </c:pt>
                <c:pt idx="180">
                  <c:v>9.0396579988171606</c:v>
                </c:pt>
                <c:pt idx="181">
                  <c:v>-8.7288485675670007</c:v>
                </c:pt>
                <c:pt idx="184">
                  <c:v>0</c:v>
                </c:pt>
                <c:pt idx="185">
                  <c:v>11.999999999999998</c:v>
                </c:pt>
                <c:pt idx="186">
                  <c:v>7.8507941401551324</c:v>
                </c:pt>
                <c:pt idx="187">
                  <c:v>-8.7288485675670007</c:v>
                </c:pt>
                <c:pt idx="190">
                  <c:v>0</c:v>
                </c:pt>
                <c:pt idx="191">
                  <c:v>10.142838281776788</c:v>
                </c:pt>
                <c:pt idx="192">
                  <c:v>6.7366903964199363</c:v>
                </c:pt>
                <c:pt idx="193">
                  <c:v>-8.7288485675670007</c:v>
                </c:pt>
                <c:pt idx="196">
                  <c:v>0</c:v>
                </c:pt>
                <c:pt idx="197">
                  <c:v>8.2084834398160531</c:v>
                </c:pt>
                <c:pt idx="198">
                  <c:v>5.7360433092766812</c:v>
                </c:pt>
                <c:pt idx="199">
                  <c:v>-8.7288485675670007</c:v>
                </c:pt>
                <c:pt idx="202">
                  <c:v>0</c:v>
                </c:pt>
                <c:pt idx="203">
                  <c:v>6.2116570824605049</c:v>
                </c:pt>
                <c:pt idx="204">
                  <c:v>4.8735635522788616</c:v>
                </c:pt>
                <c:pt idx="205">
                  <c:v>-8.7288485675670007</c:v>
                </c:pt>
                <c:pt idx="208">
                  <c:v>0</c:v>
                </c:pt>
                <c:pt idx="209">
                  <c:v>4.1675562640063264</c:v>
                </c:pt>
                <c:pt idx="210">
                  <c:v>4.1550047578681557</c:v>
                </c:pt>
                <c:pt idx="211">
                  <c:v>-8.7288485675670007</c:v>
                </c:pt>
                <c:pt idx="214">
                  <c:v>0</c:v>
                </c:pt>
                <c:pt idx="215">
                  <c:v>2.0917378259437966</c:v>
                </c:pt>
                <c:pt idx="216">
                  <c:v>3.5695354890127735</c:v>
                </c:pt>
                <c:pt idx="217">
                  <c:v>-8.7288485675670007</c:v>
                </c:pt>
                <c:pt idx="220">
                  <c:v>0</c:v>
                </c:pt>
                <c:pt idx="221">
                  <c:v>2.940356291780688E-15</c:v>
                </c:pt>
                <c:pt idx="222">
                  <c:v>3.0970973496754901</c:v>
                </c:pt>
                <c:pt idx="223">
                  <c:v>-8.7288485675670007</c:v>
                </c:pt>
                <c:pt idx="226">
                  <c:v>0</c:v>
                </c:pt>
                <c:pt idx="227">
                  <c:v>-2.0917378259437909</c:v>
                </c:pt>
                <c:pt idx="228">
                  <c:v>2.7155985615127864</c:v>
                </c:pt>
                <c:pt idx="229">
                  <c:v>-8.7288485675670007</c:v>
                </c:pt>
                <c:pt idx="232">
                  <c:v>0</c:v>
                </c:pt>
                <c:pt idx="233">
                  <c:v>-4.1675562640063308</c:v>
                </c:pt>
                <c:pt idx="234">
                  <c:v>2.4051511774592047</c:v>
                </c:pt>
                <c:pt idx="235">
                  <c:v>-8.7288485675670007</c:v>
                </c:pt>
                <c:pt idx="238">
                  <c:v>0</c:v>
                </c:pt>
                <c:pt idx="239">
                  <c:v>-6.2116570824604995</c:v>
                </c:pt>
                <c:pt idx="240">
                  <c:v>2.1495567610908193</c:v>
                </c:pt>
                <c:pt idx="241">
                  <c:v>-8.7288485675670007</c:v>
                </c:pt>
                <c:pt idx="244">
                  <c:v>0</c:v>
                </c:pt>
                <c:pt idx="245">
                  <c:v>-8.2084834398160478</c:v>
                </c:pt>
                <c:pt idx="246">
                  <c:v>1.936264536982419</c:v>
                </c:pt>
                <c:pt idx="247">
                  <c:v>-8.7288485675670007</c:v>
                </c:pt>
                <c:pt idx="250">
                  <c:v>0</c:v>
                </c:pt>
                <c:pt idx="251">
                  <c:v>-10.142838281776783</c:v>
                </c:pt>
                <c:pt idx="252">
                  <c:v>1.7557620969351397</c:v>
                </c:pt>
                <c:pt idx="253">
                  <c:v>-8.7288485675670007</c:v>
                </c:pt>
                <c:pt idx="256">
                  <c:v>0</c:v>
                </c:pt>
                <c:pt idx="257">
                  <c:v>-12.000000000000004</c:v>
                </c:pt>
                <c:pt idx="258">
                  <c:v>1.6008837951659682</c:v>
                </c:pt>
                <c:pt idx="259">
                  <c:v>-8.7288485675670007</c:v>
                </c:pt>
                <c:pt idx="262">
                  <c:v>0</c:v>
                </c:pt>
                <c:pt idx="263">
                  <c:v>-13.765834472425109</c:v>
                </c:pt>
                <c:pt idx="264">
                  <c:v>1.4662153490912733</c:v>
                </c:pt>
                <c:pt idx="265">
                  <c:v>-8.7288485675670007</c:v>
                </c:pt>
                <c:pt idx="268">
                  <c:v>0</c:v>
                </c:pt>
                <c:pt idx="269">
                  <c:v>-15.426902632476942</c:v>
                </c:pt>
                <c:pt idx="270">
                  <c:v>1.3476315842422082</c:v>
                </c:pt>
                <c:pt idx="271">
                  <c:v>-8.7288485675670007</c:v>
                </c:pt>
                <c:pt idx="274">
                  <c:v>0</c:v>
                </c:pt>
                <c:pt idx="275">
                  <c:v>-16.970562748477139</c:v>
                </c:pt>
                <c:pt idx="276">
                  <c:v>1.2419532470908283</c:v>
                </c:pt>
                <c:pt idx="277">
                  <c:v>-8.7288485675670007</c:v>
                </c:pt>
                <c:pt idx="280">
                  <c:v>0</c:v>
                </c:pt>
                <c:pt idx="281">
                  <c:v>-18.38506663485547</c:v>
                </c:pt>
                <c:pt idx="282">
                  <c:v>1.1466966943221522</c:v>
                </c:pt>
                <c:pt idx="283">
                  <c:v>-8.7288485675670007</c:v>
                </c:pt>
                <c:pt idx="286">
                  <c:v>0</c:v>
                </c:pt>
                <c:pt idx="287">
                  <c:v>-19.659649062935799</c:v>
                </c:pt>
                <c:pt idx="288">
                  <c:v>1.0598918928757879</c:v>
                </c:pt>
                <c:pt idx="289">
                  <c:v>-8.7288485675670007</c:v>
                </c:pt>
                <c:pt idx="292">
                  <c:v>0</c:v>
                </c:pt>
                <c:pt idx="293">
                  <c:v>-20.784609690826521</c:v>
                </c:pt>
                <c:pt idx="294">
                  <c:v>0.97994927583638081</c:v>
                </c:pt>
                <c:pt idx="295">
                  <c:v>-8.7288485675670007</c:v>
                </c:pt>
                <c:pt idx="298">
                  <c:v>0</c:v>
                </c:pt>
                <c:pt idx="299">
                  <c:v>-21.751386888879601</c:v>
                </c:pt>
                <c:pt idx="300">
                  <c:v>0.90556101246337306</c:v>
                </c:pt>
                <c:pt idx="301">
                  <c:v>-8.7288485675670007</c:v>
                </c:pt>
                <c:pt idx="304">
                  <c:v>0</c:v>
                </c:pt>
                <c:pt idx="305">
                  <c:v>-22.552622898861802</c:v>
                </c:pt>
                <c:pt idx="306">
                  <c:v>0.8356262016083793</c:v>
                </c:pt>
                <c:pt idx="307">
                  <c:v>-8.7288485675670007</c:v>
                </c:pt>
              </c:numCache>
            </c:numRef>
          </c:xVal>
          <c:yVal>
            <c:numRef>
              <c:f>Wheel!$X$2:$X$311</c:f>
              <c:numCache>
                <c:formatCode>0</c:formatCode>
                <c:ptCount val="310"/>
                <c:pt idx="0">
                  <c:v>0</c:v>
                </c:pt>
                <c:pt idx="2">
                  <c:v>24</c:v>
                </c:pt>
                <c:pt idx="4">
                  <c:v>0</c:v>
                </c:pt>
                <c:pt idx="5">
                  <c:v>24</c:v>
                </c:pt>
                <c:pt idx="6">
                  <c:v>48.57566918375494</c:v>
                </c:pt>
                <c:pt idx="7">
                  <c:v>24</c:v>
                </c:pt>
                <c:pt idx="10">
                  <c:v>0</c:v>
                </c:pt>
                <c:pt idx="11">
                  <c:v>23.908672754201895</c:v>
                </c:pt>
                <c:pt idx="12">
                  <c:v>48.483203296394862</c:v>
                </c:pt>
                <c:pt idx="13">
                  <c:v>24</c:v>
                </c:pt>
                <c:pt idx="16">
                  <c:v>0</c:v>
                </c:pt>
                <c:pt idx="17">
                  <c:v>23.635386072292992</c:v>
                </c:pt>
                <c:pt idx="18">
                  <c:v>48.130566968924612</c:v>
                </c:pt>
                <c:pt idx="19">
                  <c:v>24</c:v>
                </c:pt>
                <c:pt idx="22">
                  <c:v>0</c:v>
                </c:pt>
                <c:pt idx="23">
                  <c:v>23.18221983093764</c:v>
                </c:pt>
                <c:pt idx="24">
                  <c:v>47.582171179378257</c:v>
                </c:pt>
                <c:pt idx="25">
                  <c:v>24</c:v>
                </c:pt>
                <c:pt idx="28">
                  <c:v>0</c:v>
                </c:pt>
                <c:pt idx="29">
                  <c:v>22.552622898861802</c:v>
                </c:pt>
                <c:pt idx="30">
                  <c:v>46.860382344749347</c:v>
                </c:pt>
                <c:pt idx="31">
                  <c:v>24</c:v>
                </c:pt>
                <c:pt idx="34">
                  <c:v>0</c:v>
                </c:pt>
                <c:pt idx="35">
                  <c:v>21.751386888879598</c:v>
                </c:pt>
                <c:pt idx="36">
                  <c:v>45.975510245685584</c:v>
                </c:pt>
                <c:pt idx="37">
                  <c:v>24</c:v>
                </c:pt>
                <c:pt idx="40">
                  <c:v>0</c:v>
                </c:pt>
                <c:pt idx="41">
                  <c:v>20.784609690826528</c:v>
                </c:pt>
                <c:pt idx="42">
                  <c:v>44.934691926361992</c:v>
                </c:pt>
                <c:pt idx="43">
                  <c:v>24</c:v>
                </c:pt>
                <c:pt idx="46">
                  <c:v>0</c:v>
                </c:pt>
                <c:pt idx="47">
                  <c:v>19.659649062935802</c:v>
                </c:pt>
                <c:pt idx="48">
                  <c:v>43.7448227002793</c:v>
                </c:pt>
                <c:pt idx="49">
                  <c:v>24</c:v>
                </c:pt>
                <c:pt idx="52">
                  <c:v>0</c:v>
                </c:pt>
                <c:pt idx="53">
                  <c:v>18.385066634855473</c:v>
                </c:pt>
                <c:pt idx="54">
                  <c:v>42.413565256901961</c:v>
                </c:pt>
                <c:pt idx="55">
                  <c:v>24</c:v>
                </c:pt>
                <c:pt idx="58">
                  <c:v>0</c:v>
                </c:pt>
                <c:pt idx="59">
                  <c:v>16.970562748477143</c:v>
                </c:pt>
                <c:pt idx="60">
                  <c:v>40.949674891553812</c:v>
                </c:pt>
                <c:pt idx="61">
                  <c:v>24</c:v>
                </c:pt>
                <c:pt idx="64">
                  <c:v>0</c:v>
                </c:pt>
                <c:pt idx="65">
                  <c:v>15.426902632476946</c:v>
                </c:pt>
                <c:pt idx="66">
                  <c:v>39.363063448137581</c:v>
                </c:pt>
                <c:pt idx="67">
                  <c:v>24</c:v>
                </c:pt>
                <c:pt idx="70">
                  <c:v>0</c:v>
                </c:pt>
                <c:pt idx="71">
                  <c:v>13.765834472425109</c:v>
                </c:pt>
                <c:pt idx="72">
                  <c:v>37.664758018257061</c:v>
                </c:pt>
                <c:pt idx="73">
                  <c:v>24</c:v>
                </c:pt>
                <c:pt idx="76">
                  <c:v>0</c:v>
                </c:pt>
                <c:pt idx="77">
                  <c:v>12.000000000000004</c:v>
                </c:pt>
                <c:pt idx="78">
                  <c:v>35.866815497988519</c:v>
                </c:pt>
                <c:pt idx="79">
                  <c:v>24</c:v>
                </c:pt>
                <c:pt idx="82">
                  <c:v>0</c:v>
                </c:pt>
                <c:pt idx="83">
                  <c:v>10.142838281776786</c:v>
                </c:pt>
                <c:pt idx="84">
                  <c:v>33.98221803246274</c:v>
                </c:pt>
                <c:pt idx="85">
                  <c:v>24</c:v>
                </c:pt>
                <c:pt idx="88">
                  <c:v>0</c:v>
                </c:pt>
                <c:pt idx="89">
                  <c:v>8.2084834398160513</c:v>
                </c:pt>
                <c:pt idx="90">
                  <c:v>32.024760041086203</c:v>
                </c:pt>
                <c:pt idx="91">
                  <c:v>24</c:v>
                </c:pt>
                <c:pt idx="94">
                  <c:v>0</c:v>
                </c:pt>
                <c:pt idx="95">
                  <c:v>6.2116570824604977</c:v>
                </c:pt>
                <c:pt idx="96">
                  <c:v>30.008931683050463</c:v>
                </c:pt>
                <c:pt idx="97">
                  <c:v>24</c:v>
                </c:pt>
                <c:pt idx="100">
                  <c:v>0</c:v>
                </c:pt>
                <c:pt idx="101">
                  <c:v>4.1675562640063299</c:v>
                </c:pt>
                <c:pt idx="102">
                  <c:v>27.949801275294398</c:v>
                </c:pt>
                <c:pt idx="103">
                  <c:v>24</c:v>
                </c:pt>
                <c:pt idx="106">
                  <c:v>0</c:v>
                </c:pt>
                <c:pt idx="107">
                  <c:v>2.0917378259437953</c:v>
                </c:pt>
                <c:pt idx="108">
                  <c:v>25.862898312507799</c:v>
                </c:pt>
                <c:pt idx="109">
                  <c:v>24</c:v>
                </c:pt>
                <c:pt idx="112">
                  <c:v>0</c:v>
                </c:pt>
                <c:pt idx="113">
                  <c:v>1.470178145890344E-15</c:v>
                </c:pt>
                <c:pt idx="114">
                  <c:v>23.764098531706715</c:v>
                </c:pt>
                <c:pt idx="115">
                  <c:v>24</c:v>
                </c:pt>
                <c:pt idx="118">
                  <c:v>0</c:v>
                </c:pt>
                <c:pt idx="119">
                  <c:v>-2.0917378259437975</c:v>
                </c:pt>
                <c:pt idx="120">
                  <c:v>21.669512554167294</c:v>
                </c:pt>
                <c:pt idx="121">
                  <c:v>24</c:v>
                </c:pt>
                <c:pt idx="124">
                  <c:v>0</c:v>
                </c:pt>
                <c:pt idx="125">
                  <c:v>-4.1675562640063273</c:v>
                </c:pt>
                <c:pt idx="126">
                  <c:v>19.59537985018537</c:v>
                </c:pt>
                <c:pt idx="127">
                  <c:v>24</c:v>
                </c:pt>
                <c:pt idx="130">
                  <c:v>0</c:v>
                </c:pt>
                <c:pt idx="131">
                  <c:v>-6.2116570824605004</c:v>
                </c:pt>
                <c:pt idx="132">
                  <c:v>17.557969972154471</c:v>
                </c:pt>
                <c:pt idx="133">
                  <c:v>24</c:v>
                </c:pt>
                <c:pt idx="136">
                  <c:v>0</c:v>
                </c:pt>
                <c:pt idx="137">
                  <c:v>-8.2084834398160496</c:v>
                </c:pt>
                <c:pt idx="138">
                  <c:v>15.573492975826927</c:v>
                </c:pt>
                <c:pt idx="139">
                  <c:v>24</c:v>
                </c:pt>
                <c:pt idx="142">
                  <c:v>0</c:v>
                </c:pt>
                <c:pt idx="143">
                  <c:v>-10.142838281776784</c:v>
                </c:pt>
                <c:pt idx="144">
                  <c:v>13.658020229409688</c:v>
                </c:pt>
                <c:pt idx="145">
                  <c:v>24</c:v>
                </c:pt>
                <c:pt idx="148">
                  <c:v>0</c:v>
                </c:pt>
                <c:pt idx="149">
                  <c:v>-11.999999999999995</c:v>
                </c:pt>
                <c:pt idx="150">
                  <c:v>11.82741431728299</c:v>
                </c:pt>
                <c:pt idx="151">
                  <c:v>24</c:v>
                </c:pt>
                <c:pt idx="154">
                  <c:v>0</c:v>
                </c:pt>
                <c:pt idx="155">
                  <c:v>-13.765834472425109</c:v>
                </c:pt>
                <c:pt idx="156">
                  <c:v>10.097260075802494</c:v>
                </c:pt>
                <c:pt idx="157">
                  <c:v>24</c:v>
                </c:pt>
                <c:pt idx="160">
                  <c:v>0</c:v>
                </c:pt>
                <c:pt idx="161">
                  <c:v>-15.426902632476946</c:v>
                </c:pt>
                <c:pt idx="162">
                  <c:v>8.4827729101497695</c:v>
                </c:pt>
                <c:pt idx="163">
                  <c:v>24</c:v>
                </c:pt>
                <c:pt idx="166">
                  <c:v>0</c:v>
                </c:pt>
                <c:pt idx="167">
                  <c:v>-16.970562748477139</c:v>
                </c:pt>
                <c:pt idx="168">
                  <c:v>6.9986260024564473</c:v>
                </c:pt>
                <c:pt idx="169">
                  <c:v>24</c:v>
                </c:pt>
                <c:pt idx="172">
                  <c:v>0</c:v>
                </c:pt>
                <c:pt idx="173">
                  <c:v>-18.38506663485547</c:v>
                </c:pt>
                <c:pt idx="174">
                  <c:v>5.6585714043744453</c:v>
                </c:pt>
                <c:pt idx="175">
                  <c:v>24</c:v>
                </c:pt>
                <c:pt idx="178">
                  <c:v>0</c:v>
                </c:pt>
                <c:pt idx="179">
                  <c:v>-19.659649062935806</c:v>
                </c:pt>
                <c:pt idx="180">
                  <c:v>4.474627419678697</c:v>
                </c:pt>
                <c:pt idx="181">
                  <c:v>24</c:v>
                </c:pt>
                <c:pt idx="184">
                  <c:v>0</c:v>
                </c:pt>
                <c:pt idx="185">
                  <c:v>-20.784609690826528</c:v>
                </c:pt>
                <c:pt idx="186">
                  <c:v>3.4555251299947649</c:v>
                </c:pt>
                <c:pt idx="187">
                  <c:v>24</c:v>
                </c:pt>
                <c:pt idx="190">
                  <c:v>0</c:v>
                </c:pt>
                <c:pt idx="191">
                  <c:v>-21.751386888879598</c:v>
                </c:pt>
                <c:pt idx="192">
                  <c:v>2.6042736848359809</c:v>
                </c:pt>
                <c:pt idx="193">
                  <c:v>24</c:v>
                </c:pt>
                <c:pt idx="196">
                  <c:v>0</c:v>
                </c:pt>
                <c:pt idx="197">
                  <c:v>-22.552622898861799</c:v>
                </c:pt>
                <c:pt idx="198">
                  <c:v>1.9154600910224566</c:v>
                </c:pt>
                <c:pt idx="199">
                  <c:v>24</c:v>
                </c:pt>
                <c:pt idx="202">
                  <c:v>0</c:v>
                </c:pt>
                <c:pt idx="203">
                  <c:v>-23.182219830937637</c:v>
                </c:pt>
                <c:pt idx="204">
                  <c:v>1.3740329594098775</c:v>
                </c:pt>
                <c:pt idx="205">
                  <c:v>24</c:v>
                </c:pt>
                <c:pt idx="208">
                  <c:v>0</c:v>
                </c:pt>
                <c:pt idx="209">
                  <c:v>-23.635386072292992</c:v>
                </c:pt>
                <c:pt idx="210">
                  <c:v>0.95729348603611797</c:v>
                </c:pt>
                <c:pt idx="211">
                  <c:v>24</c:v>
                </c:pt>
                <c:pt idx="214">
                  <c:v>0</c:v>
                </c:pt>
                <c:pt idx="215">
                  <c:v>-23.908672754201895</c:v>
                </c:pt>
                <c:pt idx="216">
                  <c:v>0.63956871980175478</c:v>
                </c:pt>
                <c:pt idx="217">
                  <c:v>24</c:v>
                </c:pt>
                <c:pt idx="220">
                  <c:v>0</c:v>
                </c:pt>
                <c:pt idx="221">
                  <c:v>-24</c:v>
                </c:pt>
                <c:pt idx="222">
                  <c:v>0.3968857316993919</c:v>
                </c:pt>
                <c:pt idx="223">
                  <c:v>24</c:v>
                </c:pt>
                <c:pt idx="226">
                  <c:v>0</c:v>
                </c:pt>
                <c:pt idx="227">
                  <c:v>-23.908672754201895</c:v>
                </c:pt>
                <c:pt idx="228">
                  <c:v>0.20956852199402576</c:v>
                </c:pt>
                <c:pt idx="229">
                  <c:v>24</c:v>
                </c:pt>
                <c:pt idx="232">
                  <c:v>0</c:v>
                </c:pt>
                <c:pt idx="233">
                  <c:v>-23.635386072292992</c:v>
                </c:pt>
                <c:pt idx="234">
                  <c:v>6.270588228994356E-2</c:v>
                </c:pt>
                <c:pt idx="235">
                  <c:v>24</c:v>
                </c:pt>
                <c:pt idx="238">
                  <c:v>0</c:v>
                </c:pt>
                <c:pt idx="239">
                  <c:v>-23.18221983093764</c:v>
                </c:pt>
                <c:pt idx="240">
                  <c:v>-5.45275884900569E-2</c:v>
                </c:pt>
                <c:pt idx="241">
                  <c:v>24</c:v>
                </c:pt>
                <c:pt idx="244">
                  <c:v>0</c:v>
                </c:pt>
                <c:pt idx="245">
                  <c:v>-22.552622898861802</c:v>
                </c:pt>
                <c:pt idx="246">
                  <c:v>-0.14985222454101077</c:v>
                </c:pt>
                <c:pt idx="247">
                  <c:v>24</c:v>
                </c:pt>
                <c:pt idx="250">
                  <c:v>0</c:v>
                </c:pt>
                <c:pt idx="251">
                  <c:v>-21.751386888879601</c:v>
                </c:pt>
                <c:pt idx="252">
                  <c:v>-0.22876264306141181</c:v>
                </c:pt>
                <c:pt idx="253">
                  <c:v>24</c:v>
                </c:pt>
                <c:pt idx="256">
                  <c:v>0</c:v>
                </c:pt>
                <c:pt idx="257">
                  <c:v>-20.784609690826528</c:v>
                </c:pt>
                <c:pt idx="258">
                  <c:v>-0.2951976595027368</c:v>
                </c:pt>
                <c:pt idx="259">
                  <c:v>24</c:v>
                </c:pt>
                <c:pt idx="262">
                  <c:v>0</c:v>
                </c:pt>
                <c:pt idx="263">
                  <c:v>-19.659649062935802</c:v>
                </c:pt>
                <c:pt idx="264">
                  <c:v>-0.3520157632844132</c:v>
                </c:pt>
                <c:pt idx="265">
                  <c:v>24</c:v>
                </c:pt>
                <c:pt idx="268">
                  <c:v>0</c:v>
                </c:pt>
                <c:pt idx="269">
                  <c:v>-18.385066634855473</c:v>
                </c:pt>
                <c:pt idx="270">
                  <c:v>-0.40132266394990168</c:v>
                </c:pt>
                <c:pt idx="271">
                  <c:v>24</c:v>
                </c:pt>
                <c:pt idx="274">
                  <c:v>0</c:v>
                </c:pt>
                <c:pt idx="275">
                  <c:v>-16.970562748477143</c:v>
                </c:pt>
                <c:pt idx="276">
                  <c:v>-0.44469494947352217</c:v>
                </c:pt>
                <c:pt idx="277">
                  <c:v>24</c:v>
                </c:pt>
                <c:pt idx="280">
                  <c:v>0</c:v>
                </c:pt>
                <c:pt idx="281">
                  <c:v>-15.426902632476947</c:v>
                </c:pt>
                <c:pt idx="282">
                  <c:v>-0.48333322446882221</c:v>
                </c:pt>
                <c:pt idx="283">
                  <c:v>24</c:v>
                </c:pt>
                <c:pt idx="286">
                  <c:v>0</c:v>
                </c:pt>
                <c:pt idx="287">
                  <c:v>-13.765834472425112</c:v>
                </c:pt>
                <c:pt idx="288">
                  <c:v>-0.51816796169914525</c:v>
                </c:pt>
                <c:pt idx="289">
                  <c:v>24</c:v>
                </c:pt>
                <c:pt idx="292">
                  <c:v>0</c:v>
                </c:pt>
                <c:pt idx="293">
                  <c:v>-12.000000000000011</c:v>
                </c:pt>
                <c:pt idx="294">
                  <c:v>-0.54993369514317081</c:v>
                </c:pt>
                <c:pt idx="295">
                  <c:v>24</c:v>
                </c:pt>
                <c:pt idx="298">
                  <c:v>0</c:v>
                </c:pt>
                <c:pt idx="299">
                  <c:v>-10.142838281776779</c:v>
                </c:pt>
                <c:pt idx="300">
                  <c:v>-0.5792219576661779</c:v>
                </c:pt>
                <c:pt idx="301">
                  <c:v>24</c:v>
                </c:pt>
                <c:pt idx="304">
                  <c:v>0</c:v>
                </c:pt>
                <c:pt idx="305">
                  <c:v>-8.208483439816046</c:v>
                </c:pt>
                <c:pt idx="306">
                  <c:v>-0.60651991627031165</c:v>
                </c:pt>
                <c:pt idx="307">
                  <c:v>24</c:v>
                </c:pt>
              </c:numCache>
            </c:numRef>
          </c:yVal>
        </c:ser>
        <c:ser>
          <c:idx val="1"/>
          <c:order val="1"/>
          <c:spPr>
            <a:ln w="15875">
              <a:solidFill>
                <a:srgbClr val="FF6600"/>
              </a:solidFill>
            </a:ln>
          </c:spPr>
          <c:marker>
            <c:symbol val="none"/>
          </c:marker>
          <c:xVal>
            <c:numRef>
              <c:f>Wheel!$Z$6:$Z$311</c:f>
              <c:numCache>
                <c:formatCode>0</c:formatCode>
                <c:ptCount val="306"/>
                <c:pt idx="0">
                  <c:v>0</c:v>
                </c:pt>
                <c:pt idx="1">
                  <c:v>1.687933260273673</c:v>
                </c:pt>
                <c:pt idx="3">
                  <c:v>0</c:v>
                </c:pt>
                <c:pt idx="4">
                  <c:v>1.7431148549531632</c:v>
                </c:pt>
                <c:pt idx="6">
                  <c:v>1.687933260273673</c:v>
                </c:pt>
                <c:pt idx="7">
                  <c:v>4.699150688835493</c:v>
                </c:pt>
                <c:pt idx="9">
                  <c:v>1.7431148549531632</c:v>
                </c:pt>
                <c:pt idx="10">
                  <c:v>3.4729635533386065</c:v>
                </c:pt>
                <c:pt idx="12">
                  <c:v>4.699150688835493</c:v>
                </c:pt>
                <c:pt idx="13">
                  <c:v>8.1111958001397824</c:v>
                </c:pt>
                <c:pt idx="15">
                  <c:v>3.4729635533386065</c:v>
                </c:pt>
                <c:pt idx="16">
                  <c:v>5.1763809020504148</c:v>
                </c:pt>
                <c:pt idx="18">
                  <c:v>8.1111958001397824</c:v>
                </c:pt>
                <c:pt idx="19">
                  <c:v>11.473063202572924</c:v>
                </c:pt>
                <c:pt idx="21">
                  <c:v>5.1763809020504148</c:v>
                </c:pt>
                <c:pt idx="22">
                  <c:v>6.840402866513374</c:v>
                </c:pt>
                <c:pt idx="24">
                  <c:v>11.473063202572924</c:v>
                </c:pt>
                <c:pt idx="25">
                  <c:v>14.52592736976178</c:v>
                </c:pt>
                <c:pt idx="27">
                  <c:v>6.840402866513374</c:v>
                </c:pt>
                <c:pt idx="28">
                  <c:v>8.452365234813989</c:v>
                </c:pt>
                <c:pt idx="30">
                  <c:v>14.52592736976178</c:v>
                </c:pt>
                <c:pt idx="31">
                  <c:v>17.103476754701816</c:v>
                </c:pt>
                <c:pt idx="33">
                  <c:v>8.452365234813989</c:v>
                </c:pt>
                <c:pt idx="34">
                  <c:v>9.9999999999999982</c:v>
                </c:pt>
                <c:pt idx="36">
                  <c:v>17.103476754701816</c:v>
                </c:pt>
                <c:pt idx="37">
                  <c:v>19.093112765391567</c:v>
                </c:pt>
                <c:pt idx="39">
                  <c:v>9.9999999999999982</c:v>
                </c:pt>
                <c:pt idx="40">
                  <c:v>11.471528727020921</c:v>
                </c:pt>
                <c:pt idx="42">
                  <c:v>19.093112765391567</c:v>
                </c:pt>
                <c:pt idx="43">
                  <c:v>20.419880986134867</c:v>
                </c:pt>
                <c:pt idx="45">
                  <c:v>11.471528727020921</c:v>
                </c:pt>
                <c:pt idx="46">
                  <c:v>12.855752193730785</c:v>
                </c:pt>
                <c:pt idx="48">
                  <c:v>20.419880986134867</c:v>
                </c:pt>
                <c:pt idx="49">
                  <c:v>21.039473581559605</c:v>
                </c:pt>
                <c:pt idx="51">
                  <c:v>12.855752193730785</c:v>
                </c:pt>
                <c:pt idx="52">
                  <c:v>14.142135623730949</c:v>
                </c:pt>
                <c:pt idx="54">
                  <c:v>21.039473581559605</c:v>
                </c:pt>
                <c:pt idx="55">
                  <c:v>20.934921589492966</c:v>
                </c:pt>
                <c:pt idx="57">
                  <c:v>14.142135623730949</c:v>
                </c:pt>
                <c:pt idx="58">
                  <c:v>15.32088886237956</c:v>
                </c:pt>
                <c:pt idx="60">
                  <c:v>20.934921589492966</c:v>
                </c:pt>
                <c:pt idx="61">
                  <c:v>20.114685357234197</c:v>
                </c:pt>
                <c:pt idx="63">
                  <c:v>15.32088886237956</c:v>
                </c:pt>
                <c:pt idx="64">
                  <c:v>16.383040885779835</c:v>
                </c:pt>
                <c:pt idx="66">
                  <c:v>20.114685357234197</c:v>
                </c:pt>
                <c:pt idx="67">
                  <c:v>18.611109188766736</c:v>
                </c:pt>
                <c:pt idx="69">
                  <c:v>16.383040885779835</c:v>
                </c:pt>
                <c:pt idx="70">
                  <c:v>17.320508075688771</c:v>
                </c:pt>
                <c:pt idx="72">
                  <c:v>18.611109188766736</c:v>
                </c:pt>
                <c:pt idx="73">
                  <c:v>16.478761496097015</c:v>
                </c:pt>
                <c:pt idx="75">
                  <c:v>17.320508075688771</c:v>
                </c:pt>
                <c:pt idx="76">
                  <c:v>18.126155740732997</c:v>
                </c:pt>
                <c:pt idx="78">
                  <c:v>16.478761496097015</c:v>
                </c:pt>
                <c:pt idx="79">
                  <c:v>13.79244729134019</c:v>
                </c:pt>
                <c:pt idx="81">
                  <c:v>18.126155740732997</c:v>
                </c:pt>
                <c:pt idx="82">
                  <c:v>18.793852415718167</c:v>
                </c:pt>
                <c:pt idx="84">
                  <c:v>13.79244729134019</c:v>
                </c:pt>
                <c:pt idx="85">
                  <c:v>10.644817935970035</c:v>
                </c:pt>
                <c:pt idx="87">
                  <c:v>18.793852415718167</c:v>
                </c:pt>
                <c:pt idx="88">
                  <c:v>19.318516525781366</c:v>
                </c:pt>
                <c:pt idx="90">
                  <c:v>10.644817935970035</c:v>
                </c:pt>
                <c:pt idx="91">
                  <c:v>7.1435813725920738</c:v>
                </c:pt>
                <c:pt idx="93">
                  <c:v>19.318516525781366</c:v>
                </c:pt>
                <c:pt idx="94">
                  <c:v>19.696155060244159</c:v>
                </c:pt>
                <c:pt idx="96">
                  <c:v>7.1435813725920738</c:v>
                </c:pt>
                <c:pt idx="97">
                  <c:v>3.408364236960169</c:v>
                </c:pt>
                <c:pt idx="99">
                  <c:v>19.696155060244159</c:v>
                </c:pt>
                <c:pt idx="100">
                  <c:v>19.92389396183491</c:v>
                </c:pt>
                <c:pt idx="102">
                  <c:v>3.408364236960169</c:v>
                </c:pt>
                <c:pt idx="103">
                  <c:v>0.43269141136416239</c:v>
                </c:pt>
                <c:pt idx="105">
                  <c:v>19.92389396183491</c:v>
                </c:pt>
                <c:pt idx="106">
                  <c:v>20</c:v>
                </c:pt>
                <c:pt idx="108">
                  <c:v>0.43269141136416239</c:v>
                </c:pt>
                <c:pt idx="109">
                  <c:v>4.2464938544518303</c:v>
                </c:pt>
                <c:pt idx="111">
                  <c:v>20</c:v>
                </c:pt>
                <c:pt idx="112">
                  <c:v>19.92389396183491</c:v>
                </c:pt>
                <c:pt idx="114">
                  <c:v>4.2464938544518303</c:v>
                </c:pt>
                <c:pt idx="115">
                  <c:v>7.8986169769793131</c:v>
                </c:pt>
                <c:pt idx="117">
                  <c:v>19.92389396183491</c:v>
                </c:pt>
                <c:pt idx="118">
                  <c:v>19.696155060244159</c:v>
                </c:pt>
                <c:pt idx="120">
                  <c:v>7.8986169769793131</c:v>
                </c:pt>
                <c:pt idx="121">
                  <c:v>11.256855010661726</c:v>
                </c:pt>
                <c:pt idx="123">
                  <c:v>19.696155060244159</c:v>
                </c:pt>
                <c:pt idx="124">
                  <c:v>19.318516525781366</c:v>
                </c:pt>
                <c:pt idx="126">
                  <c:v>11.256855010661726</c:v>
                </c:pt>
                <c:pt idx="127">
                  <c:v>14.19463260282062</c:v>
                </c:pt>
                <c:pt idx="129">
                  <c:v>19.318516525781366</c:v>
                </c:pt>
                <c:pt idx="130">
                  <c:v>18.79385241571817</c:v>
                </c:pt>
                <c:pt idx="132">
                  <c:v>14.19463260282062</c:v>
                </c:pt>
                <c:pt idx="133">
                  <c:v>16.594257641522042</c:v>
                </c:pt>
                <c:pt idx="135">
                  <c:v>18.79385241571817</c:v>
                </c:pt>
                <c:pt idx="136">
                  <c:v>18.126155740733001</c:v>
                </c:pt>
                <c:pt idx="138">
                  <c:v>16.594257641522042</c:v>
                </c:pt>
                <c:pt idx="139">
                  <c:v>18.350170418175775</c:v>
                </c:pt>
                <c:pt idx="141">
                  <c:v>18.126155740733001</c:v>
                </c:pt>
                <c:pt idx="142">
                  <c:v>17.320508075688775</c:v>
                </c:pt>
                <c:pt idx="144">
                  <c:v>18.350170418175775</c:v>
                </c:pt>
                <c:pt idx="145">
                  <c:v>19.372698033636006</c:v>
                </c:pt>
                <c:pt idx="147">
                  <c:v>17.320508075688775</c:v>
                </c:pt>
                <c:pt idx="148">
                  <c:v>16.383040885779835</c:v>
                </c:pt>
                <c:pt idx="150">
                  <c:v>19.372698033636006</c:v>
                </c:pt>
                <c:pt idx="151">
                  <c:v>19.593517959550635</c:v>
                </c:pt>
                <c:pt idx="153">
                  <c:v>16.383040885779835</c:v>
                </c:pt>
                <c:pt idx="154">
                  <c:v>15.32088886237956</c:v>
                </c:pt>
                <c:pt idx="156">
                  <c:v>19.593517959550635</c:v>
                </c:pt>
                <c:pt idx="157">
                  <c:v>18.975184536940244</c:v>
                </c:pt>
                <c:pt idx="159">
                  <c:v>15.32088886237956</c:v>
                </c:pt>
                <c:pt idx="160">
                  <c:v>14.142135623730951</c:v>
                </c:pt>
                <c:pt idx="162">
                  <c:v>18.975184536940244</c:v>
                </c:pt>
                <c:pt idx="163">
                  <c:v>17.52826343294738</c:v>
                </c:pt>
                <c:pt idx="165">
                  <c:v>14.142135623730951</c:v>
                </c:pt>
                <c:pt idx="166">
                  <c:v>12.85575219373079</c:v>
                </c:pt>
                <c:pt idx="168">
                  <c:v>17.52826343294738</c:v>
                </c:pt>
                <c:pt idx="169">
                  <c:v>15.338501126526431</c:v>
                </c:pt>
                <c:pt idx="171">
                  <c:v>12.85575219373079</c:v>
                </c:pt>
                <c:pt idx="172">
                  <c:v>11.471528727020919</c:v>
                </c:pt>
                <c:pt idx="174">
                  <c:v>15.338501126526431</c:v>
                </c:pt>
                <c:pt idx="175">
                  <c:v>12.597255060019684</c:v>
                </c:pt>
                <c:pt idx="177">
                  <c:v>11.471528727020919</c:v>
                </c:pt>
                <c:pt idx="178">
                  <c:v>9.9999999999999982</c:v>
                </c:pt>
                <c:pt idx="180">
                  <c:v>12.597255060019684</c:v>
                </c:pt>
                <c:pt idx="181">
                  <c:v>9.6076678674786944</c:v>
                </c:pt>
                <c:pt idx="183">
                  <c:v>9.9999999999999982</c:v>
                </c:pt>
                <c:pt idx="184">
                  <c:v>8.452365234813989</c:v>
                </c:pt>
                <c:pt idx="186">
                  <c:v>9.6076678674786944</c:v>
                </c:pt>
                <c:pt idx="187">
                  <c:v>6.7277135769630636</c:v>
                </c:pt>
                <c:pt idx="189">
                  <c:v>8.452365234813989</c:v>
                </c:pt>
                <c:pt idx="190">
                  <c:v>6.8404028665133776</c:v>
                </c:pt>
                <c:pt idx="192">
                  <c:v>6.7277135769630636</c:v>
                </c:pt>
                <c:pt idx="193">
                  <c:v>4.2546365476011498</c:v>
                </c:pt>
                <c:pt idx="195">
                  <c:v>6.8404028665133776</c:v>
                </c:pt>
                <c:pt idx="196">
                  <c:v>5.1763809020504201</c:v>
                </c:pt>
                <c:pt idx="198">
                  <c:v>4.2546365476011498</c:v>
                </c:pt>
                <c:pt idx="199">
                  <c:v>2.3312821293612465</c:v>
                </c:pt>
                <c:pt idx="201">
                  <c:v>5.1763809020504201</c:v>
                </c:pt>
                <c:pt idx="202">
                  <c:v>3.4729635533386056</c:v>
                </c:pt>
                <c:pt idx="204">
                  <c:v>2.3312821293612465</c:v>
                </c:pt>
                <c:pt idx="205">
                  <c:v>0.94581868695985361</c:v>
                </c:pt>
                <c:pt idx="207">
                  <c:v>3.4729635533386056</c:v>
                </c:pt>
                <c:pt idx="208">
                  <c:v>1.7431148549531639</c:v>
                </c:pt>
                <c:pt idx="210">
                  <c:v>0.94581868695985361</c:v>
                </c:pt>
                <c:pt idx="211">
                  <c:v>1.0749464812730908E-15</c:v>
                </c:pt>
                <c:pt idx="213">
                  <c:v>1.7431148549531639</c:v>
                </c:pt>
                <c:pt idx="214">
                  <c:v>2.45029690981724E-15</c:v>
                </c:pt>
                <c:pt idx="216">
                  <c:v>1.0749464812730908E-15</c:v>
                </c:pt>
                <c:pt idx="217">
                  <c:v>-0.62283832927226868</c:v>
                </c:pt>
                <c:pt idx="219">
                  <c:v>2.45029690981724E-15</c:v>
                </c:pt>
                <c:pt idx="220">
                  <c:v>-1.7431148549531588</c:v>
                </c:pt>
                <c:pt idx="222">
                  <c:v>-0.62283832927226868</c:v>
                </c:pt>
                <c:pt idx="223">
                  <c:v>-1.0223325279414934</c:v>
                </c:pt>
                <c:pt idx="225">
                  <c:v>-1.7431148549531588</c:v>
                </c:pt>
                <c:pt idx="226">
                  <c:v>-3.4729635533386096</c:v>
                </c:pt>
                <c:pt idx="228">
                  <c:v>-1.0223325279414934</c:v>
                </c:pt>
                <c:pt idx="229">
                  <c:v>-1.2721732519194731</c:v>
                </c:pt>
                <c:pt idx="231">
                  <c:v>-3.4729635533386096</c:v>
                </c:pt>
                <c:pt idx="232">
                  <c:v>-5.1763809020504157</c:v>
                </c:pt>
                <c:pt idx="234">
                  <c:v>-1.2721732519194731</c:v>
                </c:pt>
                <c:pt idx="235">
                  <c:v>-1.4231861616152763</c:v>
                </c:pt>
                <c:pt idx="237">
                  <c:v>-5.1763809020504157</c:v>
                </c:pt>
                <c:pt idx="238">
                  <c:v>-6.8404028665133731</c:v>
                </c:pt>
                <c:pt idx="240">
                  <c:v>-1.4231861616152763</c:v>
                </c:pt>
                <c:pt idx="241">
                  <c:v>-1.5093172908544381</c:v>
                </c:pt>
                <c:pt idx="243">
                  <c:v>-6.8404028665133731</c:v>
                </c:pt>
                <c:pt idx="244">
                  <c:v>-8.4523652348139855</c:v>
                </c:pt>
                <c:pt idx="246">
                  <c:v>-1.5093172908544381</c:v>
                </c:pt>
                <c:pt idx="247">
                  <c:v>-1.5529790000304835</c:v>
                </c:pt>
                <c:pt idx="249">
                  <c:v>-8.4523652348139855</c:v>
                </c:pt>
                <c:pt idx="250">
                  <c:v>-10.000000000000002</c:v>
                </c:pt>
                <c:pt idx="252">
                  <c:v>-1.5529790000304835</c:v>
                </c:pt>
                <c:pt idx="253">
                  <c:v>-1.5689703377738604</c:v>
                </c:pt>
                <c:pt idx="255">
                  <c:v>-10.000000000000002</c:v>
                </c:pt>
                <c:pt idx="256">
                  <c:v>-11.471528727020923</c:v>
                </c:pt>
                <c:pt idx="258">
                  <c:v>-1.5689703377738604</c:v>
                </c:pt>
                <c:pt idx="259">
                  <c:v>-1.5671320150806423</c:v>
                </c:pt>
                <c:pt idx="261">
                  <c:v>-11.471528727020923</c:v>
                </c:pt>
                <c:pt idx="262">
                  <c:v>-12.855752193730785</c:v>
                </c:pt>
                <c:pt idx="264">
                  <c:v>-1.5671320150806423</c:v>
                </c:pt>
                <c:pt idx="265">
                  <c:v>-1.5540853757030417</c:v>
                </c:pt>
                <c:pt idx="267">
                  <c:v>-12.855752193730785</c:v>
                </c:pt>
                <c:pt idx="268">
                  <c:v>-14.142135623730949</c:v>
                </c:pt>
                <c:pt idx="270">
                  <c:v>-1.5540853757030417</c:v>
                </c:pt>
                <c:pt idx="271">
                  <c:v>-1.534359466458628</c:v>
                </c:pt>
                <c:pt idx="273">
                  <c:v>-14.142135623730949</c:v>
                </c:pt>
                <c:pt idx="274">
                  <c:v>-15.320888862379558</c:v>
                </c:pt>
                <c:pt idx="276">
                  <c:v>-1.534359466458628</c:v>
                </c:pt>
                <c:pt idx="277">
                  <c:v>-1.5111236044828109</c:v>
                </c:pt>
                <c:pt idx="279">
                  <c:v>-15.320888862379558</c:v>
                </c:pt>
                <c:pt idx="280">
                  <c:v>-16.383040885779831</c:v>
                </c:pt>
                <c:pt idx="282">
                  <c:v>-1.5111236044828109</c:v>
                </c:pt>
                <c:pt idx="283">
                  <c:v>-1.4866697429721683</c:v>
                </c:pt>
                <c:pt idx="285">
                  <c:v>-16.383040885779831</c:v>
                </c:pt>
                <c:pt idx="286">
                  <c:v>-17.320508075688767</c:v>
                </c:pt>
                <c:pt idx="288">
                  <c:v>-1.4866697429721683</c:v>
                </c:pt>
                <c:pt idx="289">
                  <c:v>-1.4627378782610538</c:v>
                </c:pt>
                <c:pt idx="291">
                  <c:v>-17.320508075688767</c:v>
                </c:pt>
                <c:pt idx="292">
                  <c:v>-18.126155740733001</c:v>
                </c:pt>
                <c:pt idx="294">
                  <c:v>-1.4627378782610538</c:v>
                </c:pt>
                <c:pt idx="295">
                  <c:v>-1.4407448178829096</c:v>
                </c:pt>
                <c:pt idx="297">
                  <c:v>-18.126155740733001</c:v>
                </c:pt>
                <c:pt idx="298">
                  <c:v>-18.79385241571817</c:v>
                </c:pt>
                <c:pt idx="300">
                  <c:v>-1.4407448178829096</c:v>
                </c:pt>
              </c:numCache>
            </c:numRef>
          </c:xVal>
          <c:yVal>
            <c:numRef>
              <c:f>Wheel!$AA$6:$AA$311</c:f>
              <c:numCache>
                <c:formatCode>0</c:formatCode>
                <c:ptCount val="306"/>
                <c:pt idx="0">
                  <c:v>5.3763299057023008</c:v>
                </c:pt>
                <c:pt idx="1">
                  <c:v>19.293165448498556</c:v>
                </c:pt>
                <c:pt idx="3">
                  <c:v>20</c:v>
                </c:pt>
                <c:pt idx="4">
                  <c:v>19.92389396183491</c:v>
                </c:pt>
                <c:pt idx="6">
                  <c:v>19.293165448498556</c:v>
                </c:pt>
                <c:pt idx="7">
                  <c:v>26.65020786923677</c:v>
                </c:pt>
                <c:pt idx="9">
                  <c:v>19.92389396183491</c:v>
                </c:pt>
                <c:pt idx="10">
                  <c:v>19.696155060244159</c:v>
                </c:pt>
                <c:pt idx="12">
                  <c:v>26.65020786923677</c:v>
                </c:pt>
                <c:pt idx="13">
                  <c:v>30.271394836260967</c:v>
                </c:pt>
                <c:pt idx="15">
                  <c:v>19.696155060244159</c:v>
                </c:pt>
                <c:pt idx="16">
                  <c:v>19.318516525781366</c:v>
                </c:pt>
                <c:pt idx="18">
                  <c:v>30.271394836260967</c:v>
                </c:pt>
                <c:pt idx="19">
                  <c:v>31.521982081044843</c:v>
                </c:pt>
                <c:pt idx="21">
                  <c:v>19.318516525781366</c:v>
                </c:pt>
                <c:pt idx="22">
                  <c:v>18.79385241571817</c:v>
                </c:pt>
                <c:pt idx="24">
                  <c:v>31.521982081044843</c:v>
                </c:pt>
                <c:pt idx="25">
                  <c:v>31.150951771273345</c:v>
                </c:pt>
                <c:pt idx="27">
                  <c:v>18.79385241571817</c:v>
                </c:pt>
                <c:pt idx="28">
                  <c:v>18.126155740732997</c:v>
                </c:pt>
                <c:pt idx="30">
                  <c:v>31.150951771273345</c:v>
                </c:pt>
                <c:pt idx="31">
                  <c:v>29.624090725216806</c:v>
                </c:pt>
                <c:pt idx="33">
                  <c:v>18.126155740732997</c:v>
                </c:pt>
                <c:pt idx="34">
                  <c:v>17.320508075688775</c:v>
                </c:pt>
                <c:pt idx="36">
                  <c:v>29.624090725216806</c:v>
                </c:pt>
                <c:pt idx="37">
                  <c:v>27.267790938396391</c:v>
                </c:pt>
                <c:pt idx="39">
                  <c:v>17.320508075688775</c:v>
                </c:pt>
                <c:pt idx="40">
                  <c:v>16.383040885779835</c:v>
                </c:pt>
                <c:pt idx="42">
                  <c:v>27.267790938396391</c:v>
                </c:pt>
                <c:pt idx="43">
                  <c:v>24.335466525572429</c:v>
                </c:pt>
                <c:pt idx="45">
                  <c:v>16.383040885779835</c:v>
                </c:pt>
                <c:pt idx="46">
                  <c:v>15.32088886237956</c:v>
                </c:pt>
                <c:pt idx="48">
                  <c:v>24.335466525572429</c:v>
                </c:pt>
                <c:pt idx="49">
                  <c:v>21.039473581559609</c:v>
                </c:pt>
                <c:pt idx="51">
                  <c:v>15.32088886237956</c:v>
                </c:pt>
                <c:pt idx="52">
                  <c:v>14.142135623730951</c:v>
                </c:pt>
                <c:pt idx="54">
                  <c:v>21.039473581559609</c:v>
                </c:pt>
                <c:pt idx="55">
                  <c:v>17.566484984468829</c:v>
                </c:pt>
                <c:pt idx="57">
                  <c:v>14.142135623730951</c:v>
                </c:pt>
                <c:pt idx="58">
                  <c:v>12.855752193730787</c:v>
                </c:pt>
                <c:pt idx="60">
                  <c:v>17.566484984468829</c:v>
                </c:pt>
                <c:pt idx="61">
                  <c:v>14.084454315851856</c:v>
                </c:pt>
                <c:pt idx="63">
                  <c:v>12.855752193730787</c:v>
                </c:pt>
                <c:pt idx="64">
                  <c:v>11.471528727020923</c:v>
                </c:pt>
                <c:pt idx="66">
                  <c:v>14.084454315851856</c:v>
                </c:pt>
                <c:pt idx="67">
                  <c:v>10.745128900051995</c:v>
                </c:pt>
                <c:pt idx="69">
                  <c:v>11.471528727020923</c:v>
                </c:pt>
                <c:pt idx="70">
                  <c:v>10.000000000000002</c:v>
                </c:pt>
                <c:pt idx="72">
                  <c:v>10.745128900051995</c:v>
                </c:pt>
                <c:pt idx="73">
                  <c:v>7.6841726825397583</c:v>
                </c:pt>
                <c:pt idx="75">
                  <c:v>10.000000000000002</c:v>
                </c:pt>
                <c:pt idx="76">
                  <c:v>8.452365234813989</c:v>
                </c:pt>
                <c:pt idx="78">
                  <c:v>7.6841726825397583</c:v>
                </c:pt>
                <c:pt idx="79">
                  <c:v>5.0200402717333388</c:v>
                </c:pt>
                <c:pt idx="81">
                  <c:v>8.452365234813989</c:v>
                </c:pt>
                <c:pt idx="82">
                  <c:v>6.8404028665133767</c:v>
                </c:pt>
                <c:pt idx="84">
                  <c:v>5.0200402717333388</c:v>
                </c:pt>
                <c:pt idx="85">
                  <c:v>2.8522703695195015</c:v>
                </c:pt>
                <c:pt idx="87">
                  <c:v>6.8404028665133767</c:v>
                </c:pt>
                <c:pt idx="88">
                  <c:v>5.1763809020504148</c:v>
                </c:pt>
                <c:pt idx="90">
                  <c:v>2.8522703695195015</c:v>
                </c:pt>
                <c:pt idx="91">
                  <c:v>1.259606134874393</c:v>
                </c:pt>
                <c:pt idx="93">
                  <c:v>5.1763809020504148</c:v>
                </c:pt>
                <c:pt idx="94">
                  <c:v>3.4729635533386083</c:v>
                </c:pt>
                <c:pt idx="96">
                  <c:v>1.259606134874393</c:v>
                </c:pt>
                <c:pt idx="97">
                  <c:v>0.29819323190120078</c:v>
                </c:pt>
                <c:pt idx="99">
                  <c:v>3.4729635533386083</c:v>
                </c:pt>
                <c:pt idx="100">
                  <c:v>1.7431148549531628</c:v>
                </c:pt>
                <c:pt idx="102">
                  <c:v>0.29819323190120078</c:v>
                </c:pt>
                <c:pt idx="103">
                  <c:v>2.6505560704251681E-17</c:v>
                </c:pt>
                <c:pt idx="105">
                  <c:v>1.7431148549531628</c:v>
                </c:pt>
                <c:pt idx="106">
                  <c:v>1.22514845490862E-15</c:v>
                </c:pt>
                <c:pt idx="108">
                  <c:v>2.6505560704251681E-17</c:v>
                </c:pt>
                <c:pt idx="109">
                  <c:v>-0.37152007199704051</c:v>
                </c:pt>
                <c:pt idx="111">
                  <c:v>1.22514845490862E-15</c:v>
                </c:pt>
                <c:pt idx="112">
                  <c:v>-1.7431148549531648</c:v>
                </c:pt>
                <c:pt idx="114">
                  <c:v>-0.37152007199704051</c:v>
                </c:pt>
                <c:pt idx="115">
                  <c:v>-1.3927392833233849</c:v>
                </c:pt>
                <c:pt idx="117">
                  <c:v>-1.7431148549531648</c:v>
                </c:pt>
                <c:pt idx="118">
                  <c:v>-3.4729635533386061</c:v>
                </c:pt>
                <c:pt idx="120">
                  <c:v>-1.3927392833233849</c:v>
                </c:pt>
                <c:pt idx="121">
                  <c:v>-3.0162652094210474</c:v>
                </c:pt>
                <c:pt idx="123">
                  <c:v>-3.4729635533386061</c:v>
                </c:pt>
                <c:pt idx="124">
                  <c:v>-5.1763809020504166</c:v>
                </c:pt>
                <c:pt idx="126">
                  <c:v>-3.0162652094210474</c:v>
                </c:pt>
                <c:pt idx="127">
                  <c:v>-5.1664237537712943</c:v>
                </c:pt>
                <c:pt idx="129">
                  <c:v>-5.1763809020504166</c:v>
                </c:pt>
                <c:pt idx="130">
                  <c:v>-6.840402866513374</c:v>
                </c:pt>
                <c:pt idx="132">
                  <c:v>-5.1664237537712943</c:v>
                </c:pt>
                <c:pt idx="133">
                  <c:v>-7.7380294196388295</c:v>
                </c:pt>
                <c:pt idx="135">
                  <c:v>-6.840402866513374</c:v>
                </c:pt>
                <c:pt idx="136">
                  <c:v>-8.4523652348139873</c:v>
                </c:pt>
                <c:pt idx="138">
                  <c:v>-7.7380294196388295</c:v>
                </c:pt>
                <c:pt idx="139">
                  <c:v>-10.594475830609285</c:v>
                </c:pt>
                <c:pt idx="141">
                  <c:v>-8.4523652348139873</c:v>
                </c:pt>
                <c:pt idx="142">
                  <c:v>-9.9999999999999964</c:v>
                </c:pt>
                <c:pt idx="144">
                  <c:v>-10.594475830609285</c:v>
                </c:pt>
                <c:pt idx="145">
                  <c:v>-13.564909198612357</c:v>
                </c:pt>
                <c:pt idx="147">
                  <c:v>-9.9999999999999964</c:v>
                </c:pt>
                <c:pt idx="148">
                  <c:v>-11.471528727020923</c:v>
                </c:pt>
                <c:pt idx="150">
                  <c:v>-13.564909198612357</c:v>
                </c:pt>
                <c:pt idx="151">
                  <c:v>-16.440913693324354</c:v>
                </c:pt>
                <c:pt idx="153">
                  <c:v>-11.471528727020923</c:v>
                </c:pt>
                <c:pt idx="154">
                  <c:v>-12.855752193730787</c:v>
                </c:pt>
                <c:pt idx="156">
                  <c:v>-16.440913693324354</c:v>
                </c:pt>
                <c:pt idx="157">
                  <c:v>-18.97518453694024</c:v>
                </c:pt>
                <c:pt idx="159">
                  <c:v>-12.855752193730787</c:v>
                </c:pt>
                <c:pt idx="160">
                  <c:v>-14.142135623730949</c:v>
                </c:pt>
                <c:pt idx="162">
                  <c:v>-18.97518453694024</c:v>
                </c:pt>
                <c:pt idx="163">
                  <c:v>-20.889370918152753</c:v>
                </c:pt>
                <c:pt idx="165">
                  <c:v>-14.142135623730949</c:v>
                </c:pt>
                <c:pt idx="166">
                  <c:v>-15.320888862379558</c:v>
                </c:pt>
                <c:pt idx="168">
                  <c:v>-20.889370918152753</c:v>
                </c:pt>
                <c:pt idx="169">
                  <c:v>-21.90564981026041</c:v>
                </c:pt>
                <c:pt idx="171">
                  <c:v>-15.320888862379558</c:v>
                </c:pt>
                <c:pt idx="172">
                  <c:v>-16.383040885779838</c:v>
                </c:pt>
                <c:pt idx="174">
                  <c:v>-21.90564981026041</c:v>
                </c:pt>
                <c:pt idx="175">
                  <c:v>-21.819085799858225</c:v>
                </c:pt>
                <c:pt idx="177">
                  <c:v>-16.383040885779838</c:v>
                </c:pt>
                <c:pt idx="178">
                  <c:v>-17.320508075688775</c:v>
                </c:pt>
                <c:pt idx="180">
                  <c:v>-21.819085799858225</c:v>
                </c:pt>
                <c:pt idx="181">
                  <c:v>-20.603710231765373</c:v>
                </c:pt>
                <c:pt idx="183">
                  <c:v>-17.320508075688775</c:v>
                </c:pt>
                <c:pt idx="184">
                  <c:v>-18.126155740732997</c:v>
                </c:pt>
                <c:pt idx="186">
                  <c:v>-20.603710231765373</c:v>
                </c:pt>
                <c:pt idx="187">
                  <c:v>-18.484241137264295</c:v>
                </c:pt>
                <c:pt idx="189">
                  <c:v>-18.126155740732997</c:v>
                </c:pt>
                <c:pt idx="190">
                  <c:v>-18.793852415718167</c:v>
                </c:pt>
                <c:pt idx="192">
                  <c:v>-18.484241137264295</c:v>
                </c:pt>
                <c:pt idx="193">
                  <c:v>-15.878519763386914</c:v>
                </c:pt>
                <c:pt idx="195">
                  <c:v>-18.793852415718167</c:v>
                </c:pt>
                <c:pt idx="196">
                  <c:v>-19.318516525781362</c:v>
                </c:pt>
                <c:pt idx="198">
                  <c:v>-15.878519763386914</c:v>
                </c:pt>
                <c:pt idx="199">
                  <c:v>-13.221357956646102</c:v>
                </c:pt>
                <c:pt idx="201">
                  <c:v>-19.318516525781362</c:v>
                </c:pt>
                <c:pt idx="202">
                  <c:v>-19.696155060244159</c:v>
                </c:pt>
                <c:pt idx="204">
                  <c:v>-13.221357956646102</c:v>
                </c:pt>
                <c:pt idx="205">
                  <c:v>-10.810757060880183</c:v>
                </c:pt>
                <c:pt idx="207">
                  <c:v>-19.696155060244159</c:v>
                </c:pt>
                <c:pt idx="208">
                  <c:v>-19.92389396183491</c:v>
                </c:pt>
                <c:pt idx="210">
                  <c:v>-10.810757060880183</c:v>
                </c:pt>
                <c:pt idx="211">
                  <c:v>-8.774010014592621</c:v>
                </c:pt>
                <c:pt idx="213">
                  <c:v>-19.92389396183491</c:v>
                </c:pt>
                <c:pt idx="214">
                  <c:v>-20</c:v>
                </c:pt>
                <c:pt idx="216">
                  <c:v>-8.774010014592621</c:v>
                </c:pt>
                <c:pt idx="217">
                  <c:v>-7.1190746797465412</c:v>
                </c:pt>
                <c:pt idx="219">
                  <c:v>-20</c:v>
                </c:pt>
                <c:pt idx="220">
                  <c:v>-19.92389396183491</c:v>
                </c:pt>
                <c:pt idx="222">
                  <c:v>-7.1190746797465412</c:v>
                </c:pt>
                <c:pt idx="223">
                  <c:v>-5.7979358793184019</c:v>
                </c:pt>
                <c:pt idx="225">
                  <c:v>-19.92389396183491</c:v>
                </c:pt>
                <c:pt idx="226">
                  <c:v>-19.696155060244159</c:v>
                </c:pt>
                <c:pt idx="228">
                  <c:v>-5.7979358793184019</c:v>
                </c:pt>
                <c:pt idx="229">
                  <c:v>-4.7478152121935935</c:v>
                </c:pt>
                <c:pt idx="231">
                  <c:v>-19.696155060244159</c:v>
                </c:pt>
                <c:pt idx="232">
                  <c:v>-19.318516525781366</c:v>
                </c:pt>
                <c:pt idx="234">
                  <c:v>-4.7478152121935935</c:v>
                </c:pt>
                <c:pt idx="235">
                  <c:v>-3.9101718427182703</c:v>
                </c:pt>
                <c:pt idx="237">
                  <c:v>-19.318516525781366</c:v>
                </c:pt>
                <c:pt idx="238">
                  <c:v>-18.79385241571817</c:v>
                </c:pt>
                <c:pt idx="240">
                  <c:v>-3.9101718427182703</c:v>
                </c:pt>
                <c:pt idx="241">
                  <c:v>-3.2367413754820817</c:v>
                </c:pt>
                <c:pt idx="243">
                  <c:v>-18.79385241571817</c:v>
                </c:pt>
                <c:pt idx="244">
                  <c:v>-18.126155740733001</c:v>
                </c:pt>
                <c:pt idx="246">
                  <c:v>-3.2367413754820817</c:v>
                </c:pt>
                <c:pt idx="247">
                  <c:v>-2.6898385311403059</c:v>
                </c:pt>
                <c:pt idx="249">
                  <c:v>-18.126155740733001</c:v>
                </c:pt>
                <c:pt idx="250">
                  <c:v>-17.320508075688771</c:v>
                </c:pt>
                <c:pt idx="252">
                  <c:v>-2.6898385311403059</c:v>
                </c:pt>
                <c:pt idx="253">
                  <c:v>-2.2407218605292405</c:v>
                </c:pt>
                <c:pt idx="255">
                  <c:v>-17.320508075688771</c:v>
                </c:pt>
                <c:pt idx="256">
                  <c:v>-16.383040885779835</c:v>
                </c:pt>
                <c:pt idx="258">
                  <c:v>-2.2407218605292405</c:v>
                </c:pt>
                <c:pt idx="259">
                  <c:v>-1.8676352090417592</c:v>
                </c:pt>
                <c:pt idx="261">
                  <c:v>-16.383040885779835</c:v>
                </c:pt>
                <c:pt idx="262">
                  <c:v>-15.32088886237956</c:v>
                </c:pt>
                <c:pt idx="264">
                  <c:v>-1.8676352090417592</c:v>
                </c:pt>
                <c:pt idx="265">
                  <c:v>-1.5540853757030422</c:v>
                </c:pt>
                <c:pt idx="267">
                  <c:v>-15.32088886237956</c:v>
                </c:pt>
                <c:pt idx="268">
                  <c:v>-14.142135623730955</c:v>
                </c:pt>
                <c:pt idx="270">
                  <c:v>-1.5540853757030422</c:v>
                </c:pt>
                <c:pt idx="271">
                  <c:v>-1.2874804623988034</c:v>
                </c:pt>
                <c:pt idx="273">
                  <c:v>-14.142135623730955</c:v>
                </c:pt>
                <c:pt idx="274">
                  <c:v>-12.85575219373079</c:v>
                </c:pt>
                <c:pt idx="276">
                  <c:v>-1.2874804623988034</c:v>
                </c:pt>
                <c:pt idx="277">
                  <c:v>-1.0581001390254932</c:v>
                </c:pt>
                <c:pt idx="279">
                  <c:v>-12.85575219373079</c:v>
                </c:pt>
                <c:pt idx="280">
                  <c:v>-11.471528727020928</c:v>
                </c:pt>
                <c:pt idx="282">
                  <c:v>-1.0581001390254932</c:v>
                </c:pt>
                <c:pt idx="283">
                  <c:v>-0.8583291763010541</c:v>
                </c:pt>
                <c:pt idx="285">
                  <c:v>-11.471528727020928</c:v>
                </c:pt>
                <c:pt idx="286">
                  <c:v>-10.000000000000009</c:v>
                </c:pt>
                <c:pt idx="288">
                  <c:v>-0.8583291763010541</c:v>
                </c:pt>
                <c:pt idx="289">
                  <c:v>-0.68208587450652292</c:v>
                </c:pt>
                <c:pt idx="291">
                  <c:v>-10.000000000000009</c:v>
                </c:pt>
                <c:pt idx="292">
                  <c:v>-8.4523652348139837</c:v>
                </c:pt>
                <c:pt idx="294">
                  <c:v>-0.68208587450652292</c:v>
                </c:pt>
                <c:pt idx="295">
                  <c:v>-0.52438822888265935</c:v>
                </c:pt>
                <c:pt idx="297">
                  <c:v>-8.4523652348139837</c:v>
                </c:pt>
                <c:pt idx="298">
                  <c:v>-6.8404028665133705</c:v>
                </c:pt>
                <c:pt idx="300">
                  <c:v>-0.52438822888265935</c:v>
                </c:pt>
              </c:numCache>
            </c:numRef>
          </c:yVal>
          <c:smooth val="1"/>
        </c:ser>
        <c:axId val="127043456"/>
        <c:axId val="127044992"/>
      </c:scatterChart>
      <c:valAx>
        <c:axId val="127043456"/>
        <c:scaling>
          <c:orientation val="minMax"/>
          <c:max val="25"/>
          <c:min val="-25"/>
        </c:scaling>
        <c:axPos val="b"/>
        <c:majorGridlines>
          <c:spPr>
            <a:ln>
              <a:solidFill>
                <a:srgbClr val="DDDDDD"/>
              </a:solidFill>
            </a:ln>
          </c:spPr>
        </c:majorGridlines>
        <c:numFmt formatCode="0" sourceLinked="1"/>
        <c:tickLblPos val="nextTo"/>
        <c:txPr>
          <a:bodyPr/>
          <a:lstStyle/>
          <a:p>
            <a:pPr>
              <a:defRPr sz="800" baseline="0"/>
            </a:pPr>
            <a:endParaRPr lang="en-US"/>
          </a:p>
        </c:txPr>
        <c:crossAx val="127044992"/>
        <c:crossesAt val="-1000"/>
        <c:crossBetween val="midCat"/>
        <c:majorUnit val="5"/>
        <c:minorUnit val="0.5"/>
      </c:valAx>
      <c:valAx>
        <c:axId val="127044992"/>
        <c:scaling>
          <c:orientation val="minMax"/>
          <c:max val="50"/>
          <c:min val="-25"/>
        </c:scaling>
        <c:axPos val="l"/>
        <c:majorGridlines>
          <c:spPr>
            <a:ln>
              <a:solidFill>
                <a:srgbClr val="DDDDDD"/>
              </a:solidFill>
            </a:ln>
          </c:spPr>
        </c:majorGridlines>
        <c:numFmt formatCode="0" sourceLinked="1"/>
        <c:tickLblPos val="nextTo"/>
        <c:txPr>
          <a:bodyPr/>
          <a:lstStyle/>
          <a:p>
            <a:pPr>
              <a:defRPr sz="800" baseline="0"/>
            </a:pPr>
            <a:endParaRPr lang="en-US"/>
          </a:p>
        </c:txPr>
        <c:crossAx val="127043456"/>
        <c:crossesAt val="-1000"/>
        <c:crossBetween val="midCat"/>
        <c:majorUnit val="5"/>
        <c:minorUnit val="0.5"/>
      </c:valAx>
    </c:plotArea>
    <c:plotVisOnly val="1"/>
  </c:chart>
  <c:printSettings>
    <c:headerFooter/>
    <c:pageMargins b="0.75000000000000355" l="0.70000000000000062" r="0.70000000000000062" t="0.750000000000003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4.9247798012667959E-2"/>
          <c:y val="0.17784457316213012"/>
          <c:w val="0.91872410435458562"/>
          <c:h val="0.76803021435824625"/>
        </c:manualLayout>
      </c:layout>
      <c:scatterChart>
        <c:scatterStyle val="lineMarker"/>
        <c:ser>
          <c:idx val="0"/>
          <c:order val="0"/>
          <c:spPr>
            <a:ln w="12700">
              <a:solidFill>
                <a:srgbClr val="0000FF"/>
              </a:solidFill>
            </a:ln>
          </c:spPr>
          <c:marker>
            <c:symbol val="none"/>
          </c:marker>
          <c:xVal>
            <c:numRef>
              <c:f>Shadow!$Z$3:$Z$2162</c:f>
              <c:numCache>
                <c:formatCode>0</c:formatCode>
                <c:ptCount val="2160"/>
                <c:pt idx="0">
                  <c:v>0</c:v>
                </c:pt>
                <c:pt idx="1">
                  <c:v>10.80282152230971</c:v>
                </c:pt>
                <c:pt idx="2">
                  <c:v>10.80282152230971</c:v>
                </c:pt>
                <c:pt idx="3">
                  <c:v>0</c:v>
                </c:pt>
                <c:pt idx="4">
                  <c:v>0</c:v>
                </c:pt>
                <c:pt idx="6">
                  <c:v>30.000006832286932</c:v>
                </c:pt>
                <c:pt idx="7">
                  <c:v>40.802828354596642</c:v>
                </c:pt>
                <c:pt idx="8">
                  <c:v>40.802828354596642</c:v>
                </c:pt>
                <c:pt idx="9">
                  <c:v>30.000006832286932</c:v>
                </c:pt>
                <c:pt idx="10">
                  <c:v>30.000006832286932</c:v>
                </c:pt>
                <c:pt idx="12">
                  <c:v>0</c:v>
                </c:pt>
                <c:pt idx="13">
                  <c:v>10.80282152230971</c:v>
                </c:pt>
                <c:pt idx="14">
                  <c:v>10.80282152230971</c:v>
                </c:pt>
                <c:pt idx="15">
                  <c:v>0</c:v>
                </c:pt>
                <c:pt idx="16">
                  <c:v>0</c:v>
                </c:pt>
                <c:pt idx="18">
                  <c:v>30.000006832286932</c:v>
                </c:pt>
                <c:pt idx="19">
                  <c:v>40.802828354596642</c:v>
                </c:pt>
                <c:pt idx="20">
                  <c:v>40.802828354596642</c:v>
                </c:pt>
                <c:pt idx="21">
                  <c:v>30.000006832286932</c:v>
                </c:pt>
                <c:pt idx="22">
                  <c:v>30.000006832286932</c:v>
                </c:pt>
                <c:pt idx="24">
                  <c:v>0</c:v>
                </c:pt>
                <c:pt idx="25">
                  <c:v>10.80282152230971</c:v>
                </c:pt>
                <c:pt idx="26">
                  <c:v>10.80282152230971</c:v>
                </c:pt>
                <c:pt idx="27">
                  <c:v>0</c:v>
                </c:pt>
                <c:pt idx="28">
                  <c:v>0</c:v>
                </c:pt>
                <c:pt idx="30">
                  <c:v>30.000006832286932</c:v>
                </c:pt>
                <c:pt idx="31">
                  <c:v>40.802828354596642</c:v>
                </c:pt>
                <c:pt idx="32">
                  <c:v>40.802828354596642</c:v>
                </c:pt>
                <c:pt idx="33">
                  <c:v>30.000006832286932</c:v>
                </c:pt>
                <c:pt idx="34">
                  <c:v>30.000006832286932</c:v>
                </c:pt>
                <c:pt idx="36">
                  <c:v>0</c:v>
                </c:pt>
                <c:pt idx="37">
                  <c:v>10.80282152230971</c:v>
                </c:pt>
                <c:pt idx="38">
                  <c:v>10.80282152230971</c:v>
                </c:pt>
                <c:pt idx="39">
                  <c:v>0</c:v>
                </c:pt>
                <c:pt idx="40">
                  <c:v>0</c:v>
                </c:pt>
                <c:pt idx="42">
                  <c:v>30.000006832286932</c:v>
                </c:pt>
                <c:pt idx="43">
                  <c:v>40.802828354596642</c:v>
                </c:pt>
                <c:pt idx="44">
                  <c:v>40.802828354596642</c:v>
                </c:pt>
                <c:pt idx="45">
                  <c:v>30.000006832286932</c:v>
                </c:pt>
                <c:pt idx="46">
                  <c:v>30.000006832286932</c:v>
                </c:pt>
                <c:pt idx="48">
                  <c:v>0</c:v>
                </c:pt>
                <c:pt idx="49">
                  <c:v>10.80282152230971</c:v>
                </c:pt>
                <c:pt idx="50">
                  <c:v>10.80282152230971</c:v>
                </c:pt>
                <c:pt idx="51">
                  <c:v>0</c:v>
                </c:pt>
                <c:pt idx="52">
                  <c:v>0</c:v>
                </c:pt>
                <c:pt idx="54">
                  <c:v>30.000006832286932</c:v>
                </c:pt>
                <c:pt idx="55">
                  <c:v>40.802828354596642</c:v>
                </c:pt>
                <c:pt idx="56">
                  <c:v>40.802828354596642</c:v>
                </c:pt>
                <c:pt idx="57">
                  <c:v>30.000006832286932</c:v>
                </c:pt>
                <c:pt idx="58">
                  <c:v>30.000006832286932</c:v>
                </c:pt>
                <c:pt idx="60">
                  <c:v>0</c:v>
                </c:pt>
                <c:pt idx="61">
                  <c:v>10.80282152230971</c:v>
                </c:pt>
                <c:pt idx="62">
                  <c:v>10.80282152230971</c:v>
                </c:pt>
                <c:pt idx="63">
                  <c:v>0</c:v>
                </c:pt>
                <c:pt idx="64">
                  <c:v>0</c:v>
                </c:pt>
                <c:pt idx="66">
                  <c:v>30.000006832286932</c:v>
                </c:pt>
                <c:pt idx="67">
                  <c:v>40.802828354596642</c:v>
                </c:pt>
                <c:pt idx="68">
                  <c:v>40.802828354596642</c:v>
                </c:pt>
                <c:pt idx="69">
                  <c:v>30.000006832286932</c:v>
                </c:pt>
                <c:pt idx="70">
                  <c:v>30.000006832286932</c:v>
                </c:pt>
                <c:pt idx="72">
                  <c:v>0</c:v>
                </c:pt>
                <c:pt idx="73">
                  <c:v>10.80282152230971</c:v>
                </c:pt>
                <c:pt idx="74">
                  <c:v>10.80282152230971</c:v>
                </c:pt>
                <c:pt idx="75">
                  <c:v>0</c:v>
                </c:pt>
                <c:pt idx="76">
                  <c:v>0</c:v>
                </c:pt>
                <c:pt idx="78">
                  <c:v>30.000006832286932</c:v>
                </c:pt>
                <c:pt idx="79">
                  <c:v>40.802828354596642</c:v>
                </c:pt>
                <c:pt idx="80">
                  <c:v>40.802828354596642</c:v>
                </c:pt>
                <c:pt idx="81">
                  <c:v>30.000006832286932</c:v>
                </c:pt>
                <c:pt idx="82">
                  <c:v>30.000006832286932</c:v>
                </c:pt>
                <c:pt idx="84">
                  <c:v>0</c:v>
                </c:pt>
                <c:pt idx="85">
                  <c:v>10.80282152230971</c:v>
                </c:pt>
                <c:pt idx="86">
                  <c:v>10.80282152230971</c:v>
                </c:pt>
                <c:pt idx="87">
                  <c:v>0</c:v>
                </c:pt>
                <c:pt idx="88">
                  <c:v>0</c:v>
                </c:pt>
                <c:pt idx="90">
                  <c:v>30.000006832286932</c:v>
                </c:pt>
                <c:pt idx="91">
                  <c:v>40.802828354596642</c:v>
                </c:pt>
                <c:pt idx="92">
                  <c:v>40.802828354596642</c:v>
                </c:pt>
                <c:pt idx="93">
                  <c:v>30.000006832286932</c:v>
                </c:pt>
                <c:pt idx="94">
                  <c:v>30.000006832286932</c:v>
                </c:pt>
                <c:pt idx="96">
                  <c:v>0</c:v>
                </c:pt>
                <c:pt idx="97">
                  <c:v>10.80282152230971</c:v>
                </c:pt>
                <c:pt idx="98">
                  <c:v>10.80282152230971</c:v>
                </c:pt>
                <c:pt idx="99">
                  <c:v>0</c:v>
                </c:pt>
                <c:pt idx="100">
                  <c:v>0</c:v>
                </c:pt>
                <c:pt idx="102">
                  <c:v>30.000006832286932</c:v>
                </c:pt>
                <c:pt idx="103">
                  <c:v>40.802828354596642</c:v>
                </c:pt>
                <c:pt idx="104">
                  <c:v>40.802828354596642</c:v>
                </c:pt>
                <c:pt idx="105">
                  <c:v>30.000006832286932</c:v>
                </c:pt>
                <c:pt idx="106">
                  <c:v>30.000006832286932</c:v>
                </c:pt>
                <c:pt idx="108">
                  <c:v>0</c:v>
                </c:pt>
                <c:pt idx="109">
                  <c:v>10.80282152230971</c:v>
                </c:pt>
                <c:pt idx="110">
                  <c:v>10.80282152230971</c:v>
                </c:pt>
                <c:pt idx="111">
                  <c:v>0</c:v>
                </c:pt>
                <c:pt idx="112">
                  <c:v>0</c:v>
                </c:pt>
                <c:pt idx="114">
                  <c:v>30.000006832286932</c:v>
                </c:pt>
                <c:pt idx="115">
                  <c:v>40.802828354596642</c:v>
                </c:pt>
                <c:pt idx="116">
                  <c:v>40.802828354596642</c:v>
                </c:pt>
                <c:pt idx="117">
                  <c:v>30.000006832286932</c:v>
                </c:pt>
                <c:pt idx="118">
                  <c:v>30.000006832286932</c:v>
                </c:pt>
                <c:pt idx="120">
                  <c:v>0</c:v>
                </c:pt>
                <c:pt idx="121">
                  <c:v>10.80282152230971</c:v>
                </c:pt>
                <c:pt idx="122">
                  <c:v>10.80282152230971</c:v>
                </c:pt>
                <c:pt idx="123">
                  <c:v>0</c:v>
                </c:pt>
                <c:pt idx="124">
                  <c:v>0</c:v>
                </c:pt>
                <c:pt idx="126">
                  <c:v>30.000006832286932</c:v>
                </c:pt>
                <c:pt idx="127">
                  <c:v>40.802828354596642</c:v>
                </c:pt>
                <c:pt idx="128">
                  <c:v>40.802828354596642</c:v>
                </c:pt>
                <c:pt idx="129">
                  <c:v>30.000006832286932</c:v>
                </c:pt>
                <c:pt idx="130">
                  <c:v>30.000006832286932</c:v>
                </c:pt>
                <c:pt idx="132">
                  <c:v>0</c:v>
                </c:pt>
                <c:pt idx="133">
                  <c:v>10.80282152230971</c:v>
                </c:pt>
                <c:pt idx="134">
                  <c:v>10.80282152230971</c:v>
                </c:pt>
                <c:pt idx="135">
                  <c:v>0</c:v>
                </c:pt>
                <c:pt idx="136">
                  <c:v>0</c:v>
                </c:pt>
                <c:pt idx="138">
                  <c:v>30.000006832286932</c:v>
                </c:pt>
                <c:pt idx="139">
                  <c:v>40.802828354596642</c:v>
                </c:pt>
                <c:pt idx="140">
                  <c:v>40.802828354596642</c:v>
                </c:pt>
                <c:pt idx="141">
                  <c:v>30.000006832286932</c:v>
                </c:pt>
                <c:pt idx="142">
                  <c:v>30.000006832286932</c:v>
                </c:pt>
                <c:pt idx="144">
                  <c:v>0</c:v>
                </c:pt>
                <c:pt idx="145">
                  <c:v>10.80282152230971</c:v>
                </c:pt>
                <c:pt idx="146">
                  <c:v>10.80282152230971</c:v>
                </c:pt>
                <c:pt idx="147">
                  <c:v>0</c:v>
                </c:pt>
                <c:pt idx="148">
                  <c:v>0</c:v>
                </c:pt>
                <c:pt idx="150">
                  <c:v>30.000006832286932</c:v>
                </c:pt>
                <c:pt idx="151">
                  <c:v>40.802828354596642</c:v>
                </c:pt>
                <c:pt idx="152">
                  <c:v>40.802828354596642</c:v>
                </c:pt>
                <c:pt idx="153">
                  <c:v>30.000006832286932</c:v>
                </c:pt>
                <c:pt idx="154">
                  <c:v>30.000006832286932</c:v>
                </c:pt>
                <c:pt idx="156">
                  <c:v>0</c:v>
                </c:pt>
                <c:pt idx="157">
                  <c:v>10.80282152230971</c:v>
                </c:pt>
                <c:pt idx="158">
                  <c:v>10.80282152230971</c:v>
                </c:pt>
                <c:pt idx="159">
                  <c:v>0</c:v>
                </c:pt>
                <c:pt idx="160">
                  <c:v>0</c:v>
                </c:pt>
                <c:pt idx="162">
                  <c:v>30.000006832286932</c:v>
                </c:pt>
                <c:pt idx="163">
                  <c:v>40.802828354596642</c:v>
                </c:pt>
                <c:pt idx="164">
                  <c:v>40.802828354596642</c:v>
                </c:pt>
                <c:pt idx="165">
                  <c:v>30.000006832286932</c:v>
                </c:pt>
                <c:pt idx="166">
                  <c:v>30.000006832286932</c:v>
                </c:pt>
                <c:pt idx="168">
                  <c:v>0</c:v>
                </c:pt>
                <c:pt idx="169">
                  <c:v>10.80282152230971</c:v>
                </c:pt>
                <c:pt idx="170">
                  <c:v>10.80282152230971</c:v>
                </c:pt>
                <c:pt idx="171">
                  <c:v>0</c:v>
                </c:pt>
                <c:pt idx="172">
                  <c:v>0</c:v>
                </c:pt>
                <c:pt idx="174">
                  <c:v>30.000006832286932</c:v>
                </c:pt>
                <c:pt idx="175">
                  <c:v>40.802828354596642</c:v>
                </c:pt>
                <c:pt idx="176">
                  <c:v>40.802828354596642</c:v>
                </c:pt>
                <c:pt idx="177">
                  <c:v>30.000006832286932</c:v>
                </c:pt>
                <c:pt idx="178">
                  <c:v>30.000006832286932</c:v>
                </c:pt>
                <c:pt idx="180">
                  <c:v>0</c:v>
                </c:pt>
                <c:pt idx="181">
                  <c:v>10.80282152230971</c:v>
                </c:pt>
                <c:pt idx="182">
                  <c:v>10.80282152230971</c:v>
                </c:pt>
                <c:pt idx="183">
                  <c:v>0</c:v>
                </c:pt>
                <c:pt idx="184">
                  <c:v>0</c:v>
                </c:pt>
                <c:pt idx="186">
                  <c:v>30.000006832286932</c:v>
                </c:pt>
                <c:pt idx="187">
                  <c:v>40.802828354596642</c:v>
                </c:pt>
                <c:pt idx="188">
                  <c:v>40.802828354596642</c:v>
                </c:pt>
                <c:pt idx="189">
                  <c:v>30.000006832286932</c:v>
                </c:pt>
                <c:pt idx="190">
                  <c:v>30.000006832286932</c:v>
                </c:pt>
                <c:pt idx="192">
                  <c:v>0</c:v>
                </c:pt>
                <c:pt idx="193">
                  <c:v>10.80282152230971</c:v>
                </c:pt>
                <c:pt idx="194">
                  <c:v>10.80282152230971</c:v>
                </c:pt>
                <c:pt idx="195">
                  <c:v>0</c:v>
                </c:pt>
                <c:pt idx="196">
                  <c:v>0</c:v>
                </c:pt>
                <c:pt idx="198">
                  <c:v>30.000006832286932</c:v>
                </c:pt>
                <c:pt idx="199">
                  <c:v>40.802828354596642</c:v>
                </c:pt>
                <c:pt idx="200">
                  <c:v>40.802828354596642</c:v>
                </c:pt>
                <c:pt idx="201">
                  <c:v>30.000006832286932</c:v>
                </c:pt>
                <c:pt idx="202">
                  <c:v>30.000006832286932</c:v>
                </c:pt>
                <c:pt idx="204">
                  <c:v>0</c:v>
                </c:pt>
                <c:pt idx="205">
                  <c:v>10.80282152230971</c:v>
                </c:pt>
                <c:pt idx="206">
                  <c:v>10.80282152230971</c:v>
                </c:pt>
                <c:pt idx="207">
                  <c:v>0</c:v>
                </c:pt>
                <c:pt idx="208">
                  <c:v>0</c:v>
                </c:pt>
                <c:pt idx="210">
                  <c:v>30.000006832286932</c:v>
                </c:pt>
                <c:pt idx="211">
                  <c:v>40.802828354596642</c:v>
                </c:pt>
                <c:pt idx="212">
                  <c:v>40.802828354596642</c:v>
                </c:pt>
                <c:pt idx="213">
                  <c:v>30.000006832286932</c:v>
                </c:pt>
                <c:pt idx="214">
                  <c:v>30.000006832286932</c:v>
                </c:pt>
                <c:pt idx="216">
                  <c:v>0</c:v>
                </c:pt>
                <c:pt idx="217">
                  <c:v>10.80282152230971</c:v>
                </c:pt>
                <c:pt idx="218">
                  <c:v>10.80282152230971</c:v>
                </c:pt>
                <c:pt idx="219">
                  <c:v>0</c:v>
                </c:pt>
                <c:pt idx="220">
                  <c:v>0</c:v>
                </c:pt>
                <c:pt idx="222">
                  <c:v>30.000006832286932</c:v>
                </c:pt>
                <c:pt idx="223">
                  <c:v>40.802828354596642</c:v>
                </c:pt>
                <c:pt idx="224">
                  <c:v>40.802828354596642</c:v>
                </c:pt>
                <c:pt idx="225">
                  <c:v>30.000006832286932</c:v>
                </c:pt>
                <c:pt idx="226">
                  <c:v>30.000006832286932</c:v>
                </c:pt>
                <c:pt idx="228">
                  <c:v>0</c:v>
                </c:pt>
                <c:pt idx="229">
                  <c:v>10.80282152230971</c:v>
                </c:pt>
                <c:pt idx="230">
                  <c:v>10.80282152230971</c:v>
                </c:pt>
                <c:pt idx="231">
                  <c:v>0</c:v>
                </c:pt>
                <c:pt idx="232">
                  <c:v>0</c:v>
                </c:pt>
                <c:pt idx="234">
                  <c:v>30.000006832286932</c:v>
                </c:pt>
                <c:pt idx="235">
                  <c:v>40.802828354596642</c:v>
                </c:pt>
                <c:pt idx="236">
                  <c:v>40.802828354596642</c:v>
                </c:pt>
                <c:pt idx="237">
                  <c:v>30.000006832286932</c:v>
                </c:pt>
                <c:pt idx="238">
                  <c:v>30.000006832286932</c:v>
                </c:pt>
                <c:pt idx="240">
                  <c:v>0</c:v>
                </c:pt>
                <c:pt idx="241">
                  <c:v>10.80282152230971</c:v>
                </c:pt>
                <c:pt idx="242">
                  <c:v>10.80282152230971</c:v>
                </c:pt>
                <c:pt idx="243">
                  <c:v>0</c:v>
                </c:pt>
                <c:pt idx="244">
                  <c:v>0</c:v>
                </c:pt>
                <c:pt idx="246">
                  <c:v>30.000006832286932</c:v>
                </c:pt>
                <c:pt idx="247">
                  <c:v>40.802828354596642</c:v>
                </c:pt>
                <c:pt idx="248">
                  <c:v>40.802828354596642</c:v>
                </c:pt>
                <c:pt idx="249">
                  <c:v>30.000006832286932</c:v>
                </c:pt>
                <c:pt idx="250">
                  <c:v>30.000006832286932</c:v>
                </c:pt>
                <c:pt idx="252">
                  <c:v>0</c:v>
                </c:pt>
                <c:pt idx="253">
                  <c:v>10.80282152230971</c:v>
                </c:pt>
                <c:pt idx="254">
                  <c:v>10.80282152230971</c:v>
                </c:pt>
                <c:pt idx="255">
                  <c:v>0</c:v>
                </c:pt>
                <c:pt idx="256">
                  <c:v>0</c:v>
                </c:pt>
                <c:pt idx="258">
                  <c:v>30.000006832286932</c:v>
                </c:pt>
                <c:pt idx="259">
                  <c:v>40.802828354596642</c:v>
                </c:pt>
                <c:pt idx="260">
                  <c:v>40.802828354596642</c:v>
                </c:pt>
                <c:pt idx="261">
                  <c:v>30.000006832286932</c:v>
                </c:pt>
                <c:pt idx="262">
                  <c:v>30.000006832286932</c:v>
                </c:pt>
                <c:pt idx="264">
                  <c:v>0</c:v>
                </c:pt>
                <c:pt idx="265">
                  <c:v>10.80282152230971</c:v>
                </c:pt>
                <c:pt idx="266">
                  <c:v>10.80282152230971</c:v>
                </c:pt>
                <c:pt idx="267">
                  <c:v>0</c:v>
                </c:pt>
                <c:pt idx="268">
                  <c:v>0</c:v>
                </c:pt>
                <c:pt idx="270">
                  <c:v>30.000006832286932</c:v>
                </c:pt>
                <c:pt idx="271">
                  <c:v>40.802828354596642</c:v>
                </c:pt>
                <c:pt idx="272">
                  <c:v>40.802828354596642</c:v>
                </c:pt>
                <c:pt idx="273">
                  <c:v>30.000006832286932</c:v>
                </c:pt>
                <c:pt idx="274">
                  <c:v>30.000006832286932</c:v>
                </c:pt>
                <c:pt idx="276">
                  <c:v>0</c:v>
                </c:pt>
                <c:pt idx="277">
                  <c:v>10.80282152230971</c:v>
                </c:pt>
                <c:pt idx="278">
                  <c:v>10.80282152230971</c:v>
                </c:pt>
                <c:pt idx="279">
                  <c:v>0</c:v>
                </c:pt>
                <c:pt idx="280">
                  <c:v>0</c:v>
                </c:pt>
                <c:pt idx="282">
                  <c:v>30.000006832286932</c:v>
                </c:pt>
                <c:pt idx="283">
                  <c:v>40.802828354596642</c:v>
                </c:pt>
                <c:pt idx="284">
                  <c:v>40.802828354596642</c:v>
                </c:pt>
                <c:pt idx="285">
                  <c:v>30.000006832286932</c:v>
                </c:pt>
                <c:pt idx="286">
                  <c:v>30.000006832286932</c:v>
                </c:pt>
                <c:pt idx="288">
                  <c:v>0</c:v>
                </c:pt>
                <c:pt idx="289">
                  <c:v>10.80282152230971</c:v>
                </c:pt>
                <c:pt idx="290">
                  <c:v>10.80282152230971</c:v>
                </c:pt>
                <c:pt idx="291">
                  <c:v>0</c:v>
                </c:pt>
                <c:pt idx="292">
                  <c:v>0</c:v>
                </c:pt>
                <c:pt idx="294">
                  <c:v>30.000006832286932</c:v>
                </c:pt>
                <c:pt idx="295">
                  <c:v>40.802828354596642</c:v>
                </c:pt>
                <c:pt idx="296">
                  <c:v>40.802828354596642</c:v>
                </c:pt>
                <c:pt idx="297">
                  <c:v>30.000006832286932</c:v>
                </c:pt>
                <c:pt idx="298">
                  <c:v>30.000006832286932</c:v>
                </c:pt>
                <c:pt idx="300">
                  <c:v>0</c:v>
                </c:pt>
                <c:pt idx="301">
                  <c:v>10.80282152230971</c:v>
                </c:pt>
                <c:pt idx="302">
                  <c:v>10.80282152230971</c:v>
                </c:pt>
                <c:pt idx="303">
                  <c:v>0</c:v>
                </c:pt>
                <c:pt idx="304">
                  <c:v>0</c:v>
                </c:pt>
                <c:pt idx="306">
                  <c:v>30.000006832286932</c:v>
                </c:pt>
                <c:pt idx="307">
                  <c:v>40.802828354596642</c:v>
                </c:pt>
                <c:pt idx="308">
                  <c:v>40.802828354596642</c:v>
                </c:pt>
                <c:pt idx="309">
                  <c:v>30.000006832286932</c:v>
                </c:pt>
                <c:pt idx="310">
                  <c:v>30.000006832286932</c:v>
                </c:pt>
                <c:pt idx="312">
                  <c:v>0</c:v>
                </c:pt>
                <c:pt idx="313">
                  <c:v>10.80282152230971</c:v>
                </c:pt>
                <c:pt idx="314">
                  <c:v>10.80282152230971</c:v>
                </c:pt>
                <c:pt idx="315">
                  <c:v>0</c:v>
                </c:pt>
                <c:pt idx="316">
                  <c:v>0</c:v>
                </c:pt>
                <c:pt idx="318">
                  <c:v>30.000006832286932</c:v>
                </c:pt>
                <c:pt idx="319">
                  <c:v>40.802828354596642</c:v>
                </c:pt>
                <c:pt idx="320">
                  <c:v>40.802828354596642</c:v>
                </c:pt>
                <c:pt idx="321">
                  <c:v>30.000006832286932</c:v>
                </c:pt>
                <c:pt idx="322">
                  <c:v>30.000006832286932</c:v>
                </c:pt>
                <c:pt idx="324">
                  <c:v>0</c:v>
                </c:pt>
                <c:pt idx="325">
                  <c:v>10.80282152230971</c:v>
                </c:pt>
                <c:pt idx="326">
                  <c:v>10.80282152230971</c:v>
                </c:pt>
                <c:pt idx="327">
                  <c:v>0</c:v>
                </c:pt>
                <c:pt idx="328">
                  <c:v>0</c:v>
                </c:pt>
                <c:pt idx="330">
                  <c:v>30.000006832286932</c:v>
                </c:pt>
                <c:pt idx="331">
                  <c:v>40.802828354596642</c:v>
                </c:pt>
                <c:pt idx="332">
                  <c:v>40.802828354596642</c:v>
                </c:pt>
                <c:pt idx="333">
                  <c:v>30.000006832286932</c:v>
                </c:pt>
                <c:pt idx="334">
                  <c:v>30.000006832286932</c:v>
                </c:pt>
                <c:pt idx="336">
                  <c:v>0</c:v>
                </c:pt>
                <c:pt idx="337">
                  <c:v>10.80282152230971</c:v>
                </c:pt>
                <c:pt idx="338">
                  <c:v>10.80282152230971</c:v>
                </c:pt>
                <c:pt idx="339">
                  <c:v>0</c:v>
                </c:pt>
                <c:pt idx="340">
                  <c:v>0</c:v>
                </c:pt>
                <c:pt idx="342">
                  <c:v>30.000006832286932</c:v>
                </c:pt>
                <c:pt idx="343">
                  <c:v>40.802828354596642</c:v>
                </c:pt>
                <c:pt idx="344">
                  <c:v>40.802828354596642</c:v>
                </c:pt>
                <c:pt idx="345">
                  <c:v>30.000006832286932</c:v>
                </c:pt>
                <c:pt idx="346">
                  <c:v>30.000006832286932</c:v>
                </c:pt>
                <c:pt idx="348">
                  <c:v>0</c:v>
                </c:pt>
                <c:pt idx="349">
                  <c:v>10.80282152230971</c:v>
                </c:pt>
                <c:pt idx="350">
                  <c:v>10.80282152230971</c:v>
                </c:pt>
                <c:pt idx="351">
                  <c:v>0</c:v>
                </c:pt>
                <c:pt idx="352">
                  <c:v>0</c:v>
                </c:pt>
                <c:pt idx="354">
                  <c:v>30.000006832286932</c:v>
                </c:pt>
                <c:pt idx="355">
                  <c:v>40.802828354596642</c:v>
                </c:pt>
                <c:pt idx="356">
                  <c:v>40.802828354596642</c:v>
                </c:pt>
                <c:pt idx="357">
                  <c:v>30.000006832286932</c:v>
                </c:pt>
                <c:pt idx="358">
                  <c:v>30.000006832286932</c:v>
                </c:pt>
                <c:pt idx="360">
                  <c:v>0</c:v>
                </c:pt>
                <c:pt idx="361">
                  <c:v>10.80282152230971</c:v>
                </c:pt>
                <c:pt idx="362">
                  <c:v>10.80282152230971</c:v>
                </c:pt>
                <c:pt idx="363">
                  <c:v>0</c:v>
                </c:pt>
                <c:pt idx="364">
                  <c:v>0</c:v>
                </c:pt>
                <c:pt idx="366">
                  <c:v>30.000006832286932</c:v>
                </c:pt>
                <c:pt idx="367">
                  <c:v>40.802828354596642</c:v>
                </c:pt>
                <c:pt idx="368">
                  <c:v>40.802828354596642</c:v>
                </c:pt>
                <c:pt idx="369">
                  <c:v>30.000006832286932</c:v>
                </c:pt>
                <c:pt idx="370">
                  <c:v>30.000006832286932</c:v>
                </c:pt>
                <c:pt idx="372">
                  <c:v>0</c:v>
                </c:pt>
                <c:pt idx="373">
                  <c:v>10.80282152230971</c:v>
                </c:pt>
                <c:pt idx="374">
                  <c:v>10.80282152230971</c:v>
                </c:pt>
                <c:pt idx="375">
                  <c:v>0</c:v>
                </c:pt>
                <c:pt idx="376">
                  <c:v>0</c:v>
                </c:pt>
                <c:pt idx="378">
                  <c:v>30.000006832286932</c:v>
                </c:pt>
                <c:pt idx="379">
                  <c:v>40.802828354596642</c:v>
                </c:pt>
                <c:pt idx="380">
                  <c:v>40.802828354596642</c:v>
                </c:pt>
                <c:pt idx="381">
                  <c:v>30.000006832286932</c:v>
                </c:pt>
                <c:pt idx="382">
                  <c:v>30.000006832286932</c:v>
                </c:pt>
                <c:pt idx="384">
                  <c:v>0</c:v>
                </c:pt>
                <c:pt idx="385">
                  <c:v>10.80282152230971</c:v>
                </c:pt>
                <c:pt idx="386">
                  <c:v>10.80282152230971</c:v>
                </c:pt>
                <c:pt idx="387">
                  <c:v>0</c:v>
                </c:pt>
                <c:pt idx="388">
                  <c:v>0</c:v>
                </c:pt>
                <c:pt idx="390">
                  <c:v>30.000006832286932</c:v>
                </c:pt>
                <c:pt idx="391">
                  <c:v>40.802828354596642</c:v>
                </c:pt>
                <c:pt idx="392">
                  <c:v>40.802828354596642</c:v>
                </c:pt>
                <c:pt idx="393">
                  <c:v>30.000006832286932</c:v>
                </c:pt>
                <c:pt idx="394">
                  <c:v>30.000006832286932</c:v>
                </c:pt>
                <c:pt idx="396">
                  <c:v>0</c:v>
                </c:pt>
                <c:pt idx="397">
                  <c:v>10.80282152230971</c:v>
                </c:pt>
                <c:pt idx="398">
                  <c:v>10.80282152230971</c:v>
                </c:pt>
                <c:pt idx="399">
                  <c:v>0</c:v>
                </c:pt>
                <c:pt idx="400">
                  <c:v>0</c:v>
                </c:pt>
                <c:pt idx="402">
                  <c:v>30.000006832286932</c:v>
                </c:pt>
                <c:pt idx="403">
                  <c:v>40.802828354596642</c:v>
                </c:pt>
                <c:pt idx="404">
                  <c:v>40.802828354596642</c:v>
                </c:pt>
                <c:pt idx="405">
                  <c:v>30.000006832286932</c:v>
                </c:pt>
                <c:pt idx="406">
                  <c:v>30.000006832286932</c:v>
                </c:pt>
                <c:pt idx="408">
                  <c:v>0</c:v>
                </c:pt>
                <c:pt idx="409">
                  <c:v>10.80282152230971</c:v>
                </c:pt>
                <c:pt idx="410">
                  <c:v>10.80282152230971</c:v>
                </c:pt>
                <c:pt idx="411">
                  <c:v>0</c:v>
                </c:pt>
                <c:pt idx="412">
                  <c:v>0</c:v>
                </c:pt>
                <c:pt idx="414">
                  <c:v>30.000006832286932</c:v>
                </c:pt>
                <c:pt idx="415">
                  <c:v>40.802828354596642</c:v>
                </c:pt>
                <c:pt idx="416">
                  <c:v>40.802828354596642</c:v>
                </c:pt>
                <c:pt idx="417">
                  <c:v>30.000006832286932</c:v>
                </c:pt>
                <c:pt idx="418">
                  <c:v>30.000006832286932</c:v>
                </c:pt>
                <c:pt idx="420">
                  <c:v>0</c:v>
                </c:pt>
                <c:pt idx="421">
                  <c:v>10.80282152230971</c:v>
                </c:pt>
                <c:pt idx="422">
                  <c:v>10.80282152230971</c:v>
                </c:pt>
                <c:pt idx="423">
                  <c:v>0</c:v>
                </c:pt>
                <c:pt idx="424">
                  <c:v>0</c:v>
                </c:pt>
                <c:pt idx="426">
                  <c:v>30.000006832286932</c:v>
                </c:pt>
                <c:pt idx="427">
                  <c:v>40.802828354596642</c:v>
                </c:pt>
                <c:pt idx="428">
                  <c:v>40.802828354596642</c:v>
                </c:pt>
                <c:pt idx="429">
                  <c:v>30.000006832286932</c:v>
                </c:pt>
                <c:pt idx="430">
                  <c:v>30.000006832286932</c:v>
                </c:pt>
                <c:pt idx="432">
                  <c:v>0</c:v>
                </c:pt>
                <c:pt idx="433">
                  <c:v>10.80282152230971</c:v>
                </c:pt>
                <c:pt idx="434">
                  <c:v>10.80282152230971</c:v>
                </c:pt>
                <c:pt idx="435">
                  <c:v>0</c:v>
                </c:pt>
                <c:pt idx="436">
                  <c:v>0</c:v>
                </c:pt>
                <c:pt idx="438">
                  <c:v>30.000006832286932</c:v>
                </c:pt>
                <c:pt idx="439">
                  <c:v>40.802828354596642</c:v>
                </c:pt>
                <c:pt idx="440">
                  <c:v>40.802828354596642</c:v>
                </c:pt>
                <c:pt idx="441">
                  <c:v>30.000006832286932</c:v>
                </c:pt>
                <c:pt idx="442">
                  <c:v>30.000006832286932</c:v>
                </c:pt>
                <c:pt idx="444">
                  <c:v>0</c:v>
                </c:pt>
                <c:pt idx="445">
                  <c:v>10.80282152230971</c:v>
                </c:pt>
                <c:pt idx="446">
                  <c:v>10.80282152230971</c:v>
                </c:pt>
                <c:pt idx="447">
                  <c:v>0</c:v>
                </c:pt>
                <c:pt idx="448">
                  <c:v>0</c:v>
                </c:pt>
                <c:pt idx="450">
                  <c:v>30.000006832286932</c:v>
                </c:pt>
                <c:pt idx="451">
                  <c:v>40.802828354596642</c:v>
                </c:pt>
                <c:pt idx="452">
                  <c:v>40.802828354596642</c:v>
                </c:pt>
                <c:pt idx="453">
                  <c:v>30.000006832286932</c:v>
                </c:pt>
                <c:pt idx="454">
                  <c:v>30.000006832286932</c:v>
                </c:pt>
                <c:pt idx="456">
                  <c:v>0</c:v>
                </c:pt>
                <c:pt idx="457">
                  <c:v>10.80282152230971</c:v>
                </c:pt>
                <c:pt idx="458">
                  <c:v>10.80282152230971</c:v>
                </c:pt>
                <c:pt idx="459">
                  <c:v>0</c:v>
                </c:pt>
                <c:pt idx="460">
                  <c:v>0</c:v>
                </c:pt>
                <c:pt idx="462">
                  <c:v>30.000006832286932</c:v>
                </c:pt>
                <c:pt idx="463">
                  <c:v>40.802828354596642</c:v>
                </c:pt>
                <c:pt idx="464">
                  <c:v>40.802828354596642</c:v>
                </c:pt>
                <c:pt idx="465">
                  <c:v>30.000006832286932</c:v>
                </c:pt>
                <c:pt idx="466">
                  <c:v>30.000006832286932</c:v>
                </c:pt>
                <c:pt idx="468">
                  <c:v>0</c:v>
                </c:pt>
                <c:pt idx="469">
                  <c:v>10.80282152230971</c:v>
                </c:pt>
                <c:pt idx="470">
                  <c:v>10.80282152230971</c:v>
                </c:pt>
                <c:pt idx="471">
                  <c:v>0</c:v>
                </c:pt>
                <c:pt idx="472">
                  <c:v>0</c:v>
                </c:pt>
                <c:pt idx="474">
                  <c:v>30.000006832286932</c:v>
                </c:pt>
                <c:pt idx="475">
                  <c:v>40.802828354596642</c:v>
                </c:pt>
                <c:pt idx="476">
                  <c:v>40.802828354596642</c:v>
                </c:pt>
                <c:pt idx="477">
                  <c:v>30.000006832286932</c:v>
                </c:pt>
                <c:pt idx="478">
                  <c:v>30.000006832286932</c:v>
                </c:pt>
                <c:pt idx="480">
                  <c:v>0</c:v>
                </c:pt>
                <c:pt idx="481">
                  <c:v>10.80282152230971</c:v>
                </c:pt>
                <c:pt idx="482">
                  <c:v>10.80282152230971</c:v>
                </c:pt>
                <c:pt idx="483">
                  <c:v>0</c:v>
                </c:pt>
                <c:pt idx="484">
                  <c:v>0</c:v>
                </c:pt>
                <c:pt idx="486">
                  <c:v>30.000006832286932</c:v>
                </c:pt>
                <c:pt idx="487">
                  <c:v>40.802828354596642</c:v>
                </c:pt>
                <c:pt idx="488">
                  <c:v>40.802828354596642</c:v>
                </c:pt>
                <c:pt idx="489">
                  <c:v>30.000006832286932</c:v>
                </c:pt>
                <c:pt idx="490">
                  <c:v>30.000006832286932</c:v>
                </c:pt>
                <c:pt idx="492">
                  <c:v>0</c:v>
                </c:pt>
                <c:pt idx="493">
                  <c:v>10.80282152230971</c:v>
                </c:pt>
                <c:pt idx="494">
                  <c:v>10.80282152230971</c:v>
                </c:pt>
                <c:pt idx="495">
                  <c:v>0</c:v>
                </c:pt>
                <c:pt idx="496">
                  <c:v>0</c:v>
                </c:pt>
                <c:pt idx="498">
                  <c:v>30.000006832286932</c:v>
                </c:pt>
                <c:pt idx="499">
                  <c:v>40.802828354596642</c:v>
                </c:pt>
                <c:pt idx="500">
                  <c:v>40.802828354596642</c:v>
                </c:pt>
                <c:pt idx="501">
                  <c:v>30.000006832286932</c:v>
                </c:pt>
                <c:pt idx="502">
                  <c:v>30.000006832286932</c:v>
                </c:pt>
                <c:pt idx="504">
                  <c:v>0</c:v>
                </c:pt>
                <c:pt idx="505">
                  <c:v>10.80282152230971</c:v>
                </c:pt>
                <c:pt idx="506">
                  <c:v>10.80282152230971</c:v>
                </c:pt>
                <c:pt idx="507">
                  <c:v>0</c:v>
                </c:pt>
                <c:pt idx="508">
                  <c:v>0</c:v>
                </c:pt>
                <c:pt idx="510">
                  <c:v>30.000006832286932</c:v>
                </c:pt>
                <c:pt idx="511">
                  <c:v>40.802828354596642</c:v>
                </c:pt>
                <c:pt idx="512">
                  <c:v>40.802828354596642</c:v>
                </c:pt>
                <c:pt idx="513">
                  <c:v>30.000006832286932</c:v>
                </c:pt>
                <c:pt idx="514">
                  <c:v>30.000006832286932</c:v>
                </c:pt>
                <c:pt idx="516">
                  <c:v>0</c:v>
                </c:pt>
                <c:pt idx="517">
                  <c:v>10.80282152230971</c:v>
                </c:pt>
                <c:pt idx="518">
                  <c:v>10.80282152230971</c:v>
                </c:pt>
                <c:pt idx="519">
                  <c:v>0</c:v>
                </c:pt>
                <c:pt idx="520">
                  <c:v>0</c:v>
                </c:pt>
                <c:pt idx="522">
                  <c:v>30.000006832286932</c:v>
                </c:pt>
                <c:pt idx="523">
                  <c:v>40.802828354596642</c:v>
                </c:pt>
                <c:pt idx="524">
                  <c:v>40.802828354596642</c:v>
                </c:pt>
                <c:pt idx="525">
                  <c:v>30.000006832286932</c:v>
                </c:pt>
                <c:pt idx="526">
                  <c:v>30.000006832286932</c:v>
                </c:pt>
                <c:pt idx="528">
                  <c:v>0</c:v>
                </c:pt>
                <c:pt idx="529">
                  <c:v>10.80282152230971</c:v>
                </c:pt>
                <c:pt idx="530">
                  <c:v>10.80282152230971</c:v>
                </c:pt>
                <c:pt idx="531">
                  <c:v>0</c:v>
                </c:pt>
                <c:pt idx="532">
                  <c:v>0</c:v>
                </c:pt>
                <c:pt idx="534">
                  <c:v>30.000006832286932</c:v>
                </c:pt>
                <c:pt idx="535">
                  <c:v>40.802828354596642</c:v>
                </c:pt>
                <c:pt idx="536">
                  <c:v>40.802828354596642</c:v>
                </c:pt>
                <c:pt idx="537">
                  <c:v>30.000006832286932</c:v>
                </c:pt>
                <c:pt idx="538">
                  <c:v>30.000006832286932</c:v>
                </c:pt>
                <c:pt idx="540">
                  <c:v>0</c:v>
                </c:pt>
                <c:pt idx="541">
                  <c:v>10.80282152230971</c:v>
                </c:pt>
                <c:pt idx="542">
                  <c:v>10.80282152230971</c:v>
                </c:pt>
                <c:pt idx="543">
                  <c:v>0</c:v>
                </c:pt>
                <c:pt idx="544">
                  <c:v>0</c:v>
                </c:pt>
                <c:pt idx="546">
                  <c:v>30.000006832286932</c:v>
                </c:pt>
                <c:pt idx="547">
                  <c:v>40.802828354596642</c:v>
                </c:pt>
                <c:pt idx="548">
                  <c:v>40.802828354596642</c:v>
                </c:pt>
                <c:pt idx="549">
                  <c:v>30.000006832286932</c:v>
                </c:pt>
                <c:pt idx="550">
                  <c:v>30.000006832286932</c:v>
                </c:pt>
                <c:pt idx="552">
                  <c:v>0</c:v>
                </c:pt>
                <c:pt idx="553">
                  <c:v>10.80282152230971</c:v>
                </c:pt>
                <c:pt idx="554">
                  <c:v>10.80282152230971</c:v>
                </c:pt>
                <c:pt idx="555">
                  <c:v>0</c:v>
                </c:pt>
                <c:pt idx="556">
                  <c:v>0</c:v>
                </c:pt>
                <c:pt idx="558">
                  <c:v>30.000006832286932</c:v>
                </c:pt>
                <c:pt idx="559">
                  <c:v>40.802828354596642</c:v>
                </c:pt>
                <c:pt idx="560">
                  <c:v>40.802828354596642</c:v>
                </c:pt>
                <c:pt idx="561">
                  <c:v>30.000006832286932</c:v>
                </c:pt>
                <c:pt idx="562">
                  <c:v>30.000006832286932</c:v>
                </c:pt>
                <c:pt idx="564">
                  <c:v>0</c:v>
                </c:pt>
                <c:pt idx="565">
                  <c:v>10.80282152230971</c:v>
                </c:pt>
                <c:pt idx="566">
                  <c:v>10.80282152230971</c:v>
                </c:pt>
                <c:pt idx="567">
                  <c:v>0</c:v>
                </c:pt>
                <c:pt idx="568">
                  <c:v>0</c:v>
                </c:pt>
                <c:pt idx="570">
                  <c:v>30.000006832286932</c:v>
                </c:pt>
                <c:pt idx="571">
                  <c:v>40.802828354596642</c:v>
                </c:pt>
                <c:pt idx="572">
                  <c:v>40.802828354596642</c:v>
                </c:pt>
                <c:pt idx="573">
                  <c:v>30.000006832286932</c:v>
                </c:pt>
                <c:pt idx="574">
                  <c:v>30.000006832286932</c:v>
                </c:pt>
                <c:pt idx="576">
                  <c:v>0</c:v>
                </c:pt>
                <c:pt idx="577">
                  <c:v>10.80282152230971</c:v>
                </c:pt>
                <c:pt idx="578">
                  <c:v>10.80282152230971</c:v>
                </c:pt>
                <c:pt idx="579">
                  <c:v>0</c:v>
                </c:pt>
                <c:pt idx="580">
                  <c:v>0</c:v>
                </c:pt>
                <c:pt idx="582">
                  <c:v>30.000006832286932</c:v>
                </c:pt>
                <c:pt idx="583">
                  <c:v>40.802828354596642</c:v>
                </c:pt>
                <c:pt idx="584">
                  <c:v>40.802828354596642</c:v>
                </c:pt>
                <c:pt idx="585">
                  <c:v>30.000006832286932</c:v>
                </c:pt>
                <c:pt idx="586">
                  <c:v>30.000006832286932</c:v>
                </c:pt>
                <c:pt idx="588">
                  <c:v>0</c:v>
                </c:pt>
                <c:pt idx="589">
                  <c:v>10.80282152230971</c:v>
                </c:pt>
                <c:pt idx="590">
                  <c:v>10.80282152230971</c:v>
                </c:pt>
                <c:pt idx="591">
                  <c:v>0</c:v>
                </c:pt>
                <c:pt idx="592">
                  <c:v>0</c:v>
                </c:pt>
                <c:pt idx="594">
                  <c:v>30.000006832286932</c:v>
                </c:pt>
                <c:pt idx="595">
                  <c:v>40.802828354596642</c:v>
                </c:pt>
                <c:pt idx="596">
                  <c:v>40.802828354596642</c:v>
                </c:pt>
                <c:pt idx="597">
                  <c:v>30.000006832286932</c:v>
                </c:pt>
                <c:pt idx="598">
                  <c:v>30.000006832286932</c:v>
                </c:pt>
                <c:pt idx="600">
                  <c:v>0</c:v>
                </c:pt>
                <c:pt idx="601">
                  <c:v>10.80282152230971</c:v>
                </c:pt>
                <c:pt idx="602">
                  <c:v>10.80282152230971</c:v>
                </c:pt>
                <c:pt idx="603">
                  <c:v>0</c:v>
                </c:pt>
                <c:pt idx="604">
                  <c:v>0</c:v>
                </c:pt>
                <c:pt idx="606">
                  <c:v>30.000006832286932</c:v>
                </c:pt>
                <c:pt idx="607">
                  <c:v>40.802828354596642</c:v>
                </c:pt>
                <c:pt idx="608">
                  <c:v>40.802828354596642</c:v>
                </c:pt>
                <c:pt idx="609">
                  <c:v>30.000006832286932</c:v>
                </c:pt>
                <c:pt idx="610">
                  <c:v>30.000006832286932</c:v>
                </c:pt>
                <c:pt idx="612">
                  <c:v>0</c:v>
                </c:pt>
                <c:pt idx="613">
                  <c:v>10.80282152230971</c:v>
                </c:pt>
                <c:pt idx="614">
                  <c:v>10.80282152230971</c:v>
                </c:pt>
                <c:pt idx="615">
                  <c:v>0</c:v>
                </c:pt>
                <c:pt idx="616">
                  <c:v>0</c:v>
                </c:pt>
                <c:pt idx="618">
                  <c:v>30.000006832286932</c:v>
                </c:pt>
                <c:pt idx="619">
                  <c:v>40.802828354596642</c:v>
                </c:pt>
                <c:pt idx="620">
                  <c:v>40.802828354596642</c:v>
                </c:pt>
                <c:pt idx="621">
                  <c:v>30.000006832286932</c:v>
                </c:pt>
                <c:pt idx="622">
                  <c:v>30.000006832286932</c:v>
                </c:pt>
                <c:pt idx="624">
                  <c:v>0</c:v>
                </c:pt>
                <c:pt idx="625">
                  <c:v>10.80282152230971</c:v>
                </c:pt>
                <c:pt idx="626">
                  <c:v>10.80282152230971</c:v>
                </c:pt>
                <c:pt idx="627">
                  <c:v>0</c:v>
                </c:pt>
                <c:pt idx="628">
                  <c:v>0</c:v>
                </c:pt>
                <c:pt idx="630">
                  <c:v>30.000006832286932</c:v>
                </c:pt>
                <c:pt idx="631">
                  <c:v>40.802828354596642</c:v>
                </c:pt>
                <c:pt idx="632">
                  <c:v>40.802828354596642</c:v>
                </c:pt>
                <c:pt idx="633">
                  <c:v>30.000006832286932</c:v>
                </c:pt>
                <c:pt idx="634">
                  <c:v>30.000006832286932</c:v>
                </c:pt>
                <c:pt idx="636">
                  <c:v>0</c:v>
                </c:pt>
                <c:pt idx="637">
                  <c:v>10.80282152230971</c:v>
                </c:pt>
                <c:pt idx="638">
                  <c:v>10.80282152230971</c:v>
                </c:pt>
                <c:pt idx="639">
                  <c:v>0</c:v>
                </c:pt>
                <c:pt idx="640">
                  <c:v>0</c:v>
                </c:pt>
                <c:pt idx="642">
                  <c:v>30.000006832286932</c:v>
                </c:pt>
                <c:pt idx="643">
                  <c:v>40.802828354596642</c:v>
                </c:pt>
                <c:pt idx="644">
                  <c:v>40.802828354596642</c:v>
                </c:pt>
                <c:pt idx="645">
                  <c:v>30.000006832286932</c:v>
                </c:pt>
                <c:pt idx="646">
                  <c:v>30.000006832286932</c:v>
                </c:pt>
                <c:pt idx="648">
                  <c:v>0</c:v>
                </c:pt>
                <c:pt idx="649">
                  <c:v>10.80282152230971</c:v>
                </c:pt>
                <c:pt idx="650">
                  <c:v>10.80282152230971</c:v>
                </c:pt>
                <c:pt idx="651">
                  <c:v>0</c:v>
                </c:pt>
                <c:pt idx="652">
                  <c:v>0</c:v>
                </c:pt>
                <c:pt idx="654">
                  <c:v>30.000006832286932</c:v>
                </c:pt>
                <c:pt idx="655">
                  <c:v>40.802828354596642</c:v>
                </c:pt>
                <c:pt idx="656">
                  <c:v>40.802828354596642</c:v>
                </c:pt>
                <c:pt idx="657">
                  <c:v>30.000006832286932</c:v>
                </c:pt>
                <c:pt idx="658">
                  <c:v>30.000006832286932</c:v>
                </c:pt>
                <c:pt idx="660">
                  <c:v>0</c:v>
                </c:pt>
                <c:pt idx="661">
                  <c:v>10.80282152230971</c:v>
                </c:pt>
                <c:pt idx="662">
                  <c:v>10.80282152230971</c:v>
                </c:pt>
                <c:pt idx="663">
                  <c:v>0</c:v>
                </c:pt>
                <c:pt idx="664">
                  <c:v>0</c:v>
                </c:pt>
                <c:pt idx="666">
                  <c:v>30.000006832286932</c:v>
                </c:pt>
                <c:pt idx="667">
                  <c:v>40.802828354596642</c:v>
                </c:pt>
                <c:pt idx="668">
                  <c:v>40.802828354596642</c:v>
                </c:pt>
                <c:pt idx="669">
                  <c:v>30.000006832286932</c:v>
                </c:pt>
                <c:pt idx="670">
                  <c:v>30.000006832286932</c:v>
                </c:pt>
                <c:pt idx="672">
                  <c:v>0</c:v>
                </c:pt>
                <c:pt idx="673">
                  <c:v>10.80282152230971</c:v>
                </c:pt>
                <c:pt idx="674">
                  <c:v>10.80282152230971</c:v>
                </c:pt>
                <c:pt idx="675">
                  <c:v>0</c:v>
                </c:pt>
                <c:pt idx="676">
                  <c:v>0</c:v>
                </c:pt>
                <c:pt idx="678">
                  <c:v>30.000006832286932</c:v>
                </c:pt>
                <c:pt idx="679">
                  <c:v>40.802828354596642</c:v>
                </c:pt>
                <c:pt idx="680">
                  <c:v>40.802828354596642</c:v>
                </c:pt>
                <c:pt idx="681">
                  <c:v>30.000006832286932</c:v>
                </c:pt>
                <c:pt idx="682">
                  <c:v>30.000006832286932</c:v>
                </c:pt>
                <c:pt idx="684">
                  <c:v>0</c:v>
                </c:pt>
                <c:pt idx="685">
                  <c:v>10.80282152230971</c:v>
                </c:pt>
                <c:pt idx="686">
                  <c:v>10.80282152230971</c:v>
                </c:pt>
                <c:pt idx="687">
                  <c:v>0</c:v>
                </c:pt>
                <c:pt idx="688">
                  <c:v>0</c:v>
                </c:pt>
                <c:pt idx="690">
                  <c:v>30.000006832286932</c:v>
                </c:pt>
                <c:pt idx="691">
                  <c:v>40.802828354596642</c:v>
                </c:pt>
                <c:pt idx="692">
                  <c:v>40.802828354596642</c:v>
                </c:pt>
                <c:pt idx="693">
                  <c:v>30.000006832286932</c:v>
                </c:pt>
                <c:pt idx="694">
                  <c:v>30.000006832286932</c:v>
                </c:pt>
                <c:pt idx="696">
                  <c:v>0</c:v>
                </c:pt>
                <c:pt idx="697">
                  <c:v>10.80282152230971</c:v>
                </c:pt>
                <c:pt idx="698">
                  <c:v>10.80282152230971</c:v>
                </c:pt>
                <c:pt idx="699">
                  <c:v>0</c:v>
                </c:pt>
                <c:pt idx="700">
                  <c:v>0</c:v>
                </c:pt>
                <c:pt idx="702">
                  <c:v>30.000006832286932</c:v>
                </c:pt>
                <c:pt idx="703">
                  <c:v>40.802828354596642</c:v>
                </c:pt>
                <c:pt idx="704">
                  <c:v>40.802828354596642</c:v>
                </c:pt>
                <c:pt idx="705">
                  <c:v>30.000006832286932</c:v>
                </c:pt>
                <c:pt idx="706">
                  <c:v>30.000006832286932</c:v>
                </c:pt>
                <c:pt idx="708">
                  <c:v>0</c:v>
                </c:pt>
                <c:pt idx="709">
                  <c:v>10.80282152230971</c:v>
                </c:pt>
                <c:pt idx="710">
                  <c:v>10.80282152230971</c:v>
                </c:pt>
                <c:pt idx="711">
                  <c:v>0</c:v>
                </c:pt>
                <c:pt idx="712">
                  <c:v>0</c:v>
                </c:pt>
                <c:pt idx="714">
                  <c:v>30.000006832286932</c:v>
                </c:pt>
                <c:pt idx="715">
                  <c:v>40.802828354596642</c:v>
                </c:pt>
                <c:pt idx="716">
                  <c:v>40.802828354596642</c:v>
                </c:pt>
                <c:pt idx="717">
                  <c:v>30.000006832286932</c:v>
                </c:pt>
                <c:pt idx="718">
                  <c:v>30.000006832286932</c:v>
                </c:pt>
                <c:pt idx="720">
                  <c:v>0</c:v>
                </c:pt>
                <c:pt idx="721">
                  <c:v>10.80282152230971</c:v>
                </c:pt>
                <c:pt idx="722">
                  <c:v>10.80282152230971</c:v>
                </c:pt>
                <c:pt idx="723">
                  <c:v>0</c:v>
                </c:pt>
                <c:pt idx="724">
                  <c:v>0</c:v>
                </c:pt>
                <c:pt idx="726">
                  <c:v>30.000006832286932</c:v>
                </c:pt>
                <c:pt idx="727">
                  <c:v>40.802828354596642</c:v>
                </c:pt>
                <c:pt idx="728">
                  <c:v>40.802828354596642</c:v>
                </c:pt>
                <c:pt idx="729">
                  <c:v>30.000006832286932</c:v>
                </c:pt>
                <c:pt idx="730">
                  <c:v>30.000006832286932</c:v>
                </c:pt>
                <c:pt idx="732">
                  <c:v>0</c:v>
                </c:pt>
                <c:pt idx="733">
                  <c:v>10.80282152230971</c:v>
                </c:pt>
                <c:pt idx="734">
                  <c:v>10.80282152230971</c:v>
                </c:pt>
                <c:pt idx="735">
                  <c:v>0</c:v>
                </c:pt>
                <c:pt idx="736">
                  <c:v>0</c:v>
                </c:pt>
                <c:pt idx="738">
                  <c:v>30.000006832286932</c:v>
                </c:pt>
                <c:pt idx="739">
                  <c:v>40.802828354596642</c:v>
                </c:pt>
                <c:pt idx="740">
                  <c:v>40.802828354596642</c:v>
                </c:pt>
                <c:pt idx="741">
                  <c:v>30.000006832286932</c:v>
                </c:pt>
                <c:pt idx="742">
                  <c:v>30.000006832286932</c:v>
                </c:pt>
                <c:pt idx="744">
                  <c:v>0</c:v>
                </c:pt>
                <c:pt idx="745">
                  <c:v>10.80282152230971</c:v>
                </c:pt>
                <c:pt idx="746">
                  <c:v>10.80282152230971</c:v>
                </c:pt>
                <c:pt idx="747">
                  <c:v>0</c:v>
                </c:pt>
                <c:pt idx="748">
                  <c:v>0</c:v>
                </c:pt>
                <c:pt idx="750">
                  <c:v>30.000006832286932</c:v>
                </c:pt>
                <c:pt idx="751">
                  <c:v>40.802828354596642</c:v>
                </c:pt>
                <c:pt idx="752">
                  <c:v>40.802828354596642</c:v>
                </c:pt>
                <c:pt idx="753">
                  <c:v>30.000006832286932</c:v>
                </c:pt>
                <c:pt idx="754">
                  <c:v>30.000006832286932</c:v>
                </c:pt>
                <c:pt idx="756">
                  <c:v>0</c:v>
                </c:pt>
                <c:pt idx="757">
                  <c:v>10.80282152230971</c:v>
                </c:pt>
                <c:pt idx="758">
                  <c:v>10.80282152230971</c:v>
                </c:pt>
                <c:pt idx="759">
                  <c:v>0</c:v>
                </c:pt>
                <c:pt idx="760">
                  <c:v>0</c:v>
                </c:pt>
                <c:pt idx="762">
                  <c:v>30.000006832286932</c:v>
                </c:pt>
                <c:pt idx="763">
                  <c:v>40.802828354596642</c:v>
                </c:pt>
                <c:pt idx="764">
                  <c:v>40.802828354596642</c:v>
                </c:pt>
                <c:pt idx="765">
                  <c:v>30.000006832286932</c:v>
                </c:pt>
                <c:pt idx="766">
                  <c:v>30.000006832286932</c:v>
                </c:pt>
                <c:pt idx="768">
                  <c:v>0</c:v>
                </c:pt>
                <c:pt idx="769">
                  <c:v>10.80282152230971</c:v>
                </c:pt>
                <c:pt idx="770">
                  <c:v>10.80282152230971</c:v>
                </c:pt>
                <c:pt idx="771">
                  <c:v>0</c:v>
                </c:pt>
                <c:pt idx="772">
                  <c:v>0</c:v>
                </c:pt>
                <c:pt idx="774">
                  <c:v>30.000006832286932</c:v>
                </c:pt>
                <c:pt idx="775">
                  <c:v>40.802828354596642</c:v>
                </c:pt>
                <c:pt idx="776">
                  <c:v>40.802828354596642</c:v>
                </c:pt>
                <c:pt idx="777">
                  <c:v>30.000006832286932</c:v>
                </c:pt>
                <c:pt idx="778">
                  <c:v>30.000006832286932</c:v>
                </c:pt>
                <c:pt idx="780">
                  <c:v>0</c:v>
                </c:pt>
                <c:pt idx="781">
                  <c:v>10.80282152230971</c:v>
                </c:pt>
                <c:pt idx="782">
                  <c:v>10.80282152230971</c:v>
                </c:pt>
                <c:pt idx="783">
                  <c:v>0</c:v>
                </c:pt>
                <c:pt idx="784">
                  <c:v>0</c:v>
                </c:pt>
                <c:pt idx="786">
                  <c:v>30.000006832286932</c:v>
                </c:pt>
                <c:pt idx="787">
                  <c:v>40.802828354596642</c:v>
                </c:pt>
                <c:pt idx="788">
                  <c:v>40.802828354596642</c:v>
                </c:pt>
                <c:pt idx="789">
                  <c:v>30.000006832286932</c:v>
                </c:pt>
                <c:pt idx="790">
                  <c:v>30.000006832286932</c:v>
                </c:pt>
                <c:pt idx="792">
                  <c:v>0</c:v>
                </c:pt>
                <c:pt idx="793">
                  <c:v>10.80282152230971</c:v>
                </c:pt>
                <c:pt idx="794">
                  <c:v>10.80282152230971</c:v>
                </c:pt>
                <c:pt idx="795">
                  <c:v>0</c:v>
                </c:pt>
                <c:pt idx="796">
                  <c:v>0</c:v>
                </c:pt>
                <c:pt idx="798">
                  <c:v>30.000006832286932</c:v>
                </c:pt>
                <c:pt idx="799">
                  <c:v>40.802828354596642</c:v>
                </c:pt>
                <c:pt idx="800">
                  <c:v>40.802828354596642</c:v>
                </c:pt>
                <c:pt idx="801">
                  <c:v>30.000006832286932</c:v>
                </c:pt>
                <c:pt idx="802">
                  <c:v>30.000006832286932</c:v>
                </c:pt>
                <c:pt idx="804">
                  <c:v>0</c:v>
                </c:pt>
                <c:pt idx="805">
                  <c:v>10.80282152230971</c:v>
                </c:pt>
                <c:pt idx="806">
                  <c:v>10.80282152230971</c:v>
                </c:pt>
                <c:pt idx="807">
                  <c:v>0</c:v>
                </c:pt>
                <c:pt idx="808">
                  <c:v>0</c:v>
                </c:pt>
                <c:pt idx="810">
                  <c:v>30.000006832286932</c:v>
                </c:pt>
                <c:pt idx="811">
                  <c:v>40.802828354596642</c:v>
                </c:pt>
                <c:pt idx="812">
                  <c:v>40.802828354596642</c:v>
                </c:pt>
                <c:pt idx="813">
                  <c:v>30.000006832286932</c:v>
                </c:pt>
                <c:pt idx="814">
                  <c:v>30.000006832286932</c:v>
                </c:pt>
                <c:pt idx="816">
                  <c:v>0</c:v>
                </c:pt>
                <c:pt idx="817">
                  <c:v>10.80282152230971</c:v>
                </c:pt>
                <c:pt idx="818">
                  <c:v>10.80282152230971</c:v>
                </c:pt>
                <c:pt idx="819">
                  <c:v>0</c:v>
                </c:pt>
                <c:pt idx="820">
                  <c:v>0</c:v>
                </c:pt>
                <c:pt idx="822">
                  <c:v>30.000006832286932</c:v>
                </c:pt>
                <c:pt idx="823">
                  <c:v>40.802828354596642</c:v>
                </c:pt>
                <c:pt idx="824">
                  <c:v>40.802828354596642</c:v>
                </c:pt>
                <c:pt idx="825">
                  <c:v>30.000006832286932</c:v>
                </c:pt>
                <c:pt idx="826">
                  <c:v>30.000006832286932</c:v>
                </c:pt>
                <c:pt idx="828">
                  <c:v>0</c:v>
                </c:pt>
                <c:pt idx="829">
                  <c:v>10.80282152230971</c:v>
                </c:pt>
                <c:pt idx="830">
                  <c:v>10.80282152230971</c:v>
                </c:pt>
                <c:pt idx="831">
                  <c:v>0</c:v>
                </c:pt>
                <c:pt idx="832">
                  <c:v>0</c:v>
                </c:pt>
                <c:pt idx="834">
                  <c:v>30.000006832286932</c:v>
                </c:pt>
                <c:pt idx="835">
                  <c:v>40.802828354596642</c:v>
                </c:pt>
                <c:pt idx="836">
                  <c:v>40.802828354596642</c:v>
                </c:pt>
                <c:pt idx="837">
                  <c:v>30.000006832286932</c:v>
                </c:pt>
                <c:pt idx="838">
                  <c:v>30.000006832286932</c:v>
                </c:pt>
                <c:pt idx="840">
                  <c:v>0</c:v>
                </c:pt>
                <c:pt idx="841">
                  <c:v>10.80282152230971</c:v>
                </c:pt>
                <c:pt idx="842">
                  <c:v>10.80282152230971</c:v>
                </c:pt>
                <c:pt idx="843">
                  <c:v>0</c:v>
                </c:pt>
                <c:pt idx="844">
                  <c:v>0</c:v>
                </c:pt>
                <c:pt idx="846">
                  <c:v>30.000006832286932</c:v>
                </c:pt>
                <c:pt idx="847">
                  <c:v>40.802828354596642</c:v>
                </c:pt>
                <c:pt idx="848">
                  <c:v>40.802828354596642</c:v>
                </c:pt>
                <c:pt idx="849">
                  <c:v>30.000006832286932</c:v>
                </c:pt>
                <c:pt idx="850">
                  <c:v>30.000006832286932</c:v>
                </c:pt>
                <c:pt idx="852">
                  <c:v>0</c:v>
                </c:pt>
                <c:pt idx="853">
                  <c:v>10.80282152230971</c:v>
                </c:pt>
                <c:pt idx="854">
                  <c:v>10.80282152230971</c:v>
                </c:pt>
                <c:pt idx="855">
                  <c:v>0</c:v>
                </c:pt>
                <c:pt idx="856">
                  <c:v>0</c:v>
                </c:pt>
                <c:pt idx="858">
                  <c:v>30.000006832286932</c:v>
                </c:pt>
                <c:pt idx="859">
                  <c:v>40.802828354596642</c:v>
                </c:pt>
                <c:pt idx="860">
                  <c:v>40.802828354596642</c:v>
                </c:pt>
                <c:pt idx="861">
                  <c:v>30.000006832286932</c:v>
                </c:pt>
                <c:pt idx="862">
                  <c:v>30.000006832286932</c:v>
                </c:pt>
                <c:pt idx="864">
                  <c:v>0</c:v>
                </c:pt>
                <c:pt idx="865">
                  <c:v>10.80282152230971</c:v>
                </c:pt>
                <c:pt idx="866">
                  <c:v>10.80282152230971</c:v>
                </c:pt>
                <c:pt idx="867">
                  <c:v>0</c:v>
                </c:pt>
                <c:pt idx="868">
                  <c:v>0</c:v>
                </c:pt>
                <c:pt idx="870">
                  <c:v>30.000006832286932</c:v>
                </c:pt>
                <c:pt idx="871">
                  <c:v>40.802828354596642</c:v>
                </c:pt>
                <c:pt idx="872">
                  <c:v>40.802828354596642</c:v>
                </c:pt>
                <c:pt idx="873">
                  <c:v>30.000006832286932</c:v>
                </c:pt>
                <c:pt idx="874">
                  <c:v>30.000006832286932</c:v>
                </c:pt>
                <c:pt idx="876">
                  <c:v>0</c:v>
                </c:pt>
                <c:pt idx="877">
                  <c:v>10.80282152230971</c:v>
                </c:pt>
                <c:pt idx="878">
                  <c:v>10.80282152230971</c:v>
                </c:pt>
                <c:pt idx="879">
                  <c:v>0</c:v>
                </c:pt>
                <c:pt idx="880">
                  <c:v>0</c:v>
                </c:pt>
                <c:pt idx="882">
                  <c:v>30.000006832286932</c:v>
                </c:pt>
                <c:pt idx="883">
                  <c:v>40.802828354596642</c:v>
                </c:pt>
                <c:pt idx="884">
                  <c:v>40.802828354596642</c:v>
                </c:pt>
                <c:pt idx="885">
                  <c:v>30.000006832286932</c:v>
                </c:pt>
                <c:pt idx="886">
                  <c:v>30.000006832286932</c:v>
                </c:pt>
                <c:pt idx="888">
                  <c:v>0</c:v>
                </c:pt>
                <c:pt idx="889">
                  <c:v>10.80282152230971</c:v>
                </c:pt>
                <c:pt idx="890">
                  <c:v>10.80282152230971</c:v>
                </c:pt>
                <c:pt idx="891">
                  <c:v>0</c:v>
                </c:pt>
                <c:pt idx="892">
                  <c:v>0</c:v>
                </c:pt>
                <c:pt idx="894">
                  <c:v>30.000006832286932</c:v>
                </c:pt>
                <c:pt idx="895">
                  <c:v>40.802828354596642</c:v>
                </c:pt>
                <c:pt idx="896">
                  <c:v>40.802828354596642</c:v>
                </c:pt>
                <c:pt idx="897">
                  <c:v>30.000006832286932</c:v>
                </c:pt>
                <c:pt idx="898">
                  <c:v>30.000006832286932</c:v>
                </c:pt>
                <c:pt idx="900">
                  <c:v>0</c:v>
                </c:pt>
                <c:pt idx="901">
                  <c:v>10.80282152230971</c:v>
                </c:pt>
                <c:pt idx="902">
                  <c:v>10.80282152230971</c:v>
                </c:pt>
                <c:pt idx="903">
                  <c:v>0</c:v>
                </c:pt>
                <c:pt idx="904">
                  <c:v>0</c:v>
                </c:pt>
                <c:pt idx="906">
                  <c:v>30.000006832286932</c:v>
                </c:pt>
                <c:pt idx="907">
                  <c:v>40.802828354596642</c:v>
                </c:pt>
                <c:pt idx="908">
                  <c:v>40.802828354596642</c:v>
                </c:pt>
                <c:pt idx="909">
                  <c:v>30.000006832286932</c:v>
                </c:pt>
                <c:pt idx="910">
                  <c:v>30.000006832286932</c:v>
                </c:pt>
                <c:pt idx="912">
                  <c:v>0</c:v>
                </c:pt>
                <c:pt idx="913">
                  <c:v>10.80282152230971</c:v>
                </c:pt>
                <c:pt idx="914">
                  <c:v>10.80282152230971</c:v>
                </c:pt>
                <c:pt idx="915">
                  <c:v>0</c:v>
                </c:pt>
                <c:pt idx="916">
                  <c:v>0</c:v>
                </c:pt>
                <c:pt idx="918">
                  <c:v>30.000006832286932</c:v>
                </c:pt>
                <c:pt idx="919">
                  <c:v>40.802828354596642</c:v>
                </c:pt>
                <c:pt idx="920">
                  <c:v>40.802828354596642</c:v>
                </c:pt>
                <c:pt idx="921">
                  <c:v>30.000006832286932</c:v>
                </c:pt>
                <c:pt idx="922">
                  <c:v>30.000006832286932</c:v>
                </c:pt>
                <c:pt idx="924">
                  <c:v>0</c:v>
                </c:pt>
                <c:pt idx="925">
                  <c:v>10.80282152230971</c:v>
                </c:pt>
                <c:pt idx="926">
                  <c:v>10.80282152230971</c:v>
                </c:pt>
                <c:pt idx="927">
                  <c:v>0</c:v>
                </c:pt>
                <c:pt idx="928">
                  <c:v>0</c:v>
                </c:pt>
                <c:pt idx="930">
                  <c:v>30.000006832286932</c:v>
                </c:pt>
                <c:pt idx="931">
                  <c:v>40.802828354596642</c:v>
                </c:pt>
                <c:pt idx="932">
                  <c:v>40.802828354596642</c:v>
                </c:pt>
                <c:pt idx="933">
                  <c:v>30.000006832286932</c:v>
                </c:pt>
                <c:pt idx="934">
                  <c:v>30.000006832286932</c:v>
                </c:pt>
                <c:pt idx="936">
                  <c:v>0</c:v>
                </c:pt>
                <c:pt idx="937">
                  <c:v>10.80282152230971</c:v>
                </c:pt>
                <c:pt idx="938">
                  <c:v>10.80282152230971</c:v>
                </c:pt>
                <c:pt idx="939">
                  <c:v>0</c:v>
                </c:pt>
                <c:pt idx="940">
                  <c:v>0</c:v>
                </c:pt>
                <c:pt idx="942">
                  <c:v>30.000006832286932</c:v>
                </c:pt>
                <c:pt idx="943">
                  <c:v>40.802828354596642</c:v>
                </c:pt>
                <c:pt idx="944">
                  <c:v>40.802828354596642</c:v>
                </c:pt>
                <c:pt idx="945">
                  <c:v>30.000006832286932</c:v>
                </c:pt>
                <c:pt idx="946">
                  <c:v>30.000006832286932</c:v>
                </c:pt>
                <c:pt idx="948">
                  <c:v>0</c:v>
                </c:pt>
                <c:pt idx="949">
                  <c:v>10.80282152230971</c:v>
                </c:pt>
                <c:pt idx="950">
                  <c:v>10.80282152230971</c:v>
                </c:pt>
                <c:pt idx="951">
                  <c:v>0</c:v>
                </c:pt>
                <c:pt idx="952">
                  <c:v>0</c:v>
                </c:pt>
                <c:pt idx="954">
                  <c:v>30.000006832286932</c:v>
                </c:pt>
                <c:pt idx="955">
                  <c:v>40.802828354596642</c:v>
                </c:pt>
                <c:pt idx="956">
                  <c:v>40.802828354596642</c:v>
                </c:pt>
                <c:pt idx="957">
                  <c:v>30.000006832286932</c:v>
                </c:pt>
                <c:pt idx="958">
                  <c:v>30.000006832286932</c:v>
                </c:pt>
                <c:pt idx="960">
                  <c:v>0</c:v>
                </c:pt>
                <c:pt idx="961">
                  <c:v>10.80282152230971</c:v>
                </c:pt>
                <c:pt idx="962">
                  <c:v>10.80282152230971</c:v>
                </c:pt>
                <c:pt idx="963">
                  <c:v>0</c:v>
                </c:pt>
                <c:pt idx="964">
                  <c:v>0</c:v>
                </c:pt>
                <c:pt idx="966">
                  <c:v>30.000006832286932</c:v>
                </c:pt>
                <c:pt idx="967">
                  <c:v>40.802828354596642</c:v>
                </c:pt>
                <c:pt idx="968">
                  <c:v>40.802828354596642</c:v>
                </c:pt>
                <c:pt idx="969">
                  <c:v>30.000006832286932</c:v>
                </c:pt>
                <c:pt idx="970">
                  <c:v>30.000006832286932</c:v>
                </c:pt>
                <c:pt idx="972">
                  <c:v>0</c:v>
                </c:pt>
                <c:pt idx="973">
                  <c:v>10.80282152230971</c:v>
                </c:pt>
                <c:pt idx="974">
                  <c:v>10.80282152230971</c:v>
                </c:pt>
                <c:pt idx="975">
                  <c:v>0</c:v>
                </c:pt>
                <c:pt idx="976">
                  <c:v>0</c:v>
                </c:pt>
                <c:pt idx="978">
                  <c:v>30.000006832286932</c:v>
                </c:pt>
                <c:pt idx="979">
                  <c:v>40.802828354596642</c:v>
                </c:pt>
                <c:pt idx="980">
                  <c:v>40.802828354596642</c:v>
                </c:pt>
                <c:pt idx="981">
                  <c:v>30.000006832286932</c:v>
                </c:pt>
                <c:pt idx="982">
                  <c:v>30.000006832286932</c:v>
                </c:pt>
                <c:pt idx="984">
                  <c:v>0</c:v>
                </c:pt>
                <c:pt idx="985">
                  <c:v>10.80282152230971</c:v>
                </c:pt>
                <c:pt idx="986">
                  <c:v>10.80282152230971</c:v>
                </c:pt>
                <c:pt idx="987">
                  <c:v>0</c:v>
                </c:pt>
                <c:pt idx="988">
                  <c:v>0</c:v>
                </c:pt>
                <c:pt idx="990">
                  <c:v>30.000006832286932</c:v>
                </c:pt>
                <c:pt idx="991">
                  <c:v>40.802828354596642</c:v>
                </c:pt>
                <c:pt idx="992">
                  <c:v>40.802828354596642</c:v>
                </c:pt>
                <c:pt idx="993">
                  <c:v>30.000006832286932</c:v>
                </c:pt>
                <c:pt idx="994">
                  <c:v>30.000006832286932</c:v>
                </c:pt>
                <c:pt idx="996">
                  <c:v>0</c:v>
                </c:pt>
                <c:pt idx="997">
                  <c:v>10.80282152230971</c:v>
                </c:pt>
                <c:pt idx="998">
                  <c:v>10.80282152230971</c:v>
                </c:pt>
                <c:pt idx="999">
                  <c:v>0</c:v>
                </c:pt>
                <c:pt idx="1000">
                  <c:v>0</c:v>
                </c:pt>
                <c:pt idx="1002">
                  <c:v>30.000006832286932</c:v>
                </c:pt>
                <c:pt idx="1003">
                  <c:v>40.802828354596642</c:v>
                </c:pt>
                <c:pt idx="1004">
                  <c:v>40.802828354596642</c:v>
                </c:pt>
                <c:pt idx="1005">
                  <c:v>30.000006832286932</c:v>
                </c:pt>
                <c:pt idx="1006">
                  <c:v>30.000006832286932</c:v>
                </c:pt>
                <c:pt idx="1008">
                  <c:v>0</c:v>
                </c:pt>
                <c:pt idx="1009">
                  <c:v>10.80282152230971</c:v>
                </c:pt>
                <c:pt idx="1010">
                  <c:v>10.80282152230971</c:v>
                </c:pt>
                <c:pt idx="1011">
                  <c:v>0</c:v>
                </c:pt>
                <c:pt idx="1012">
                  <c:v>0</c:v>
                </c:pt>
                <c:pt idx="1014">
                  <c:v>30.000006832286932</c:v>
                </c:pt>
                <c:pt idx="1015">
                  <c:v>40.802828354596642</c:v>
                </c:pt>
                <c:pt idx="1016">
                  <c:v>40.802828354596642</c:v>
                </c:pt>
                <c:pt idx="1017">
                  <c:v>30.000006832286932</c:v>
                </c:pt>
                <c:pt idx="1018">
                  <c:v>30.000006832286932</c:v>
                </c:pt>
                <c:pt idx="1020">
                  <c:v>0</c:v>
                </c:pt>
                <c:pt idx="1021">
                  <c:v>10.80282152230971</c:v>
                </c:pt>
                <c:pt idx="1022">
                  <c:v>10.80282152230971</c:v>
                </c:pt>
                <c:pt idx="1023">
                  <c:v>0</c:v>
                </c:pt>
                <c:pt idx="1024">
                  <c:v>0</c:v>
                </c:pt>
                <c:pt idx="1026">
                  <c:v>30.000006832286932</c:v>
                </c:pt>
                <c:pt idx="1027">
                  <c:v>40.802828354596642</c:v>
                </c:pt>
                <c:pt idx="1028">
                  <c:v>40.802828354596642</c:v>
                </c:pt>
                <c:pt idx="1029">
                  <c:v>30.000006832286932</c:v>
                </c:pt>
                <c:pt idx="1030">
                  <c:v>30.000006832286932</c:v>
                </c:pt>
                <c:pt idx="1032">
                  <c:v>0</c:v>
                </c:pt>
                <c:pt idx="1033">
                  <c:v>10.80282152230971</c:v>
                </c:pt>
                <c:pt idx="1034">
                  <c:v>10.80282152230971</c:v>
                </c:pt>
                <c:pt idx="1035">
                  <c:v>0</c:v>
                </c:pt>
                <c:pt idx="1036">
                  <c:v>0</c:v>
                </c:pt>
                <c:pt idx="1038">
                  <c:v>30.000006832286932</c:v>
                </c:pt>
                <c:pt idx="1039">
                  <c:v>40.802828354596642</c:v>
                </c:pt>
                <c:pt idx="1040">
                  <c:v>40.802828354596642</c:v>
                </c:pt>
                <c:pt idx="1041">
                  <c:v>30.000006832286932</c:v>
                </c:pt>
                <c:pt idx="1042">
                  <c:v>30.000006832286932</c:v>
                </c:pt>
                <c:pt idx="1044">
                  <c:v>0</c:v>
                </c:pt>
                <c:pt idx="1045">
                  <c:v>10.80282152230971</c:v>
                </c:pt>
                <c:pt idx="1046">
                  <c:v>10.80282152230971</c:v>
                </c:pt>
                <c:pt idx="1047">
                  <c:v>0</c:v>
                </c:pt>
                <c:pt idx="1048">
                  <c:v>0</c:v>
                </c:pt>
                <c:pt idx="1050">
                  <c:v>30.000006832286932</c:v>
                </c:pt>
                <c:pt idx="1051">
                  <c:v>40.802828354596642</c:v>
                </c:pt>
                <c:pt idx="1052">
                  <c:v>40.802828354596642</c:v>
                </c:pt>
                <c:pt idx="1053">
                  <c:v>30.000006832286932</c:v>
                </c:pt>
                <c:pt idx="1054">
                  <c:v>30.000006832286932</c:v>
                </c:pt>
                <c:pt idx="1056">
                  <c:v>0</c:v>
                </c:pt>
                <c:pt idx="1057">
                  <c:v>10.80282152230971</c:v>
                </c:pt>
                <c:pt idx="1058">
                  <c:v>10.80282152230971</c:v>
                </c:pt>
                <c:pt idx="1059">
                  <c:v>0</c:v>
                </c:pt>
                <c:pt idx="1060">
                  <c:v>0</c:v>
                </c:pt>
                <c:pt idx="1062">
                  <c:v>30.000006832286932</c:v>
                </c:pt>
                <c:pt idx="1063">
                  <c:v>40.802828354596642</c:v>
                </c:pt>
                <c:pt idx="1064">
                  <c:v>40.802828354596642</c:v>
                </c:pt>
                <c:pt idx="1065">
                  <c:v>30.000006832286932</c:v>
                </c:pt>
                <c:pt idx="1066">
                  <c:v>30.000006832286932</c:v>
                </c:pt>
                <c:pt idx="1068">
                  <c:v>0</c:v>
                </c:pt>
                <c:pt idx="1069">
                  <c:v>10.80282152230971</c:v>
                </c:pt>
                <c:pt idx="1070">
                  <c:v>10.80282152230971</c:v>
                </c:pt>
                <c:pt idx="1071">
                  <c:v>0</c:v>
                </c:pt>
                <c:pt idx="1072">
                  <c:v>0</c:v>
                </c:pt>
                <c:pt idx="1074">
                  <c:v>30.000006832286932</c:v>
                </c:pt>
                <c:pt idx="1075">
                  <c:v>40.802828354596642</c:v>
                </c:pt>
                <c:pt idx="1076">
                  <c:v>40.802828354596642</c:v>
                </c:pt>
                <c:pt idx="1077">
                  <c:v>30.000006832286932</c:v>
                </c:pt>
                <c:pt idx="1078">
                  <c:v>30.000006832286932</c:v>
                </c:pt>
                <c:pt idx="1080">
                  <c:v>0</c:v>
                </c:pt>
                <c:pt idx="1081">
                  <c:v>10.80282152230971</c:v>
                </c:pt>
                <c:pt idx="1082">
                  <c:v>10.80282152230971</c:v>
                </c:pt>
                <c:pt idx="1083">
                  <c:v>0</c:v>
                </c:pt>
                <c:pt idx="1084">
                  <c:v>0</c:v>
                </c:pt>
                <c:pt idx="1086">
                  <c:v>30.000006832286932</c:v>
                </c:pt>
                <c:pt idx="1087">
                  <c:v>40.802828354596642</c:v>
                </c:pt>
                <c:pt idx="1088">
                  <c:v>40.802828354596642</c:v>
                </c:pt>
                <c:pt idx="1089">
                  <c:v>30.000006832286932</c:v>
                </c:pt>
                <c:pt idx="1090">
                  <c:v>30.000006832286932</c:v>
                </c:pt>
                <c:pt idx="1092">
                  <c:v>0</c:v>
                </c:pt>
                <c:pt idx="1093">
                  <c:v>10.80282152230971</c:v>
                </c:pt>
                <c:pt idx="1094">
                  <c:v>10.80282152230971</c:v>
                </c:pt>
                <c:pt idx="1095">
                  <c:v>0</c:v>
                </c:pt>
                <c:pt idx="1096">
                  <c:v>0</c:v>
                </c:pt>
                <c:pt idx="1098">
                  <c:v>30.000006832286932</c:v>
                </c:pt>
                <c:pt idx="1099">
                  <c:v>40.802828354596642</c:v>
                </c:pt>
                <c:pt idx="1100">
                  <c:v>40.802828354596642</c:v>
                </c:pt>
                <c:pt idx="1101">
                  <c:v>30.000006832286932</c:v>
                </c:pt>
                <c:pt idx="1102">
                  <c:v>30.000006832286932</c:v>
                </c:pt>
                <c:pt idx="1104">
                  <c:v>0</c:v>
                </c:pt>
                <c:pt idx="1105">
                  <c:v>10.80282152230971</c:v>
                </c:pt>
                <c:pt idx="1106">
                  <c:v>10.80282152230971</c:v>
                </c:pt>
                <c:pt idx="1107">
                  <c:v>0</c:v>
                </c:pt>
                <c:pt idx="1108">
                  <c:v>0</c:v>
                </c:pt>
                <c:pt idx="1110">
                  <c:v>30.000006832286932</c:v>
                </c:pt>
                <c:pt idx="1111">
                  <c:v>40.802828354596642</c:v>
                </c:pt>
                <c:pt idx="1112">
                  <c:v>40.802828354596642</c:v>
                </c:pt>
                <c:pt idx="1113">
                  <c:v>30.000006832286932</c:v>
                </c:pt>
                <c:pt idx="1114">
                  <c:v>30.000006832286932</c:v>
                </c:pt>
                <c:pt idx="1116">
                  <c:v>0</c:v>
                </c:pt>
                <c:pt idx="1117">
                  <c:v>10.80282152230971</c:v>
                </c:pt>
                <c:pt idx="1118">
                  <c:v>10.80282152230971</c:v>
                </c:pt>
                <c:pt idx="1119">
                  <c:v>0</c:v>
                </c:pt>
                <c:pt idx="1120">
                  <c:v>0</c:v>
                </c:pt>
                <c:pt idx="1122">
                  <c:v>30.000006832286932</c:v>
                </c:pt>
                <c:pt idx="1123">
                  <c:v>40.802828354596642</c:v>
                </c:pt>
                <c:pt idx="1124">
                  <c:v>40.802828354596642</c:v>
                </c:pt>
                <c:pt idx="1125">
                  <c:v>30.000006832286932</c:v>
                </c:pt>
                <c:pt idx="1126">
                  <c:v>30.000006832286932</c:v>
                </c:pt>
                <c:pt idx="1128">
                  <c:v>0</c:v>
                </c:pt>
                <c:pt idx="1129">
                  <c:v>10.80282152230971</c:v>
                </c:pt>
                <c:pt idx="1130">
                  <c:v>10.80282152230971</c:v>
                </c:pt>
                <c:pt idx="1131">
                  <c:v>0</c:v>
                </c:pt>
                <c:pt idx="1132">
                  <c:v>0</c:v>
                </c:pt>
                <c:pt idx="1134">
                  <c:v>30.000006832286932</c:v>
                </c:pt>
                <c:pt idx="1135">
                  <c:v>40.802828354596642</c:v>
                </c:pt>
                <c:pt idx="1136">
                  <c:v>40.802828354596642</c:v>
                </c:pt>
                <c:pt idx="1137">
                  <c:v>30.000006832286932</c:v>
                </c:pt>
                <c:pt idx="1138">
                  <c:v>30.000006832286932</c:v>
                </c:pt>
                <c:pt idx="1140">
                  <c:v>0</c:v>
                </c:pt>
                <c:pt idx="1141">
                  <c:v>10.80282152230971</c:v>
                </c:pt>
                <c:pt idx="1142">
                  <c:v>10.80282152230971</c:v>
                </c:pt>
                <c:pt idx="1143">
                  <c:v>0</c:v>
                </c:pt>
                <c:pt idx="1144">
                  <c:v>0</c:v>
                </c:pt>
                <c:pt idx="1146">
                  <c:v>30.000006832286932</c:v>
                </c:pt>
                <c:pt idx="1147">
                  <c:v>40.802828354596642</c:v>
                </c:pt>
                <c:pt idx="1148">
                  <c:v>40.802828354596642</c:v>
                </c:pt>
                <c:pt idx="1149">
                  <c:v>30.000006832286932</c:v>
                </c:pt>
                <c:pt idx="1150">
                  <c:v>30.000006832286932</c:v>
                </c:pt>
                <c:pt idx="1152">
                  <c:v>0</c:v>
                </c:pt>
                <c:pt idx="1153">
                  <c:v>10.80282152230971</c:v>
                </c:pt>
                <c:pt idx="1154">
                  <c:v>10.80282152230971</c:v>
                </c:pt>
                <c:pt idx="1155">
                  <c:v>0</c:v>
                </c:pt>
                <c:pt idx="1156">
                  <c:v>0</c:v>
                </c:pt>
                <c:pt idx="1158">
                  <c:v>30.000006832286932</c:v>
                </c:pt>
                <c:pt idx="1159">
                  <c:v>40.802828354596642</c:v>
                </c:pt>
                <c:pt idx="1160">
                  <c:v>40.802828354596642</c:v>
                </c:pt>
                <c:pt idx="1161">
                  <c:v>30.000006832286932</c:v>
                </c:pt>
                <c:pt idx="1162">
                  <c:v>30.000006832286932</c:v>
                </c:pt>
                <c:pt idx="1164">
                  <c:v>0</c:v>
                </c:pt>
                <c:pt idx="1165">
                  <c:v>10.80282152230971</c:v>
                </c:pt>
                <c:pt idx="1166">
                  <c:v>10.80282152230971</c:v>
                </c:pt>
                <c:pt idx="1167">
                  <c:v>0</c:v>
                </c:pt>
                <c:pt idx="1168">
                  <c:v>0</c:v>
                </c:pt>
                <c:pt idx="1170">
                  <c:v>30.000006832286932</c:v>
                </c:pt>
                <c:pt idx="1171">
                  <c:v>40.802828354596642</c:v>
                </c:pt>
                <c:pt idx="1172">
                  <c:v>40.802828354596642</c:v>
                </c:pt>
                <c:pt idx="1173">
                  <c:v>30.000006832286932</c:v>
                </c:pt>
                <c:pt idx="1174">
                  <c:v>30.000006832286932</c:v>
                </c:pt>
                <c:pt idx="1176">
                  <c:v>0</c:v>
                </c:pt>
                <c:pt idx="1177">
                  <c:v>10.80282152230971</c:v>
                </c:pt>
                <c:pt idx="1178">
                  <c:v>10.80282152230971</c:v>
                </c:pt>
                <c:pt idx="1179">
                  <c:v>0</c:v>
                </c:pt>
                <c:pt idx="1180">
                  <c:v>0</c:v>
                </c:pt>
                <c:pt idx="1182">
                  <c:v>30.000006832286932</c:v>
                </c:pt>
                <c:pt idx="1183">
                  <c:v>40.802828354596642</c:v>
                </c:pt>
                <c:pt idx="1184">
                  <c:v>40.802828354596642</c:v>
                </c:pt>
                <c:pt idx="1185">
                  <c:v>30.000006832286932</c:v>
                </c:pt>
                <c:pt idx="1186">
                  <c:v>30.000006832286932</c:v>
                </c:pt>
                <c:pt idx="1188">
                  <c:v>0</c:v>
                </c:pt>
                <c:pt idx="1189">
                  <c:v>10.80282152230971</c:v>
                </c:pt>
                <c:pt idx="1190">
                  <c:v>10.80282152230971</c:v>
                </c:pt>
                <c:pt idx="1191">
                  <c:v>0</c:v>
                </c:pt>
                <c:pt idx="1192">
                  <c:v>0</c:v>
                </c:pt>
                <c:pt idx="1194">
                  <c:v>30.000006832286932</c:v>
                </c:pt>
                <c:pt idx="1195">
                  <c:v>40.802828354596642</c:v>
                </c:pt>
                <c:pt idx="1196">
                  <c:v>40.802828354596642</c:v>
                </c:pt>
                <c:pt idx="1197">
                  <c:v>30.000006832286932</c:v>
                </c:pt>
                <c:pt idx="1198">
                  <c:v>30.000006832286932</c:v>
                </c:pt>
                <c:pt idx="1200">
                  <c:v>0</c:v>
                </c:pt>
                <c:pt idx="1201">
                  <c:v>10.80282152230971</c:v>
                </c:pt>
                <c:pt idx="1202">
                  <c:v>10.80282152230971</c:v>
                </c:pt>
                <c:pt idx="1203">
                  <c:v>0</c:v>
                </c:pt>
                <c:pt idx="1204">
                  <c:v>0</c:v>
                </c:pt>
                <c:pt idx="1206">
                  <c:v>30.000006832286932</c:v>
                </c:pt>
                <c:pt idx="1207">
                  <c:v>40.802828354596642</c:v>
                </c:pt>
                <c:pt idx="1208">
                  <c:v>40.802828354596642</c:v>
                </c:pt>
                <c:pt idx="1209">
                  <c:v>30.000006832286932</c:v>
                </c:pt>
                <c:pt idx="1210">
                  <c:v>30.000006832286932</c:v>
                </c:pt>
                <c:pt idx="1212">
                  <c:v>0</c:v>
                </c:pt>
                <c:pt idx="1213">
                  <c:v>10.80282152230971</c:v>
                </c:pt>
                <c:pt idx="1214">
                  <c:v>10.80282152230971</c:v>
                </c:pt>
                <c:pt idx="1215">
                  <c:v>0</c:v>
                </c:pt>
                <c:pt idx="1216">
                  <c:v>0</c:v>
                </c:pt>
                <c:pt idx="1218">
                  <c:v>30.000006832286932</c:v>
                </c:pt>
                <c:pt idx="1219">
                  <c:v>40.802828354596642</c:v>
                </c:pt>
                <c:pt idx="1220">
                  <c:v>40.802828354596642</c:v>
                </c:pt>
                <c:pt idx="1221">
                  <c:v>30.000006832286932</c:v>
                </c:pt>
                <c:pt idx="1222">
                  <c:v>30.000006832286932</c:v>
                </c:pt>
                <c:pt idx="1224">
                  <c:v>0</c:v>
                </c:pt>
                <c:pt idx="1225">
                  <c:v>10.80282152230971</c:v>
                </c:pt>
                <c:pt idx="1226">
                  <c:v>10.80282152230971</c:v>
                </c:pt>
                <c:pt idx="1227">
                  <c:v>0</c:v>
                </c:pt>
                <c:pt idx="1228">
                  <c:v>0</c:v>
                </c:pt>
                <c:pt idx="1230">
                  <c:v>30.000006832286932</c:v>
                </c:pt>
                <c:pt idx="1231">
                  <c:v>40.802828354596642</c:v>
                </c:pt>
                <c:pt idx="1232">
                  <c:v>40.802828354596642</c:v>
                </c:pt>
                <c:pt idx="1233">
                  <c:v>30.000006832286932</c:v>
                </c:pt>
                <c:pt idx="1234">
                  <c:v>30.000006832286932</c:v>
                </c:pt>
                <c:pt idx="1236">
                  <c:v>0</c:v>
                </c:pt>
                <c:pt idx="1237">
                  <c:v>10.80282152230971</c:v>
                </c:pt>
                <c:pt idx="1238">
                  <c:v>10.80282152230971</c:v>
                </c:pt>
                <c:pt idx="1239">
                  <c:v>0</c:v>
                </c:pt>
                <c:pt idx="1240">
                  <c:v>0</c:v>
                </c:pt>
                <c:pt idx="1242">
                  <c:v>30.000006832286932</c:v>
                </c:pt>
                <c:pt idx="1243">
                  <c:v>40.802828354596642</c:v>
                </c:pt>
                <c:pt idx="1244">
                  <c:v>40.802828354596642</c:v>
                </c:pt>
                <c:pt idx="1245">
                  <c:v>30.000006832286932</c:v>
                </c:pt>
                <c:pt idx="1246">
                  <c:v>30.000006832286932</c:v>
                </c:pt>
                <c:pt idx="1248">
                  <c:v>0</c:v>
                </c:pt>
                <c:pt idx="1249">
                  <c:v>10.80282152230971</c:v>
                </c:pt>
                <c:pt idx="1250">
                  <c:v>10.80282152230971</c:v>
                </c:pt>
                <c:pt idx="1251">
                  <c:v>0</c:v>
                </c:pt>
                <c:pt idx="1252">
                  <c:v>0</c:v>
                </c:pt>
                <c:pt idx="1254">
                  <c:v>30.000006832286932</c:v>
                </c:pt>
                <c:pt idx="1255">
                  <c:v>40.802828354596642</c:v>
                </c:pt>
                <c:pt idx="1256">
                  <c:v>40.802828354596642</c:v>
                </c:pt>
                <c:pt idx="1257">
                  <c:v>30.000006832286932</c:v>
                </c:pt>
                <c:pt idx="1258">
                  <c:v>30.000006832286932</c:v>
                </c:pt>
                <c:pt idx="1260">
                  <c:v>0</c:v>
                </c:pt>
                <c:pt idx="1261">
                  <c:v>10.80282152230971</c:v>
                </c:pt>
                <c:pt idx="1262">
                  <c:v>10.80282152230971</c:v>
                </c:pt>
                <c:pt idx="1263">
                  <c:v>0</c:v>
                </c:pt>
                <c:pt idx="1264">
                  <c:v>0</c:v>
                </c:pt>
                <c:pt idx="1266">
                  <c:v>30.000006832286932</c:v>
                </c:pt>
                <c:pt idx="1267">
                  <c:v>40.802828354596642</c:v>
                </c:pt>
                <c:pt idx="1268">
                  <c:v>40.802828354596642</c:v>
                </c:pt>
                <c:pt idx="1269">
                  <c:v>30.000006832286932</c:v>
                </c:pt>
                <c:pt idx="1270">
                  <c:v>30.000006832286932</c:v>
                </c:pt>
                <c:pt idx="1272">
                  <c:v>0</c:v>
                </c:pt>
                <c:pt idx="1273">
                  <c:v>10.80282152230971</c:v>
                </c:pt>
                <c:pt idx="1274">
                  <c:v>10.80282152230971</c:v>
                </c:pt>
                <c:pt idx="1275">
                  <c:v>0</c:v>
                </c:pt>
                <c:pt idx="1276">
                  <c:v>0</c:v>
                </c:pt>
                <c:pt idx="1278">
                  <c:v>30.000006832286932</c:v>
                </c:pt>
                <c:pt idx="1279">
                  <c:v>40.802828354596642</c:v>
                </c:pt>
                <c:pt idx="1280">
                  <c:v>40.802828354596642</c:v>
                </c:pt>
                <c:pt idx="1281">
                  <c:v>30.000006832286932</c:v>
                </c:pt>
                <c:pt idx="1282">
                  <c:v>30.000006832286932</c:v>
                </c:pt>
                <c:pt idx="1284">
                  <c:v>0</c:v>
                </c:pt>
                <c:pt idx="1285">
                  <c:v>10.80282152230971</c:v>
                </c:pt>
                <c:pt idx="1286">
                  <c:v>10.80282152230971</c:v>
                </c:pt>
                <c:pt idx="1287">
                  <c:v>0</c:v>
                </c:pt>
                <c:pt idx="1288">
                  <c:v>0</c:v>
                </c:pt>
                <c:pt idx="1290">
                  <c:v>30.000006832286932</c:v>
                </c:pt>
                <c:pt idx="1291">
                  <c:v>40.802828354596642</c:v>
                </c:pt>
                <c:pt idx="1292">
                  <c:v>40.802828354596642</c:v>
                </c:pt>
                <c:pt idx="1293">
                  <c:v>30.000006832286932</c:v>
                </c:pt>
                <c:pt idx="1294">
                  <c:v>30.000006832286932</c:v>
                </c:pt>
                <c:pt idx="1296">
                  <c:v>0</c:v>
                </c:pt>
                <c:pt idx="1297">
                  <c:v>10.80282152230971</c:v>
                </c:pt>
                <c:pt idx="1298">
                  <c:v>10.80282152230971</c:v>
                </c:pt>
                <c:pt idx="1299">
                  <c:v>0</c:v>
                </c:pt>
                <c:pt idx="1300">
                  <c:v>0</c:v>
                </c:pt>
                <c:pt idx="1302">
                  <c:v>30.000006832286932</c:v>
                </c:pt>
                <c:pt idx="1303">
                  <c:v>40.802828354596642</c:v>
                </c:pt>
                <c:pt idx="1304">
                  <c:v>40.802828354596642</c:v>
                </c:pt>
                <c:pt idx="1305">
                  <c:v>30.000006832286932</c:v>
                </c:pt>
                <c:pt idx="1306">
                  <c:v>30.000006832286932</c:v>
                </c:pt>
                <c:pt idx="1308">
                  <c:v>0</c:v>
                </c:pt>
                <c:pt idx="1309">
                  <c:v>10.80282152230971</c:v>
                </c:pt>
                <c:pt idx="1310">
                  <c:v>10.80282152230971</c:v>
                </c:pt>
                <c:pt idx="1311">
                  <c:v>0</c:v>
                </c:pt>
                <c:pt idx="1312">
                  <c:v>0</c:v>
                </c:pt>
                <c:pt idx="1314">
                  <c:v>30.000006832286932</c:v>
                </c:pt>
                <c:pt idx="1315">
                  <c:v>40.802828354596642</c:v>
                </c:pt>
                <c:pt idx="1316">
                  <c:v>40.802828354596642</c:v>
                </c:pt>
                <c:pt idx="1317">
                  <c:v>30.000006832286932</c:v>
                </c:pt>
                <c:pt idx="1318">
                  <c:v>30.000006832286932</c:v>
                </c:pt>
                <c:pt idx="1320">
                  <c:v>0</c:v>
                </c:pt>
                <c:pt idx="1321">
                  <c:v>10.80282152230971</c:v>
                </c:pt>
                <c:pt idx="1322">
                  <c:v>10.80282152230971</c:v>
                </c:pt>
                <c:pt idx="1323">
                  <c:v>0</c:v>
                </c:pt>
                <c:pt idx="1324">
                  <c:v>0</c:v>
                </c:pt>
                <c:pt idx="1326">
                  <c:v>30.000006832286932</c:v>
                </c:pt>
                <c:pt idx="1327">
                  <c:v>40.802828354596642</c:v>
                </c:pt>
                <c:pt idx="1328">
                  <c:v>40.802828354596642</c:v>
                </c:pt>
                <c:pt idx="1329">
                  <c:v>30.000006832286932</c:v>
                </c:pt>
                <c:pt idx="1330">
                  <c:v>30.000006832286932</c:v>
                </c:pt>
                <c:pt idx="1332">
                  <c:v>0</c:v>
                </c:pt>
                <c:pt idx="1333">
                  <c:v>10.80282152230971</c:v>
                </c:pt>
                <c:pt idx="1334">
                  <c:v>10.80282152230971</c:v>
                </c:pt>
                <c:pt idx="1335">
                  <c:v>0</c:v>
                </c:pt>
                <c:pt idx="1336">
                  <c:v>0</c:v>
                </c:pt>
                <c:pt idx="1338">
                  <c:v>30.000006832286932</c:v>
                </c:pt>
                <c:pt idx="1339">
                  <c:v>40.802828354596642</c:v>
                </c:pt>
                <c:pt idx="1340">
                  <c:v>40.802828354596642</c:v>
                </c:pt>
                <c:pt idx="1341">
                  <c:v>30.000006832286932</c:v>
                </c:pt>
                <c:pt idx="1342">
                  <c:v>30.000006832286932</c:v>
                </c:pt>
                <c:pt idx="1344">
                  <c:v>0</c:v>
                </c:pt>
                <c:pt idx="1345">
                  <c:v>10.80282152230971</c:v>
                </c:pt>
                <c:pt idx="1346">
                  <c:v>10.80282152230971</c:v>
                </c:pt>
                <c:pt idx="1347">
                  <c:v>0</c:v>
                </c:pt>
                <c:pt idx="1348">
                  <c:v>0</c:v>
                </c:pt>
                <c:pt idx="1350">
                  <c:v>30.000006832286932</c:v>
                </c:pt>
                <c:pt idx="1351">
                  <c:v>40.802828354596642</c:v>
                </c:pt>
                <c:pt idx="1352">
                  <c:v>40.802828354596642</c:v>
                </c:pt>
                <c:pt idx="1353">
                  <c:v>30.000006832286932</c:v>
                </c:pt>
                <c:pt idx="1354">
                  <c:v>30.000006832286932</c:v>
                </c:pt>
                <c:pt idx="1356">
                  <c:v>0</c:v>
                </c:pt>
                <c:pt idx="1357">
                  <c:v>10.80282152230971</c:v>
                </c:pt>
                <c:pt idx="1358">
                  <c:v>10.80282152230971</c:v>
                </c:pt>
                <c:pt idx="1359">
                  <c:v>0</c:v>
                </c:pt>
                <c:pt idx="1360">
                  <c:v>0</c:v>
                </c:pt>
                <c:pt idx="1362">
                  <c:v>30.000006832286932</c:v>
                </c:pt>
                <c:pt idx="1363">
                  <c:v>40.802828354596642</c:v>
                </c:pt>
                <c:pt idx="1364">
                  <c:v>40.802828354596642</c:v>
                </c:pt>
                <c:pt idx="1365">
                  <c:v>30.000006832286932</c:v>
                </c:pt>
                <c:pt idx="1366">
                  <c:v>30.000006832286932</c:v>
                </c:pt>
                <c:pt idx="1368">
                  <c:v>0</c:v>
                </c:pt>
                <c:pt idx="1369">
                  <c:v>10.80282152230971</c:v>
                </c:pt>
                <c:pt idx="1370">
                  <c:v>10.80282152230971</c:v>
                </c:pt>
                <c:pt idx="1371">
                  <c:v>0</c:v>
                </c:pt>
                <c:pt idx="1372">
                  <c:v>0</c:v>
                </c:pt>
                <c:pt idx="1374">
                  <c:v>30.000006832286932</c:v>
                </c:pt>
                <c:pt idx="1375">
                  <c:v>40.802828354596642</c:v>
                </c:pt>
                <c:pt idx="1376">
                  <c:v>40.802828354596642</c:v>
                </c:pt>
                <c:pt idx="1377">
                  <c:v>30.000006832286932</c:v>
                </c:pt>
                <c:pt idx="1378">
                  <c:v>30.000006832286932</c:v>
                </c:pt>
                <c:pt idx="1380">
                  <c:v>0</c:v>
                </c:pt>
                <c:pt idx="1381">
                  <c:v>10.80282152230971</c:v>
                </c:pt>
                <c:pt idx="1382">
                  <c:v>10.80282152230971</c:v>
                </c:pt>
                <c:pt idx="1383">
                  <c:v>0</c:v>
                </c:pt>
                <c:pt idx="1384">
                  <c:v>0</c:v>
                </c:pt>
                <c:pt idx="1386">
                  <c:v>30.000006832286932</c:v>
                </c:pt>
                <c:pt idx="1387">
                  <c:v>40.802828354596642</c:v>
                </c:pt>
                <c:pt idx="1388">
                  <c:v>40.802828354596642</c:v>
                </c:pt>
                <c:pt idx="1389">
                  <c:v>30.000006832286932</c:v>
                </c:pt>
                <c:pt idx="1390">
                  <c:v>30.000006832286932</c:v>
                </c:pt>
                <c:pt idx="1392">
                  <c:v>0</c:v>
                </c:pt>
                <c:pt idx="1393">
                  <c:v>10.80282152230971</c:v>
                </c:pt>
                <c:pt idx="1394">
                  <c:v>10.80282152230971</c:v>
                </c:pt>
                <c:pt idx="1395">
                  <c:v>0</c:v>
                </c:pt>
                <c:pt idx="1396">
                  <c:v>0</c:v>
                </c:pt>
                <c:pt idx="1398">
                  <c:v>30.000006832286932</c:v>
                </c:pt>
                <c:pt idx="1399">
                  <c:v>40.802828354596642</c:v>
                </c:pt>
                <c:pt idx="1400">
                  <c:v>40.802828354596642</c:v>
                </c:pt>
                <c:pt idx="1401">
                  <c:v>30.000006832286932</c:v>
                </c:pt>
                <c:pt idx="1402">
                  <c:v>30.000006832286932</c:v>
                </c:pt>
                <c:pt idx="1404">
                  <c:v>0</c:v>
                </c:pt>
                <c:pt idx="1405">
                  <c:v>10.80282152230971</c:v>
                </c:pt>
                <c:pt idx="1406">
                  <c:v>10.80282152230971</c:v>
                </c:pt>
                <c:pt idx="1407">
                  <c:v>0</c:v>
                </c:pt>
                <c:pt idx="1408">
                  <c:v>0</c:v>
                </c:pt>
                <c:pt idx="1410">
                  <c:v>30.000006832286932</c:v>
                </c:pt>
                <c:pt idx="1411">
                  <c:v>40.802828354596642</c:v>
                </c:pt>
                <c:pt idx="1412">
                  <c:v>40.802828354596642</c:v>
                </c:pt>
                <c:pt idx="1413">
                  <c:v>30.000006832286932</c:v>
                </c:pt>
                <c:pt idx="1414">
                  <c:v>30.000006832286932</c:v>
                </c:pt>
                <c:pt idx="1416">
                  <c:v>0</c:v>
                </c:pt>
                <c:pt idx="1417">
                  <c:v>10.80282152230971</c:v>
                </c:pt>
                <c:pt idx="1418">
                  <c:v>10.80282152230971</c:v>
                </c:pt>
                <c:pt idx="1419">
                  <c:v>0</c:v>
                </c:pt>
                <c:pt idx="1420">
                  <c:v>0</c:v>
                </c:pt>
                <c:pt idx="1422">
                  <c:v>30.000006832286932</c:v>
                </c:pt>
                <c:pt idx="1423">
                  <c:v>40.802828354596642</c:v>
                </c:pt>
                <c:pt idx="1424">
                  <c:v>40.802828354596642</c:v>
                </c:pt>
                <c:pt idx="1425">
                  <c:v>30.000006832286932</c:v>
                </c:pt>
                <c:pt idx="1426">
                  <c:v>30.000006832286932</c:v>
                </c:pt>
                <c:pt idx="1428">
                  <c:v>0</c:v>
                </c:pt>
                <c:pt idx="1429">
                  <c:v>10.80282152230971</c:v>
                </c:pt>
                <c:pt idx="1430">
                  <c:v>10.80282152230971</c:v>
                </c:pt>
                <c:pt idx="1431">
                  <c:v>0</c:v>
                </c:pt>
                <c:pt idx="1432">
                  <c:v>0</c:v>
                </c:pt>
                <c:pt idx="1434">
                  <c:v>30.000006832286932</c:v>
                </c:pt>
                <c:pt idx="1435">
                  <c:v>40.802828354596642</c:v>
                </c:pt>
                <c:pt idx="1436">
                  <c:v>40.802828354596642</c:v>
                </c:pt>
                <c:pt idx="1437">
                  <c:v>30.000006832286932</c:v>
                </c:pt>
                <c:pt idx="1438">
                  <c:v>30.000006832286932</c:v>
                </c:pt>
                <c:pt idx="1440">
                  <c:v>0</c:v>
                </c:pt>
                <c:pt idx="1441">
                  <c:v>10.80282152230971</c:v>
                </c:pt>
                <c:pt idx="1442">
                  <c:v>10.80282152230971</c:v>
                </c:pt>
                <c:pt idx="1443">
                  <c:v>0</c:v>
                </c:pt>
                <c:pt idx="1444">
                  <c:v>0</c:v>
                </c:pt>
                <c:pt idx="1446">
                  <c:v>30.000006832286932</c:v>
                </c:pt>
                <c:pt idx="1447">
                  <c:v>40.802828354596642</c:v>
                </c:pt>
                <c:pt idx="1448">
                  <c:v>40.802828354596642</c:v>
                </c:pt>
                <c:pt idx="1449">
                  <c:v>30.000006832286932</c:v>
                </c:pt>
                <c:pt idx="1450">
                  <c:v>30.000006832286932</c:v>
                </c:pt>
                <c:pt idx="1452">
                  <c:v>0</c:v>
                </c:pt>
                <c:pt idx="1453">
                  <c:v>10.80282152230971</c:v>
                </c:pt>
                <c:pt idx="1454">
                  <c:v>10.80282152230971</c:v>
                </c:pt>
                <c:pt idx="1455">
                  <c:v>0</c:v>
                </c:pt>
                <c:pt idx="1456">
                  <c:v>0</c:v>
                </c:pt>
                <c:pt idx="1458">
                  <c:v>30.000006832286932</c:v>
                </c:pt>
                <c:pt idx="1459">
                  <c:v>40.802828354596642</c:v>
                </c:pt>
                <c:pt idx="1460">
                  <c:v>40.802828354596642</c:v>
                </c:pt>
                <c:pt idx="1461">
                  <c:v>30.000006832286932</c:v>
                </c:pt>
                <c:pt idx="1462">
                  <c:v>30.000006832286932</c:v>
                </c:pt>
                <c:pt idx="1464">
                  <c:v>0</c:v>
                </c:pt>
                <c:pt idx="1465">
                  <c:v>10.80282152230971</c:v>
                </c:pt>
                <c:pt idx="1466">
                  <c:v>10.80282152230971</c:v>
                </c:pt>
                <c:pt idx="1467">
                  <c:v>0</c:v>
                </c:pt>
                <c:pt idx="1468">
                  <c:v>0</c:v>
                </c:pt>
                <c:pt idx="1470">
                  <c:v>30.000006832286932</c:v>
                </c:pt>
                <c:pt idx="1471">
                  <c:v>40.802828354596642</c:v>
                </c:pt>
                <c:pt idx="1472">
                  <c:v>40.802828354596642</c:v>
                </c:pt>
                <c:pt idx="1473">
                  <c:v>30.000006832286932</c:v>
                </c:pt>
                <c:pt idx="1474">
                  <c:v>30.000006832286932</c:v>
                </c:pt>
                <c:pt idx="1476">
                  <c:v>0</c:v>
                </c:pt>
                <c:pt idx="1477">
                  <c:v>10.80282152230971</c:v>
                </c:pt>
                <c:pt idx="1478">
                  <c:v>10.80282152230971</c:v>
                </c:pt>
                <c:pt idx="1479">
                  <c:v>0</c:v>
                </c:pt>
                <c:pt idx="1480">
                  <c:v>0</c:v>
                </c:pt>
                <c:pt idx="1482">
                  <c:v>30.000006832286932</c:v>
                </c:pt>
                <c:pt idx="1483">
                  <c:v>40.802828354596642</c:v>
                </c:pt>
                <c:pt idx="1484">
                  <c:v>40.802828354596642</c:v>
                </c:pt>
                <c:pt idx="1485">
                  <c:v>30.000006832286932</c:v>
                </c:pt>
                <c:pt idx="1486">
                  <c:v>30.000006832286932</c:v>
                </c:pt>
                <c:pt idx="1488">
                  <c:v>0</c:v>
                </c:pt>
                <c:pt idx="1489">
                  <c:v>10.80282152230971</c:v>
                </c:pt>
                <c:pt idx="1490">
                  <c:v>10.80282152230971</c:v>
                </c:pt>
                <c:pt idx="1491">
                  <c:v>0</c:v>
                </c:pt>
                <c:pt idx="1492">
                  <c:v>0</c:v>
                </c:pt>
                <c:pt idx="1494">
                  <c:v>30.000006832286932</c:v>
                </c:pt>
                <c:pt idx="1495">
                  <c:v>40.802828354596642</c:v>
                </c:pt>
                <c:pt idx="1496">
                  <c:v>40.802828354596642</c:v>
                </c:pt>
                <c:pt idx="1497">
                  <c:v>30.000006832286932</c:v>
                </c:pt>
                <c:pt idx="1498">
                  <c:v>30.000006832286932</c:v>
                </c:pt>
                <c:pt idx="1500">
                  <c:v>0</c:v>
                </c:pt>
                <c:pt idx="1501">
                  <c:v>10.80282152230971</c:v>
                </c:pt>
                <c:pt idx="1502">
                  <c:v>10.80282152230971</c:v>
                </c:pt>
                <c:pt idx="1503">
                  <c:v>0</c:v>
                </c:pt>
                <c:pt idx="1504">
                  <c:v>0</c:v>
                </c:pt>
                <c:pt idx="1506">
                  <c:v>30.000006832286932</c:v>
                </c:pt>
                <c:pt idx="1507">
                  <c:v>40.802828354596642</c:v>
                </c:pt>
                <c:pt idx="1508">
                  <c:v>40.802828354596642</c:v>
                </c:pt>
                <c:pt idx="1509">
                  <c:v>30.000006832286932</c:v>
                </c:pt>
                <c:pt idx="1510">
                  <c:v>30.000006832286932</c:v>
                </c:pt>
                <c:pt idx="1512">
                  <c:v>0</c:v>
                </c:pt>
                <c:pt idx="1513">
                  <c:v>10.80282152230971</c:v>
                </c:pt>
                <c:pt idx="1514">
                  <c:v>10.80282152230971</c:v>
                </c:pt>
                <c:pt idx="1515">
                  <c:v>0</c:v>
                </c:pt>
                <c:pt idx="1516">
                  <c:v>0</c:v>
                </c:pt>
                <c:pt idx="1518">
                  <c:v>30.000006832286932</c:v>
                </c:pt>
                <c:pt idx="1519">
                  <c:v>40.802828354596642</c:v>
                </c:pt>
                <c:pt idx="1520">
                  <c:v>40.802828354596642</c:v>
                </c:pt>
                <c:pt idx="1521">
                  <c:v>30.000006832286932</c:v>
                </c:pt>
                <c:pt idx="1522">
                  <c:v>30.000006832286932</c:v>
                </c:pt>
                <c:pt idx="1524">
                  <c:v>0</c:v>
                </c:pt>
                <c:pt idx="1525">
                  <c:v>10.80282152230971</c:v>
                </c:pt>
                <c:pt idx="1526">
                  <c:v>10.80282152230971</c:v>
                </c:pt>
                <c:pt idx="1527">
                  <c:v>0</c:v>
                </c:pt>
                <c:pt idx="1528">
                  <c:v>0</c:v>
                </c:pt>
                <c:pt idx="1530">
                  <c:v>30.000006832286932</c:v>
                </c:pt>
                <c:pt idx="1531">
                  <c:v>40.802828354596642</c:v>
                </c:pt>
                <c:pt idx="1532">
                  <c:v>40.802828354596642</c:v>
                </c:pt>
                <c:pt idx="1533">
                  <c:v>30.000006832286932</c:v>
                </c:pt>
                <c:pt idx="1534">
                  <c:v>30.000006832286932</c:v>
                </c:pt>
                <c:pt idx="1536">
                  <c:v>0</c:v>
                </c:pt>
                <c:pt idx="1537">
                  <c:v>10.80282152230971</c:v>
                </c:pt>
                <c:pt idx="1538">
                  <c:v>10.80282152230971</c:v>
                </c:pt>
                <c:pt idx="1539">
                  <c:v>0</c:v>
                </c:pt>
                <c:pt idx="1540">
                  <c:v>0</c:v>
                </c:pt>
                <c:pt idx="1542">
                  <c:v>30.000006832286932</c:v>
                </c:pt>
                <c:pt idx="1543">
                  <c:v>40.802828354596642</c:v>
                </c:pt>
                <c:pt idx="1544">
                  <c:v>40.802828354596642</c:v>
                </c:pt>
                <c:pt idx="1545">
                  <c:v>30.000006832286932</c:v>
                </c:pt>
                <c:pt idx="1546">
                  <c:v>30.000006832286932</c:v>
                </c:pt>
                <c:pt idx="1548">
                  <c:v>0</c:v>
                </c:pt>
                <c:pt idx="1549">
                  <c:v>10.80282152230971</c:v>
                </c:pt>
                <c:pt idx="1550">
                  <c:v>10.80282152230971</c:v>
                </c:pt>
                <c:pt idx="1551">
                  <c:v>0</c:v>
                </c:pt>
                <c:pt idx="1552">
                  <c:v>0</c:v>
                </c:pt>
                <c:pt idx="1554">
                  <c:v>30.000006832286932</c:v>
                </c:pt>
                <c:pt idx="1555">
                  <c:v>40.802828354596642</c:v>
                </c:pt>
                <c:pt idx="1556">
                  <c:v>40.802828354596642</c:v>
                </c:pt>
                <c:pt idx="1557">
                  <c:v>30.000006832286932</c:v>
                </c:pt>
                <c:pt idx="1558">
                  <c:v>30.000006832286932</c:v>
                </c:pt>
                <c:pt idx="1560">
                  <c:v>0</c:v>
                </c:pt>
                <c:pt idx="1561">
                  <c:v>10.80282152230971</c:v>
                </c:pt>
                <c:pt idx="1562">
                  <c:v>10.80282152230971</c:v>
                </c:pt>
                <c:pt idx="1563">
                  <c:v>0</c:v>
                </c:pt>
                <c:pt idx="1564">
                  <c:v>0</c:v>
                </c:pt>
                <c:pt idx="1566">
                  <c:v>30.000006832286932</c:v>
                </c:pt>
                <c:pt idx="1567">
                  <c:v>40.802828354596642</c:v>
                </c:pt>
                <c:pt idx="1568">
                  <c:v>40.802828354596642</c:v>
                </c:pt>
                <c:pt idx="1569">
                  <c:v>30.000006832286932</c:v>
                </c:pt>
                <c:pt idx="1570">
                  <c:v>30.000006832286932</c:v>
                </c:pt>
                <c:pt idx="1572">
                  <c:v>0</c:v>
                </c:pt>
                <c:pt idx="1573">
                  <c:v>10.80282152230971</c:v>
                </c:pt>
                <c:pt idx="1574">
                  <c:v>10.80282152230971</c:v>
                </c:pt>
                <c:pt idx="1575">
                  <c:v>0</c:v>
                </c:pt>
                <c:pt idx="1576">
                  <c:v>0</c:v>
                </c:pt>
                <c:pt idx="1578">
                  <c:v>30.000006832286932</c:v>
                </c:pt>
                <c:pt idx="1579">
                  <c:v>40.802828354596642</c:v>
                </c:pt>
                <c:pt idx="1580">
                  <c:v>40.802828354596642</c:v>
                </c:pt>
                <c:pt idx="1581">
                  <c:v>30.000006832286932</c:v>
                </c:pt>
                <c:pt idx="1582">
                  <c:v>30.000006832286932</c:v>
                </c:pt>
                <c:pt idx="1584">
                  <c:v>0</c:v>
                </c:pt>
                <c:pt idx="1585">
                  <c:v>10.80282152230971</c:v>
                </c:pt>
                <c:pt idx="1586">
                  <c:v>10.80282152230971</c:v>
                </c:pt>
                <c:pt idx="1587">
                  <c:v>0</c:v>
                </c:pt>
                <c:pt idx="1588">
                  <c:v>0</c:v>
                </c:pt>
                <c:pt idx="1590">
                  <c:v>30.000006832286932</c:v>
                </c:pt>
                <c:pt idx="1591">
                  <c:v>40.802828354596642</c:v>
                </c:pt>
                <c:pt idx="1592">
                  <c:v>40.802828354596642</c:v>
                </c:pt>
                <c:pt idx="1593">
                  <c:v>30.000006832286932</c:v>
                </c:pt>
                <c:pt idx="1594">
                  <c:v>30.000006832286932</c:v>
                </c:pt>
                <c:pt idx="1596">
                  <c:v>0</c:v>
                </c:pt>
                <c:pt idx="1597">
                  <c:v>10.80282152230971</c:v>
                </c:pt>
                <c:pt idx="1598">
                  <c:v>10.80282152230971</c:v>
                </c:pt>
                <c:pt idx="1599">
                  <c:v>0</c:v>
                </c:pt>
                <c:pt idx="1600">
                  <c:v>0</c:v>
                </c:pt>
                <c:pt idx="1602">
                  <c:v>30.000006832286932</c:v>
                </c:pt>
                <c:pt idx="1603">
                  <c:v>40.802828354596642</c:v>
                </c:pt>
                <c:pt idx="1604">
                  <c:v>40.802828354596642</c:v>
                </c:pt>
                <c:pt idx="1605">
                  <c:v>30.000006832286932</c:v>
                </c:pt>
                <c:pt idx="1606">
                  <c:v>30.000006832286932</c:v>
                </c:pt>
                <c:pt idx="1608">
                  <c:v>0</c:v>
                </c:pt>
                <c:pt idx="1609">
                  <c:v>10.80282152230971</c:v>
                </c:pt>
                <c:pt idx="1610">
                  <c:v>10.80282152230971</c:v>
                </c:pt>
                <c:pt idx="1611">
                  <c:v>0</c:v>
                </c:pt>
                <c:pt idx="1612">
                  <c:v>0</c:v>
                </c:pt>
                <c:pt idx="1614">
                  <c:v>30.000006832286932</c:v>
                </c:pt>
                <c:pt idx="1615">
                  <c:v>40.802828354596642</c:v>
                </c:pt>
                <c:pt idx="1616">
                  <c:v>40.802828354596642</c:v>
                </c:pt>
                <c:pt idx="1617">
                  <c:v>30.000006832286932</c:v>
                </c:pt>
                <c:pt idx="1618">
                  <c:v>30.000006832286932</c:v>
                </c:pt>
                <c:pt idx="1620">
                  <c:v>0</c:v>
                </c:pt>
                <c:pt idx="1621">
                  <c:v>10.80282152230971</c:v>
                </c:pt>
                <c:pt idx="1622">
                  <c:v>10.80282152230971</c:v>
                </c:pt>
                <c:pt idx="1623">
                  <c:v>0</c:v>
                </c:pt>
                <c:pt idx="1624">
                  <c:v>0</c:v>
                </c:pt>
                <c:pt idx="1626">
                  <c:v>30.000006832286932</c:v>
                </c:pt>
                <c:pt idx="1627">
                  <c:v>40.802828354596642</c:v>
                </c:pt>
                <c:pt idx="1628">
                  <c:v>40.802828354596642</c:v>
                </c:pt>
                <c:pt idx="1629">
                  <c:v>30.000006832286932</c:v>
                </c:pt>
                <c:pt idx="1630">
                  <c:v>30.000006832286932</c:v>
                </c:pt>
                <c:pt idx="1632">
                  <c:v>0</c:v>
                </c:pt>
                <c:pt idx="1633">
                  <c:v>10.80282152230971</c:v>
                </c:pt>
                <c:pt idx="1634">
                  <c:v>10.80282152230971</c:v>
                </c:pt>
                <c:pt idx="1635">
                  <c:v>0</c:v>
                </c:pt>
                <c:pt idx="1636">
                  <c:v>0</c:v>
                </c:pt>
                <c:pt idx="1638">
                  <c:v>30.000006832286932</c:v>
                </c:pt>
                <c:pt idx="1639">
                  <c:v>40.802828354596642</c:v>
                </c:pt>
                <c:pt idx="1640">
                  <c:v>40.802828354596642</c:v>
                </c:pt>
                <c:pt idx="1641">
                  <c:v>30.000006832286932</c:v>
                </c:pt>
                <c:pt idx="1642">
                  <c:v>30.000006832286932</c:v>
                </c:pt>
                <c:pt idx="1644">
                  <c:v>0</c:v>
                </c:pt>
                <c:pt idx="1645">
                  <c:v>10.80282152230971</c:v>
                </c:pt>
                <c:pt idx="1646">
                  <c:v>10.80282152230971</c:v>
                </c:pt>
                <c:pt idx="1647">
                  <c:v>0</c:v>
                </c:pt>
                <c:pt idx="1648">
                  <c:v>0</c:v>
                </c:pt>
                <c:pt idx="1650">
                  <c:v>30.000006832286932</c:v>
                </c:pt>
                <c:pt idx="1651">
                  <c:v>40.802828354596642</c:v>
                </c:pt>
                <c:pt idx="1652">
                  <c:v>40.802828354596642</c:v>
                </c:pt>
                <c:pt idx="1653">
                  <c:v>30.000006832286932</c:v>
                </c:pt>
                <c:pt idx="1654">
                  <c:v>30.000006832286932</c:v>
                </c:pt>
                <c:pt idx="1656">
                  <c:v>0</c:v>
                </c:pt>
                <c:pt idx="1657">
                  <c:v>10.80282152230971</c:v>
                </c:pt>
                <c:pt idx="1658">
                  <c:v>10.80282152230971</c:v>
                </c:pt>
                <c:pt idx="1659">
                  <c:v>0</c:v>
                </c:pt>
                <c:pt idx="1660">
                  <c:v>0</c:v>
                </c:pt>
                <c:pt idx="1662">
                  <c:v>30.000006832286932</c:v>
                </c:pt>
                <c:pt idx="1663">
                  <c:v>40.802828354596642</c:v>
                </c:pt>
                <c:pt idx="1664">
                  <c:v>40.802828354596642</c:v>
                </c:pt>
                <c:pt idx="1665">
                  <c:v>30.000006832286932</c:v>
                </c:pt>
                <c:pt idx="1666">
                  <c:v>30.000006832286932</c:v>
                </c:pt>
                <c:pt idx="1668">
                  <c:v>0</c:v>
                </c:pt>
                <c:pt idx="1669">
                  <c:v>10.80282152230971</c:v>
                </c:pt>
                <c:pt idx="1670">
                  <c:v>10.80282152230971</c:v>
                </c:pt>
                <c:pt idx="1671">
                  <c:v>0</c:v>
                </c:pt>
                <c:pt idx="1672">
                  <c:v>0</c:v>
                </c:pt>
                <c:pt idx="1674">
                  <c:v>30.000006832286932</c:v>
                </c:pt>
                <c:pt idx="1675">
                  <c:v>40.802828354596642</c:v>
                </c:pt>
                <c:pt idx="1676">
                  <c:v>40.802828354596642</c:v>
                </c:pt>
                <c:pt idx="1677">
                  <c:v>30.000006832286932</c:v>
                </c:pt>
                <c:pt idx="1678">
                  <c:v>30.000006832286932</c:v>
                </c:pt>
                <c:pt idx="1680">
                  <c:v>0</c:v>
                </c:pt>
                <c:pt idx="1681">
                  <c:v>10.80282152230971</c:v>
                </c:pt>
                <c:pt idx="1682">
                  <c:v>10.80282152230971</c:v>
                </c:pt>
                <c:pt idx="1683">
                  <c:v>0</c:v>
                </c:pt>
                <c:pt idx="1684">
                  <c:v>0</c:v>
                </c:pt>
                <c:pt idx="1686">
                  <c:v>30.000006832286932</c:v>
                </c:pt>
                <c:pt idx="1687">
                  <c:v>40.802828354596642</c:v>
                </c:pt>
                <c:pt idx="1688">
                  <c:v>40.802828354596642</c:v>
                </c:pt>
                <c:pt idx="1689">
                  <c:v>30.000006832286932</c:v>
                </c:pt>
                <c:pt idx="1690">
                  <c:v>30.000006832286932</c:v>
                </c:pt>
                <c:pt idx="1692">
                  <c:v>0</c:v>
                </c:pt>
                <c:pt idx="1693">
                  <c:v>10.80282152230971</c:v>
                </c:pt>
                <c:pt idx="1694">
                  <c:v>10.80282152230971</c:v>
                </c:pt>
                <c:pt idx="1695">
                  <c:v>0</c:v>
                </c:pt>
                <c:pt idx="1696">
                  <c:v>0</c:v>
                </c:pt>
                <c:pt idx="1698">
                  <c:v>30.000006832286932</c:v>
                </c:pt>
                <c:pt idx="1699">
                  <c:v>40.802828354596642</c:v>
                </c:pt>
                <c:pt idx="1700">
                  <c:v>40.802828354596642</c:v>
                </c:pt>
                <c:pt idx="1701">
                  <c:v>30.000006832286932</c:v>
                </c:pt>
                <c:pt idx="1702">
                  <c:v>30.000006832286932</c:v>
                </c:pt>
                <c:pt idx="1704">
                  <c:v>0</c:v>
                </c:pt>
                <c:pt idx="1705">
                  <c:v>10.80282152230971</c:v>
                </c:pt>
                <c:pt idx="1706">
                  <c:v>10.80282152230971</c:v>
                </c:pt>
                <c:pt idx="1707">
                  <c:v>0</c:v>
                </c:pt>
                <c:pt idx="1708">
                  <c:v>0</c:v>
                </c:pt>
                <c:pt idx="1710">
                  <c:v>30.000006832286932</c:v>
                </c:pt>
                <c:pt idx="1711">
                  <c:v>40.802828354596642</c:v>
                </c:pt>
                <c:pt idx="1712">
                  <c:v>40.802828354596642</c:v>
                </c:pt>
                <c:pt idx="1713">
                  <c:v>30.000006832286932</c:v>
                </c:pt>
                <c:pt idx="1714">
                  <c:v>30.000006832286932</c:v>
                </c:pt>
                <c:pt idx="1716">
                  <c:v>0</c:v>
                </c:pt>
                <c:pt idx="1717">
                  <c:v>10.80282152230971</c:v>
                </c:pt>
                <c:pt idx="1718">
                  <c:v>10.80282152230971</c:v>
                </c:pt>
                <c:pt idx="1719">
                  <c:v>0</c:v>
                </c:pt>
                <c:pt idx="1720">
                  <c:v>0</c:v>
                </c:pt>
                <c:pt idx="1722">
                  <c:v>30.000006832286932</c:v>
                </c:pt>
                <c:pt idx="1723">
                  <c:v>40.802828354596642</c:v>
                </c:pt>
                <c:pt idx="1724">
                  <c:v>40.802828354596642</c:v>
                </c:pt>
                <c:pt idx="1725">
                  <c:v>30.000006832286932</c:v>
                </c:pt>
                <c:pt idx="1726">
                  <c:v>30.000006832286932</c:v>
                </c:pt>
                <c:pt idx="1728">
                  <c:v>0</c:v>
                </c:pt>
                <c:pt idx="1729">
                  <c:v>10.80282152230971</c:v>
                </c:pt>
                <c:pt idx="1730">
                  <c:v>10.80282152230971</c:v>
                </c:pt>
                <c:pt idx="1731">
                  <c:v>0</c:v>
                </c:pt>
                <c:pt idx="1732">
                  <c:v>0</c:v>
                </c:pt>
                <c:pt idx="1734">
                  <c:v>30.000006832286932</c:v>
                </c:pt>
                <c:pt idx="1735">
                  <c:v>40.802828354596642</c:v>
                </c:pt>
                <c:pt idx="1736">
                  <c:v>40.802828354596642</c:v>
                </c:pt>
                <c:pt idx="1737">
                  <c:v>30.000006832286932</c:v>
                </c:pt>
                <c:pt idx="1738">
                  <c:v>30.000006832286932</c:v>
                </c:pt>
                <c:pt idx="1740">
                  <c:v>0</c:v>
                </c:pt>
                <c:pt idx="1741">
                  <c:v>10.80282152230971</c:v>
                </c:pt>
                <c:pt idx="1742">
                  <c:v>10.80282152230971</c:v>
                </c:pt>
                <c:pt idx="1743">
                  <c:v>0</c:v>
                </c:pt>
                <c:pt idx="1744">
                  <c:v>0</c:v>
                </c:pt>
                <c:pt idx="1746">
                  <c:v>30.000006832286932</c:v>
                </c:pt>
                <c:pt idx="1747">
                  <c:v>40.802828354596642</c:v>
                </c:pt>
                <c:pt idx="1748">
                  <c:v>40.802828354596642</c:v>
                </c:pt>
                <c:pt idx="1749">
                  <c:v>30.000006832286932</c:v>
                </c:pt>
                <c:pt idx="1750">
                  <c:v>30.000006832286932</c:v>
                </c:pt>
                <c:pt idx="1752">
                  <c:v>0</c:v>
                </c:pt>
                <c:pt idx="1753">
                  <c:v>10.80282152230971</c:v>
                </c:pt>
                <c:pt idx="1754">
                  <c:v>10.80282152230971</c:v>
                </c:pt>
                <c:pt idx="1755">
                  <c:v>0</c:v>
                </c:pt>
                <c:pt idx="1756">
                  <c:v>0</c:v>
                </c:pt>
                <c:pt idx="1758">
                  <c:v>30.000006832286932</c:v>
                </c:pt>
                <c:pt idx="1759">
                  <c:v>40.802828354596642</c:v>
                </c:pt>
                <c:pt idx="1760">
                  <c:v>40.802828354596642</c:v>
                </c:pt>
                <c:pt idx="1761">
                  <c:v>30.000006832286932</c:v>
                </c:pt>
                <c:pt idx="1762">
                  <c:v>30.000006832286932</c:v>
                </c:pt>
                <c:pt idx="1764">
                  <c:v>0</c:v>
                </c:pt>
                <c:pt idx="1765">
                  <c:v>10.80282152230971</c:v>
                </c:pt>
                <c:pt idx="1766">
                  <c:v>10.80282152230971</c:v>
                </c:pt>
                <c:pt idx="1767">
                  <c:v>0</c:v>
                </c:pt>
                <c:pt idx="1768">
                  <c:v>0</c:v>
                </c:pt>
                <c:pt idx="1770">
                  <c:v>30.000006832286932</c:v>
                </c:pt>
                <c:pt idx="1771">
                  <c:v>40.802828354596642</c:v>
                </c:pt>
                <c:pt idx="1772">
                  <c:v>40.802828354596642</c:v>
                </c:pt>
                <c:pt idx="1773">
                  <c:v>30.000006832286932</c:v>
                </c:pt>
                <c:pt idx="1774">
                  <c:v>30.000006832286932</c:v>
                </c:pt>
                <c:pt idx="1776">
                  <c:v>0</c:v>
                </c:pt>
                <c:pt idx="1777">
                  <c:v>10.80282152230971</c:v>
                </c:pt>
                <c:pt idx="1778">
                  <c:v>10.80282152230971</c:v>
                </c:pt>
                <c:pt idx="1779">
                  <c:v>0</c:v>
                </c:pt>
                <c:pt idx="1780">
                  <c:v>0</c:v>
                </c:pt>
                <c:pt idx="1782">
                  <c:v>30.000006832286932</c:v>
                </c:pt>
                <c:pt idx="1783">
                  <c:v>40.802828354596642</c:v>
                </c:pt>
                <c:pt idx="1784">
                  <c:v>40.802828354596642</c:v>
                </c:pt>
                <c:pt idx="1785">
                  <c:v>30.000006832286932</c:v>
                </c:pt>
                <c:pt idx="1786">
                  <c:v>30.000006832286932</c:v>
                </c:pt>
                <c:pt idx="1788">
                  <c:v>0</c:v>
                </c:pt>
                <c:pt idx="1789">
                  <c:v>10.80282152230971</c:v>
                </c:pt>
                <c:pt idx="1790">
                  <c:v>10.80282152230971</c:v>
                </c:pt>
                <c:pt idx="1791">
                  <c:v>0</c:v>
                </c:pt>
                <c:pt idx="1792">
                  <c:v>0</c:v>
                </c:pt>
                <c:pt idx="1794">
                  <c:v>30.000006832286932</c:v>
                </c:pt>
                <c:pt idx="1795">
                  <c:v>40.802828354596642</c:v>
                </c:pt>
                <c:pt idx="1796">
                  <c:v>40.802828354596642</c:v>
                </c:pt>
                <c:pt idx="1797">
                  <c:v>30.000006832286932</c:v>
                </c:pt>
                <c:pt idx="1798">
                  <c:v>30.000006832286932</c:v>
                </c:pt>
                <c:pt idx="1800">
                  <c:v>0</c:v>
                </c:pt>
                <c:pt idx="1801">
                  <c:v>10.80282152230971</c:v>
                </c:pt>
                <c:pt idx="1802">
                  <c:v>10.80282152230971</c:v>
                </c:pt>
                <c:pt idx="1803">
                  <c:v>0</c:v>
                </c:pt>
                <c:pt idx="1804">
                  <c:v>0</c:v>
                </c:pt>
                <c:pt idx="1806">
                  <c:v>30.000006832286932</c:v>
                </c:pt>
                <c:pt idx="1807">
                  <c:v>40.802828354596642</c:v>
                </c:pt>
                <c:pt idx="1808">
                  <c:v>40.802828354596642</c:v>
                </c:pt>
                <c:pt idx="1809">
                  <c:v>30.000006832286932</c:v>
                </c:pt>
                <c:pt idx="1810">
                  <c:v>30.000006832286932</c:v>
                </c:pt>
                <c:pt idx="1812">
                  <c:v>0</c:v>
                </c:pt>
                <c:pt idx="1813">
                  <c:v>10.80282152230971</c:v>
                </c:pt>
                <c:pt idx="1814">
                  <c:v>10.80282152230971</c:v>
                </c:pt>
                <c:pt idx="1815">
                  <c:v>0</c:v>
                </c:pt>
                <c:pt idx="1816">
                  <c:v>0</c:v>
                </c:pt>
                <c:pt idx="1818">
                  <c:v>30.000006832286932</c:v>
                </c:pt>
                <c:pt idx="1819">
                  <c:v>40.802828354596642</c:v>
                </c:pt>
                <c:pt idx="1820">
                  <c:v>40.802828354596642</c:v>
                </c:pt>
                <c:pt idx="1821">
                  <c:v>30.000006832286932</c:v>
                </c:pt>
                <c:pt idx="1822">
                  <c:v>30.000006832286932</c:v>
                </c:pt>
                <c:pt idx="1824">
                  <c:v>0</c:v>
                </c:pt>
                <c:pt idx="1825">
                  <c:v>10.80282152230971</c:v>
                </c:pt>
                <c:pt idx="1826">
                  <c:v>10.80282152230971</c:v>
                </c:pt>
                <c:pt idx="1827">
                  <c:v>0</c:v>
                </c:pt>
                <c:pt idx="1828">
                  <c:v>0</c:v>
                </c:pt>
                <c:pt idx="1830">
                  <c:v>30.000006832286932</c:v>
                </c:pt>
                <c:pt idx="1831">
                  <c:v>40.802828354596642</c:v>
                </c:pt>
                <c:pt idx="1832">
                  <c:v>40.802828354596642</c:v>
                </c:pt>
                <c:pt idx="1833">
                  <c:v>30.000006832286932</c:v>
                </c:pt>
                <c:pt idx="1834">
                  <c:v>30.000006832286932</c:v>
                </c:pt>
                <c:pt idx="1836">
                  <c:v>0</c:v>
                </c:pt>
                <c:pt idx="1837">
                  <c:v>10.80282152230971</c:v>
                </c:pt>
                <c:pt idx="1838">
                  <c:v>10.80282152230971</c:v>
                </c:pt>
                <c:pt idx="1839">
                  <c:v>0</c:v>
                </c:pt>
                <c:pt idx="1840">
                  <c:v>0</c:v>
                </c:pt>
                <c:pt idx="1842">
                  <c:v>30.000006832286932</c:v>
                </c:pt>
                <c:pt idx="1843">
                  <c:v>40.802828354596642</c:v>
                </c:pt>
                <c:pt idx="1844">
                  <c:v>40.802828354596642</c:v>
                </c:pt>
                <c:pt idx="1845">
                  <c:v>30.000006832286932</c:v>
                </c:pt>
                <c:pt idx="1846">
                  <c:v>30.000006832286932</c:v>
                </c:pt>
                <c:pt idx="1848">
                  <c:v>0</c:v>
                </c:pt>
                <c:pt idx="1849">
                  <c:v>10.80282152230971</c:v>
                </c:pt>
                <c:pt idx="1850">
                  <c:v>10.80282152230971</c:v>
                </c:pt>
                <c:pt idx="1851">
                  <c:v>0</c:v>
                </c:pt>
                <c:pt idx="1852">
                  <c:v>0</c:v>
                </c:pt>
                <c:pt idx="1854">
                  <c:v>30.000006832286932</c:v>
                </c:pt>
                <c:pt idx="1855">
                  <c:v>40.802828354596642</c:v>
                </c:pt>
                <c:pt idx="1856">
                  <c:v>40.802828354596642</c:v>
                </c:pt>
                <c:pt idx="1857">
                  <c:v>30.000006832286932</c:v>
                </c:pt>
                <c:pt idx="1858">
                  <c:v>30.000006832286932</c:v>
                </c:pt>
                <c:pt idx="1860">
                  <c:v>0</c:v>
                </c:pt>
                <c:pt idx="1861">
                  <c:v>10.80282152230971</c:v>
                </c:pt>
                <c:pt idx="1862">
                  <c:v>10.80282152230971</c:v>
                </c:pt>
                <c:pt idx="1863">
                  <c:v>0</c:v>
                </c:pt>
                <c:pt idx="1864">
                  <c:v>0</c:v>
                </c:pt>
                <c:pt idx="1866">
                  <c:v>30.000006832286932</c:v>
                </c:pt>
                <c:pt idx="1867">
                  <c:v>40.802828354596642</c:v>
                </c:pt>
                <c:pt idx="1868">
                  <c:v>40.802828354596642</c:v>
                </c:pt>
                <c:pt idx="1869">
                  <c:v>30.000006832286932</c:v>
                </c:pt>
                <c:pt idx="1870">
                  <c:v>30.000006832286932</c:v>
                </c:pt>
                <c:pt idx="1872">
                  <c:v>0</c:v>
                </c:pt>
                <c:pt idx="1873">
                  <c:v>10.80282152230971</c:v>
                </c:pt>
                <c:pt idx="1874">
                  <c:v>10.80282152230971</c:v>
                </c:pt>
                <c:pt idx="1875">
                  <c:v>0</c:v>
                </c:pt>
                <c:pt idx="1876">
                  <c:v>0</c:v>
                </c:pt>
                <c:pt idx="1878">
                  <c:v>30.000006832286932</c:v>
                </c:pt>
                <c:pt idx="1879">
                  <c:v>40.802828354596642</c:v>
                </c:pt>
                <c:pt idx="1880">
                  <c:v>40.802828354596642</c:v>
                </c:pt>
                <c:pt idx="1881">
                  <c:v>30.000006832286932</c:v>
                </c:pt>
                <c:pt idx="1882">
                  <c:v>30.000006832286932</c:v>
                </c:pt>
                <c:pt idx="1884">
                  <c:v>0</c:v>
                </c:pt>
                <c:pt idx="1885">
                  <c:v>10.80282152230971</c:v>
                </c:pt>
                <c:pt idx="1886">
                  <c:v>10.80282152230971</c:v>
                </c:pt>
                <c:pt idx="1887">
                  <c:v>0</c:v>
                </c:pt>
                <c:pt idx="1888">
                  <c:v>0</c:v>
                </c:pt>
                <c:pt idx="1890">
                  <c:v>30.000006832286932</c:v>
                </c:pt>
                <c:pt idx="1891">
                  <c:v>40.802828354596642</c:v>
                </c:pt>
                <c:pt idx="1892">
                  <c:v>40.802828354596642</c:v>
                </c:pt>
                <c:pt idx="1893">
                  <c:v>30.000006832286932</c:v>
                </c:pt>
                <c:pt idx="1894">
                  <c:v>30.000006832286932</c:v>
                </c:pt>
                <c:pt idx="1896">
                  <c:v>0</c:v>
                </c:pt>
                <c:pt idx="1897">
                  <c:v>10.80282152230971</c:v>
                </c:pt>
                <c:pt idx="1898">
                  <c:v>10.80282152230971</c:v>
                </c:pt>
                <c:pt idx="1899">
                  <c:v>0</c:v>
                </c:pt>
                <c:pt idx="1900">
                  <c:v>0</c:v>
                </c:pt>
                <c:pt idx="1902">
                  <c:v>30.000006832286932</c:v>
                </c:pt>
                <c:pt idx="1903">
                  <c:v>40.802828354596642</c:v>
                </c:pt>
                <c:pt idx="1904">
                  <c:v>40.802828354596642</c:v>
                </c:pt>
                <c:pt idx="1905">
                  <c:v>30.000006832286932</c:v>
                </c:pt>
                <c:pt idx="1906">
                  <c:v>30.000006832286932</c:v>
                </c:pt>
                <c:pt idx="1908">
                  <c:v>0</c:v>
                </c:pt>
                <c:pt idx="1909">
                  <c:v>10.80282152230971</c:v>
                </c:pt>
                <c:pt idx="1910">
                  <c:v>10.80282152230971</c:v>
                </c:pt>
                <c:pt idx="1911">
                  <c:v>0</c:v>
                </c:pt>
                <c:pt idx="1912">
                  <c:v>0</c:v>
                </c:pt>
                <c:pt idx="1914">
                  <c:v>30.000006832286932</c:v>
                </c:pt>
                <c:pt idx="1915">
                  <c:v>40.802828354596642</c:v>
                </c:pt>
                <c:pt idx="1916">
                  <c:v>40.802828354596642</c:v>
                </c:pt>
                <c:pt idx="1917">
                  <c:v>30.000006832286932</c:v>
                </c:pt>
                <c:pt idx="1918">
                  <c:v>30.000006832286932</c:v>
                </c:pt>
                <c:pt idx="1920">
                  <c:v>0</c:v>
                </c:pt>
                <c:pt idx="1921">
                  <c:v>10.80282152230971</c:v>
                </c:pt>
                <c:pt idx="1922">
                  <c:v>10.80282152230971</c:v>
                </c:pt>
                <c:pt idx="1923">
                  <c:v>0</c:v>
                </c:pt>
                <c:pt idx="1924">
                  <c:v>0</c:v>
                </c:pt>
                <c:pt idx="1926">
                  <c:v>30.000006832286932</c:v>
                </c:pt>
                <c:pt idx="1927">
                  <c:v>40.802828354596642</c:v>
                </c:pt>
                <c:pt idx="1928">
                  <c:v>40.802828354596642</c:v>
                </c:pt>
                <c:pt idx="1929">
                  <c:v>30.000006832286932</c:v>
                </c:pt>
                <c:pt idx="1930">
                  <c:v>30.000006832286932</c:v>
                </c:pt>
                <c:pt idx="1932">
                  <c:v>0</c:v>
                </c:pt>
                <c:pt idx="1933">
                  <c:v>10.80282152230971</c:v>
                </c:pt>
                <c:pt idx="1934">
                  <c:v>10.80282152230971</c:v>
                </c:pt>
                <c:pt idx="1935">
                  <c:v>0</c:v>
                </c:pt>
                <c:pt idx="1936">
                  <c:v>0</c:v>
                </c:pt>
                <c:pt idx="1938">
                  <c:v>30.000006832286932</c:v>
                </c:pt>
                <c:pt idx="1939">
                  <c:v>40.802828354596642</c:v>
                </c:pt>
                <c:pt idx="1940">
                  <c:v>40.802828354596642</c:v>
                </c:pt>
                <c:pt idx="1941">
                  <c:v>30.000006832286932</c:v>
                </c:pt>
                <c:pt idx="1942">
                  <c:v>30.000006832286932</c:v>
                </c:pt>
                <c:pt idx="1944">
                  <c:v>0</c:v>
                </c:pt>
                <c:pt idx="1945">
                  <c:v>10.80282152230971</c:v>
                </c:pt>
                <c:pt idx="1946">
                  <c:v>10.80282152230971</c:v>
                </c:pt>
                <c:pt idx="1947">
                  <c:v>0</c:v>
                </c:pt>
                <c:pt idx="1948">
                  <c:v>0</c:v>
                </c:pt>
                <c:pt idx="1950">
                  <c:v>30.000006832286932</c:v>
                </c:pt>
                <c:pt idx="1951">
                  <c:v>40.802828354596642</c:v>
                </c:pt>
                <c:pt idx="1952">
                  <c:v>40.802828354596642</c:v>
                </c:pt>
                <c:pt idx="1953">
                  <c:v>30.000006832286932</c:v>
                </c:pt>
                <c:pt idx="1954">
                  <c:v>30.000006832286932</c:v>
                </c:pt>
                <c:pt idx="1956">
                  <c:v>0</c:v>
                </c:pt>
                <c:pt idx="1957">
                  <c:v>10.80282152230971</c:v>
                </c:pt>
                <c:pt idx="1958">
                  <c:v>10.80282152230971</c:v>
                </c:pt>
                <c:pt idx="1959">
                  <c:v>0</c:v>
                </c:pt>
                <c:pt idx="1960">
                  <c:v>0</c:v>
                </c:pt>
                <c:pt idx="1962">
                  <c:v>30.000006832286932</c:v>
                </c:pt>
                <c:pt idx="1963">
                  <c:v>40.802828354596642</c:v>
                </c:pt>
                <c:pt idx="1964">
                  <c:v>40.802828354596642</c:v>
                </c:pt>
                <c:pt idx="1965">
                  <c:v>30.000006832286932</c:v>
                </c:pt>
                <c:pt idx="1966">
                  <c:v>30.000006832286932</c:v>
                </c:pt>
                <c:pt idx="1968">
                  <c:v>0</c:v>
                </c:pt>
                <c:pt idx="1969">
                  <c:v>10.80282152230971</c:v>
                </c:pt>
                <c:pt idx="1970">
                  <c:v>10.80282152230971</c:v>
                </c:pt>
                <c:pt idx="1971">
                  <c:v>0</c:v>
                </c:pt>
                <c:pt idx="1972">
                  <c:v>0</c:v>
                </c:pt>
                <c:pt idx="1974">
                  <c:v>30.000006832286932</c:v>
                </c:pt>
                <c:pt idx="1975">
                  <c:v>40.802828354596642</c:v>
                </c:pt>
                <c:pt idx="1976">
                  <c:v>40.802828354596642</c:v>
                </c:pt>
                <c:pt idx="1977">
                  <c:v>30.000006832286932</c:v>
                </c:pt>
                <c:pt idx="1978">
                  <c:v>30.000006832286932</c:v>
                </c:pt>
                <c:pt idx="1980">
                  <c:v>0</c:v>
                </c:pt>
                <c:pt idx="1981">
                  <c:v>10.80282152230971</c:v>
                </c:pt>
                <c:pt idx="1982">
                  <c:v>10.80282152230971</c:v>
                </c:pt>
                <c:pt idx="1983">
                  <c:v>0</c:v>
                </c:pt>
                <c:pt idx="1984">
                  <c:v>0</c:v>
                </c:pt>
                <c:pt idx="1986">
                  <c:v>30.000006832286932</c:v>
                </c:pt>
                <c:pt idx="1987">
                  <c:v>40.802828354596642</c:v>
                </c:pt>
                <c:pt idx="1988">
                  <c:v>40.802828354596642</c:v>
                </c:pt>
                <c:pt idx="1989">
                  <c:v>30.000006832286932</c:v>
                </c:pt>
                <c:pt idx="1990">
                  <c:v>30.000006832286932</c:v>
                </c:pt>
                <c:pt idx="1992">
                  <c:v>0</c:v>
                </c:pt>
                <c:pt idx="1993">
                  <c:v>10.80282152230971</c:v>
                </c:pt>
                <c:pt idx="1994">
                  <c:v>10.80282152230971</c:v>
                </c:pt>
                <c:pt idx="1995">
                  <c:v>0</c:v>
                </c:pt>
                <c:pt idx="1996">
                  <c:v>0</c:v>
                </c:pt>
                <c:pt idx="1998">
                  <c:v>30.000006832286932</c:v>
                </c:pt>
                <c:pt idx="1999">
                  <c:v>40.802828354596642</c:v>
                </c:pt>
                <c:pt idx="2000">
                  <c:v>40.802828354596642</c:v>
                </c:pt>
                <c:pt idx="2001">
                  <c:v>30.000006832286932</c:v>
                </c:pt>
                <c:pt idx="2002">
                  <c:v>30.000006832286932</c:v>
                </c:pt>
                <c:pt idx="2004">
                  <c:v>0</c:v>
                </c:pt>
                <c:pt idx="2005">
                  <c:v>10.80282152230971</c:v>
                </c:pt>
                <c:pt idx="2006">
                  <c:v>10.80282152230971</c:v>
                </c:pt>
                <c:pt idx="2007">
                  <c:v>0</c:v>
                </c:pt>
                <c:pt idx="2008">
                  <c:v>0</c:v>
                </c:pt>
                <c:pt idx="2010">
                  <c:v>30.000006832286932</c:v>
                </c:pt>
                <c:pt idx="2011">
                  <c:v>40.802828354596642</c:v>
                </c:pt>
                <c:pt idx="2012">
                  <c:v>40.802828354596642</c:v>
                </c:pt>
                <c:pt idx="2013">
                  <c:v>30.000006832286932</c:v>
                </c:pt>
                <c:pt idx="2014">
                  <c:v>30.000006832286932</c:v>
                </c:pt>
                <c:pt idx="2016">
                  <c:v>0</c:v>
                </c:pt>
                <c:pt idx="2017">
                  <c:v>10.80282152230971</c:v>
                </c:pt>
                <c:pt idx="2018">
                  <c:v>10.80282152230971</c:v>
                </c:pt>
                <c:pt idx="2019">
                  <c:v>0</c:v>
                </c:pt>
                <c:pt idx="2020">
                  <c:v>0</c:v>
                </c:pt>
                <c:pt idx="2022">
                  <c:v>30.000006832286932</c:v>
                </c:pt>
                <c:pt idx="2023">
                  <c:v>40.802828354596642</c:v>
                </c:pt>
                <c:pt idx="2024">
                  <c:v>40.802828354596642</c:v>
                </c:pt>
                <c:pt idx="2025">
                  <c:v>30.000006832286932</c:v>
                </c:pt>
                <c:pt idx="2026">
                  <c:v>30.000006832286932</c:v>
                </c:pt>
                <c:pt idx="2028">
                  <c:v>0</c:v>
                </c:pt>
                <c:pt idx="2029">
                  <c:v>10.80282152230971</c:v>
                </c:pt>
                <c:pt idx="2030">
                  <c:v>10.80282152230971</c:v>
                </c:pt>
                <c:pt idx="2031">
                  <c:v>0</c:v>
                </c:pt>
                <c:pt idx="2032">
                  <c:v>0</c:v>
                </c:pt>
                <c:pt idx="2034">
                  <c:v>30.000006832286932</c:v>
                </c:pt>
                <c:pt idx="2035">
                  <c:v>40.802828354596642</c:v>
                </c:pt>
                <c:pt idx="2036">
                  <c:v>40.802828354596642</c:v>
                </c:pt>
                <c:pt idx="2037">
                  <c:v>30.000006832286932</c:v>
                </c:pt>
                <c:pt idx="2038">
                  <c:v>30.000006832286932</c:v>
                </c:pt>
                <c:pt idx="2040">
                  <c:v>0</c:v>
                </c:pt>
                <c:pt idx="2041">
                  <c:v>10.80282152230971</c:v>
                </c:pt>
                <c:pt idx="2042">
                  <c:v>10.80282152230971</c:v>
                </c:pt>
                <c:pt idx="2043">
                  <c:v>0</c:v>
                </c:pt>
                <c:pt idx="2044">
                  <c:v>0</c:v>
                </c:pt>
                <c:pt idx="2046">
                  <c:v>30.000006832286932</c:v>
                </c:pt>
                <c:pt idx="2047">
                  <c:v>40.802828354596642</c:v>
                </c:pt>
                <c:pt idx="2048">
                  <c:v>40.802828354596642</c:v>
                </c:pt>
                <c:pt idx="2049">
                  <c:v>30.000006832286932</c:v>
                </c:pt>
                <c:pt idx="2050">
                  <c:v>30.000006832286932</c:v>
                </c:pt>
                <c:pt idx="2052">
                  <c:v>0</c:v>
                </c:pt>
                <c:pt idx="2053">
                  <c:v>10.80282152230971</c:v>
                </c:pt>
                <c:pt idx="2054">
                  <c:v>10.80282152230971</c:v>
                </c:pt>
                <c:pt idx="2055">
                  <c:v>0</c:v>
                </c:pt>
                <c:pt idx="2056">
                  <c:v>0</c:v>
                </c:pt>
                <c:pt idx="2058">
                  <c:v>30.000006832286932</c:v>
                </c:pt>
                <c:pt idx="2059">
                  <c:v>40.802828354596642</c:v>
                </c:pt>
                <c:pt idx="2060">
                  <c:v>40.802828354596642</c:v>
                </c:pt>
                <c:pt idx="2061">
                  <c:v>30.000006832286932</c:v>
                </c:pt>
                <c:pt idx="2062">
                  <c:v>30.000006832286932</c:v>
                </c:pt>
                <c:pt idx="2064">
                  <c:v>0</c:v>
                </c:pt>
                <c:pt idx="2065">
                  <c:v>10.80282152230971</c:v>
                </c:pt>
                <c:pt idx="2066">
                  <c:v>10.80282152230971</c:v>
                </c:pt>
                <c:pt idx="2067">
                  <c:v>0</c:v>
                </c:pt>
                <c:pt idx="2068">
                  <c:v>0</c:v>
                </c:pt>
                <c:pt idx="2070">
                  <c:v>30.000006832286932</c:v>
                </c:pt>
                <c:pt idx="2071">
                  <c:v>40.802828354596642</c:v>
                </c:pt>
                <c:pt idx="2072">
                  <c:v>40.802828354596642</c:v>
                </c:pt>
                <c:pt idx="2073">
                  <c:v>30.000006832286932</c:v>
                </c:pt>
                <c:pt idx="2074">
                  <c:v>30.000006832286932</c:v>
                </c:pt>
                <c:pt idx="2076">
                  <c:v>0</c:v>
                </c:pt>
                <c:pt idx="2077">
                  <c:v>10.80282152230971</c:v>
                </c:pt>
                <c:pt idx="2078">
                  <c:v>10.80282152230971</c:v>
                </c:pt>
                <c:pt idx="2079">
                  <c:v>0</c:v>
                </c:pt>
                <c:pt idx="2080">
                  <c:v>0</c:v>
                </c:pt>
                <c:pt idx="2082">
                  <c:v>30.000006832286932</c:v>
                </c:pt>
                <c:pt idx="2083">
                  <c:v>40.802828354596642</c:v>
                </c:pt>
                <c:pt idx="2084">
                  <c:v>40.802828354596642</c:v>
                </c:pt>
                <c:pt idx="2085">
                  <c:v>30.000006832286932</c:v>
                </c:pt>
                <c:pt idx="2086">
                  <c:v>30.000006832286932</c:v>
                </c:pt>
                <c:pt idx="2088">
                  <c:v>0</c:v>
                </c:pt>
                <c:pt idx="2089">
                  <c:v>10.80282152230971</c:v>
                </c:pt>
                <c:pt idx="2090">
                  <c:v>10.80282152230971</c:v>
                </c:pt>
                <c:pt idx="2091">
                  <c:v>0</c:v>
                </c:pt>
                <c:pt idx="2092">
                  <c:v>0</c:v>
                </c:pt>
                <c:pt idx="2094">
                  <c:v>30.000006832286932</c:v>
                </c:pt>
                <c:pt idx="2095">
                  <c:v>40.802828354596642</c:v>
                </c:pt>
                <c:pt idx="2096">
                  <c:v>40.802828354596642</c:v>
                </c:pt>
                <c:pt idx="2097">
                  <c:v>30.000006832286932</c:v>
                </c:pt>
                <c:pt idx="2098">
                  <c:v>30.000006832286932</c:v>
                </c:pt>
                <c:pt idx="2100">
                  <c:v>0</c:v>
                </c:pt>
                <c:pt idx="2101">
                  <c:v>10.80282152230971</c:v>
                </c:pt>
                <c:pt idx="2102">
                  <c:v>10.80282152230971</c:v>
                </c:pt>
                <c:pt idx="2103">
                  <c:v>0</c:v>
                </c:pt>
                <c:pt idx="2104">
                  <c:v>0</c:v>
                </c:pt>
                <c:pt idx="2106">
                  <c:v>30.000006832286932</c:v>
                </c:pt>
                <c:pt idx="2107">
                  <c:v>40.802828354596642</c:v>
                </c:pt>
                <c:pt idx="2108">
                  <c:v>40.802828354596642</c:v>
                </c:pt>
                <c:pt idx="2109">
                  <c:v>30.000006832286932</c:v>
                </c:pt>
                <c:pt idx="2110">
                  <c:v>30.000006832286932</c:v>
                </c:pt>
                <c:pt idx="2112">
                  <c:v>0</c:v>
                </c:pt>
                <c:pt idx="2113">
                  <c:v>10.80282152230971</c:v>
                </c:pt>
                <c:pt idx="2114">
                  <c:v>10.80282152230971</c:v>
                </c:pt>
                <c:pt idx="2115">
                  <c:v>0</c:v>
                </c:pt>
                <c:pt idx="2116">
                  <c:v>0</c:v>
                </c:pt>
                <c:pt idx="2118">
                  <c:v>30.000006832286932</c:v>
                </c:pt>
                <c:pt idx="2119">
                  <c:v>40.802828354596642</c:v>
                </c:pt>
                <c:pt idx="2120">
                  <c:v>40.802828354596642</c:v>
                </c:pt>
                <c:pt idx="2121">
                  <c:v>30.000006832286932</c:v>
                </c:pt>
                <c:pt idx="2122">
                  <c:v>30.000006832286932</c:v>
                </c:pt>
                <c:pt idx="2124">
                  <c:v>0</c:v>
                </c:pt>
                <c:pt idx="2125">
                  <c:v>10.80282152230971</c:v>
                </c:pt>
                <c:pt idx="2126">
                  <c:v>10.80282152230971</c:v>
                </c:pt>
                <c:pt idx="2127">
                  <c:v>0</c:v>
                </c:pt>
                <c:pt idx="2128">
                  <c:v>0</c:v>
                </c:pt>
                <c:pt idx="2130">
                  <c:v>30.000006832286932</c:v>
                </c:pt>
                <c:pt idx="2131">
                  <c:v>40.802828354596642</c:v>
                </c:pt>
                <c:pt idx="2132">
                  <c:v>40.802828354596642</c:v>
                </c:pt>
                <c:pt idx="2133">
                  <c:v>30.000006832286932</c:v>
                </c:pt>
                <c:pt idx="2134">
                  <c:v>30.000006832286932</c:v>
                </c:pt>
                <c:pt idx="2136">
                  <c:v>0</c:v>
                </c:pt>
                <c:pt idx="2137">
                  <c:v>10.80282152230971</c:v>
                </c:pt>
                <c:pt idx="2138">
                  <c:v>10.80282152230971</c:v>
                </c:pt>
                <c:pt idx="2139">
                  <c:v>0</c:v>
                </c:pt>
                <c:pt idx="2140">
                  <c:v>0</c:v>
                </c:pt>
                <c:pt idx="2142">
                  <c:v>30.000006832286932</c:v>
                </c:pt>
                <c:pt idx="2143">
                  <c:v>40.802828354596642</c:v>
                </c:pt>
                <c:pt idx="2144">
                  <c:v>40.802828354596642</c:v>
                </c:pt>
                <c:pt idx="2145">
                  <c:v>30.000006832286932</c:v>
                </c:pt>
                <c:pt idx="2146">
                  <c:v>30.000006832286932</c:v>
                </c:pt>
                <c:pt idx="2148">
                  <c:v>0</c:v>
                </c:pt>
                <c:pt idx="2149">
                  <c:v>10.80282152230971</c:v>
                </c:pt>
                <c:pt idx="2150">
                  <c:v>10.80282152230971</c:v>
                </c:pt>
                <c:pt idx="2151">
                  <c:v>0</c:v>
                </c:pt>
                <c:pt idx="2152">
                  <c:v>0</c:v>
                </c:pt>
                <c:pt idx="2154">
                  <c:v>30.000006832286932</c:v>
                </c:pt>
                <c:pt idx="2155">
                  <c:v>40.802828354596642</c:v>
                </c:pt>
                <c:pt idx="2156">
                  <c:v>40.802828354596642</c:v>
                </c:pt>
                <c:pt idx="2157">
                  <c:v>30.000006832286932</c:v>
                </c:pt>
                <c:pt idx="2158">
                  <c:v>30.000006832286932</c:v>
                </c:pt>
              </c:numCache>
            </c:numRef>
          </c:xVal>
          <c:yVal>
            <c:numRef>
              <c:f>Shadow!$AB$3:$AB$2162</c:f>
              <c:numCache>
                <c:formatCode>0</c:formatCode>
                <c:ptCount val="2160"/>
                <c:pt idx="0">
                  <c:v>0</c:v>
                </c:pt>
                <c:pt idx="1">
                  <c:v>0</c:v>
                </c:pt>
                <c:pt idx="2">
                  <c:v>16.439632545931762</c:v>
                </c:pt>
                <c:pt idx="3">
                  <c:v>16.439632545931762</c:v>
                </c:pt>
                <c:pt idx="4">
                  <c:v>0</c:v>
                </c:pt>
                <c:pt idx="6">
                  <c:v>0</c:v>
                </c:pt>
                <c:pt idx="7">
                  <c:v>0</c:v>
                </c:pt>
                <c:pt idx="8">
                  <c:v>16.439632545931762</c:v>
                </c:pt>
                <c:pt idx="9">
                  <c:v>16.439632545931762</c:v>
                </c:pt>
                <c:pt idx="10">
                  <c:v>0</c:v>
                </c:pt>
                <c:pt idx="12">
                  <c:v>17.999999999999989</c:v>
                </c:pt>
                <c:pt idx="13">
                  <c:v>17.999999999999989</c:v>
                </c:pt>
                <c:pt idx="14">
                  <c:v>34.439632545931751</c:v>
                </c:pt>
                <c:pt idx="15">
                  <c:v>34.439632545931751</c:v>
                </c:pt>
                <c:pt idx="16">
                  <c:v>17.999999999999989</c:v>
                </c:pt>
                <c:pt idx="18">
                  <c:v>17.999999999999989</c:v>
                </c:pt>
                <c:pt idx="19">
                  <c:v>17.999999999999989</c:v>
                </c:pt>
                <c:pt idx="20">
                  <c:v>34.439632545931751</c:v>
                </c:pt>
                <c:pt idx="21">
                  <c:v>34.439632545931751</c:v>
                </c:pt>
                <c:pt idx="22">
                  <c:v>17.999999999999989</c:v>
                </c:pt>
                <c:pt idx="24">
                  <c:v>35.999999999999979</c:v>
                </c:pt>
                <c:pt idx="25">
                  <c:v>35.999999999999979</c:v>
                </c:pt>
                <c:pt idx="26">
                  <c:v>52.439632545931744</c:v>
                </c:pt>
                <c:pt idx="27">
                  <c:v>52.439632545931744</c:v>
                </c:pt>
                <c:pt idx="28">
                  <c:v>35.999999999999979</c:v>
                </c:pt>
                <c:pt idx="30">
                  <c:v>35.999999999999979</c:v>
                </c:pt>
                <c:pt idx="31">
                  <c:v>35.999999999999979</c:v>
                </c:pt>
                <c:pt idx="32">
                  <c:v>52.439632545931744</c:v>
                </c:pt>
                <c:pt idx="33">
                  <c:v>52.439632545931744</c:v>
                </c:pt>
                <c:pt idx="34">
                  <c:v>35.999999999999979</c:v>
                </c:pt>
                <c:pt idx="36">
                  <c:v>53.999999999999972</c:v>
                </c:pt>
                <c:pt idx="37">
                  <c:v>53.999999999999972</c:v>
                </c:pt>
                <c:pt idx="38">
                  <c:v>70.43963254593173</c:v>
                </c:pt>
                <c:pt idx="39">
                  <c:v>70.43963254593173</c:v>
                </c:pt>
                <c:pt idx="40">
                  <c:v>53.999999999999972</c:v>
                </c:pt>
                <c:pt idx="42">
                  <c:v>53.999999999999972</c:v>
                </c:pt>
                <c:pt idx="43">
                  <c:v>53.999999999999972</c:v>
                </c:pt>
                <c:pt idx="44">
                  <c:v>70.43963254593173</c:v>
                </c:pt>
                <c:pt idx="45">
                  <c:v>70.43963254593173</c:v>
                </c:pt>
                <c:pt idx="46">
                  <c:v>53.999999999999972</c:v>
                </c:pt>
                <c:pt idx="48">
                  <c:v>0</c:v>
                </c:pt>
                <c:pt idx="49">
                  <c:v>0</c:v>
                </c:pt>
                <c:pt idx="50">
                  <c:v>16.439632545931762</c:v>
                </c:pt>
                <c:pt idx="51">
                  <c:v>16.439632545931762</c:v>
                </c:pt>
                <c:pt idx="52">
                  <c:v>0</c:v>
                </c:pt>
                <c:pt idx="54">
                  <c:v>0</c:v>
                </c:pt>
                <c:pt idx="55">
                  <c:v>0</c:v>
                </c:pt>
                <c:pt idx="56">
                  <c:v>16.439632545931762</c:v>
                </c:pt>
                <c:pt idx="57">
                  <c:v>16.439632545931762</c:v>
                </c:pt>
                <c:pt idx="58">
                  <c:v>0</c:v>
                </c:pt>
                <c:pt idx="60">
                  <c:v>17.999999999999989</c:v>
                </c:pt>
                <c:pt idx="61">
                  <c:v>17.999999999999989</c:v>
                </c:pt>
                <c:pt idx="62">
                  <c:v>34.439632545931751</c:v>
                </c:pt>
                <c:pt idx="63">
                  <c:v>34.439632545931751</c:v>
                </c:pt>
                <c:pt idx="64">
                  <c:v>17.999999999999989</c:v>
                </c:pt>
                <c:pt idx="66">
                  <c:v>17.999999999999989</c:v>
                </c:pt>
                <c:pt idx="67">
                  <c:v>17.999999999999989</c:v>
                </c:pt>
                <c:pt idx="68">
                  <c:v>34.439632545931751</c:v>
                </c:pt>
                <c:pt idx="69">
                  <c:v>34.439632545931751</c:v>
                </c:pt>
                <c:pt idx="70">
                  <c:v>17.999999999999989</c:v>
                </c:pt>
                <c:pt idx="72">
                  <c:v>35.999999999999979</c:v>
                </c:pt>
                <c:pt idx="73">
                  <c:v>35.999999999999979</c:v>
                </c:pt>
                <c:pt idx="74">
                  <c:v>52.439632545931744</c:v>
                </c:pt>
                <c:pt idx="75">
                  <c:v>52.439632545931744</c:v>
                </c:pt>
                <c:pt idx="76">
                  <c:v>35.999999999999979</c:v>
                </c:pt>
                <c:pt idx="78">
                  <c:v>35.999999999999979</c:v>
                </c:pt>
                <c:pt idx="79">
                  <c:v>35.999999999999979</c:v>
                </c:pt>
                <c:pt idx="80">
                  <c:v>52.439632545931744</c:v>
                </c:pt>
                <c:pt idx="81">
                  <c:v>52.439632545931744</c:v>
                </c:pt>
                <c:pt idx="82">
                  <c:v>35.999999999999979</c:v>
                </c:pt>
                <c:pt idx="84">
                  <c:v>53.999999999999972</c:v>
                </c:pt>
                <c:pt idx="85">
                  <c:v>53.999999999999972</c:v>
                </c:pt>
                <c:pt idx="86">
                  <c:v>70.43963254593173</c:v>
                </c:pt>
                <c:pt idx="87">
                  <c:v>70.43963254593173</c:v>
                </c:pt>
                <c:pt idx="88">
                  <c:v>53.999999999999972</c:v>
                </c:pt>
                <c:pt idx="90">
                  <c:v>53.999999999999972</c:v>
                </c:pt>
                <c:pt idx="91">
                  <c:v>53.999999999999972</c:v>
                </c:pt>
                <c:pt idx="92">
                  <c:v>70.43963254593173</c:v>
                </c:pt>
                <c:pt idx="93">
                  <c:v>70.43963254593173</c:v>
                </c:pt>
                <c:pt idx="94">
                  <c:v>53.999999999999972</c:v>
                </c:pt>
                <c:pt idx="96">
                  <c:v>0</c:v>
                </c:pt>
                <c:pt idx="97">
                  <c:v>0</c:v>
                </c:pt>
                <c:pt idx="98">
                  <c:v>16.439632545931762</c:v>
                </c:pt>
                <c:pt idx="99">
                  <c:v>16.439632545931762</c:v>
                </c:pt>
                <c:pt idx="100">
                  <c:v>0</c:v>
                </c:pt>
                <c:pt idx="102">
                  <c:v>0</c:v>
                </c:pt>
                <c:pt idx="103">
                  <c:v>0</c:v>
                </c:pt>
                <c:pt idx="104">
                  <c:v>16.439632545931762</c:v>
                </c:pt>
                <c:pt idx="105">
                  <c:v>16.439632545931762</c:v>
                </c:pt>
                <c:pt idx="106">
                  <c:v>0</c:v>
                </c:pt>
                <c:pt idx="108">
                  <c:v>17.999999999999989</c:v>
                </c:pt>
                <c:pt idx="109">
                  <c:v>17.999999999999989</c:v>
                </c:pt>
                <c:pt idx="110">
                  <c:v>34.439632545931751</c:v>
                </c:pt>
                <c:pt idx="111">
                  <c:v>34.439632545931751</c:v>
                </c:pt>
                <c:pt idx="112">
                  <c:v>17.999999999999989</c:v>
                </c:pt>
                <c:pt idx="114">
                  <c:v>17.999999999999989</c:v>
                </c:pt>
                <c:pt idx="115">
                  <c:v>17.999999999999989</c:v>
                </c:pt>
                <c:pt idx="116">
                  <c:v>34.439632545931751</c:v>
                </c:pt>
                <c:pt idx="117">
                  <c:v>34.439632545931751</c:v>
                </c:pt>
                <c:pt idx="118">
                  <c:v>17.999999999999989</c:v>
                </c:pt>
                <c:pt idx="120">
                  <c:v>35.999999999999979</c:v>
                </c:pt>
                <c:pt idx="121">
                  <c:v>35.999999999999979</c:v>
                </c:pt>
                <c:pt idx="122">
                  <c:v>52.439632545931744</c:v>
                </c:pt>
                <c:pt idx="123">
                  <c:v>52.439632545931744</c:v>
                </c:pt>
                <c:pt idx="124">
                  <c:v>35.999999999999979</c:v>
                </c:pt>
                <c:pt idx="126">
                  <c:v>35.999999999999979</c:v>
                </c:pt>
                <c:pt idx="127">
                  <c:v>35.999999999999979</c:v>
                </c:pt>
                <c:pt idx="128">
                  <c:v>52.439632545931744</c:v>
                </c:pt>
                <c:pt idx="129">
                  <c:v>52.439632545931744</c:v>
                </c:pt>
                <c:pt idx="130">
                  <c:v>35.999999999999979</c:v>
                </c:pt>
                <c:pt idx="132">
                  <c:v>53.999999999999972</c:v>
                </c:pt>
                <c:pt idx="133">
                  <c:v>53.999999999999972</c:v>
                </c:pt>
                <c:pt idx="134">
                  <c:v>70.43963254593173</c:v>
                </c:pt>
                <c:pt idx="135">
                  <c:v>70.43963254593173</c:v>
                </c:pt>
                <c:pt idx="136">
                  <c:v>53.999999999999972</c:v>
                </c:pt>
                <c:pt idx="138">
                  <c:v>53.999999999999972</c:v>
                </c:pt>
                <c:pt idx="139">
                  <c:v>53.999999999999972</c:v>
                </c:pt>
                <c:pt idx="140">
                  <c:v>70.43963254593173</c:v>
                </c:pt>
                <c:pt idx="141">
                  <c:v>70.43963254593173</c:v>
                </c:pt>
                <c:pt idx="142">
                  <c:v>53.999999999999972</c:v>
                </c:pt>
                <c:pt idx="144">
                  <c:v>0</c:v>
                </c:pt>
                <c:pt idx="145">
                  <c:v>0</c:v>
                </c:pt>
                <c:pt idx="146">
                  <c:v>16.439632545931762</c:v>
                </c:pt>
                <c:pt idx="147">
                  <c:v>16.439632545931762</c:v>
                </c:pt>
                <c:pt idx="148">
                  <c:v>0</c:v>
                </c:pt>
                <c:pt idx="150">
                  <c:v>0</c:v>
                </c:pt>
                <c:pt idx="151">
                  <c:v>0</c:v>
                </c:pt>
                <c:pt idx="152">
                  <c:v>16.439632545931762</c:v>
                </c:pt>
                <c:pt idx="153">
                  <c:v>16.439632545931762</c:v>
                </c:pt>
                <c:pt idx="154">
                  <c:v>0</c:v>
                </c:pt>
                <c:pt idx="156">
                  <c:v>17.999999999999989</c:v>
                </c:pt>
                <c:pt idx="157">
                  <c:v>17.999999999999989</c:v>
                </c:pt>
                <c:pt idx="158">
                  <c:v>34.439632545931751</c:v>
                </c:pt>
                <c:pt idx="159">
                  <c:v>34.439632545931751</c:v>
                </c:pt>
                <c:pt idx="160">
                  <c:v>17.999999999999989</c:v>
                </c:pt>
                <c:pt idx="162">
                  <c:v>17.999999999999989</c:v>
                </c:pt>
                <c:pt idx="163">
                  <c:v>17.999999999999989</c:v>
                </c:pt>
                <c:pt idx="164">
                  <c:v>34.439632545931751</c:v>
                </c:pt>
                <c:pt idx="165">
                  <c:v>34.439632545931751</c:v>
                </c:pt>
                <c:pt idx="166">
                  <c:v>17.999999999999989</c:v>
                </c:pt>
                <c:pt idx="168">
                  <c:v>35.999999999999979</c:v>
                </c:pt>
                <c:pt idx="169">
                  <c:v>35.999999999999979</c:v>
                </c:pt>
                <c:pt idx="170">
                  <c:v>52.439632545931744</c:v>
                </c:pt>
                <c:pt idx="171">
                  <c:v>52.439632545931744</c:v>
                </c:pt>
                <c:pt idx="172">
                  <c:v>35.999999999999979</c:v>
                </c:pt>
                <c:pt idx="174">
                  <c:v>35.999999999999979</c:v>
                </c:pt>
                <c:pt idx="175">
                  <c:v>35.999999999999979</c:v>
                </c:pt>
                <c:pt idx="176">
                  <c:v>52.439632545931744</c:v>
                </c:pt>
                <c:pt idx="177">
                  <c:v>52.439632545931744</c:v>
                </c:pt>
                <c:pt idx="178">
                  <c:v>35.999999999999979</c:v>
                </c:pt>
                <c:pt idx="180">
                  <c:v>53.999999999999972</c:v>
                </c:pt>
                <c:pt idx="181">
                  <c:v>53.999999999999972</c:v>
                </c:pt>
                <c:pt idx="182">
                  <c:v>70.43963254593173</c:v>
                </c:pt>
                <c:pt idx="183">
                  <c:v>70.43963254593173</c:v>
                </c:pt>
                <c:pt idx="184">
                  <c:v>53.999999999999972</c:v>
                </c:pt>
                <c:pt idx="186">
                  <c:v>53.999999999999972</c:v>
                </c:pt>
                <c:pt idx="187">
                  <c:v>53.999999999999972</c:v>
                </c:pt>
                <c:pt idx="188">
                  <c:v>70.43963254593173</c:v>
                </c:pt>
                <c:pt idx="189">
                  <c:v>70.43963254593173</c:v>
                </c:pt>
                <c:pt idx="190">
                  <c:v>53.999999999999972</c:v>
                </c:pt>
                <c:pt idx="192">
                  <c:v>0</c:v>
                </c:pt>
                <c:pt idx="193">
                  <c:v>0</c:v>
                </c:pt>
                <c:pt idx="194">
                  <c:v>16.439632545931762</c:v>
                </c:pt>
                <c:pt idx="195">
                  <c:v>16.439632545931762</c:v>
                </c:pt>
                <c:pt idx="196">
                  <c:v>0</c:v>
                </c:pt>
                <c:pt idx="198">
                  <c:v>0</c:v>
                </c:pt>
                <c:pt idx="199">
                  <c:v>0</c:v>
                </c:pt>
                <c:pt idx="200">
                  <c:v>16.439632545931762</c:v>
                </c:pt>
                <c:pt idx="201">
                  <c:v>16.439632545931762</c:v>
                </c:pt>
                <c:pt idx="202">
                  <c:v>0</c:v>
                </c:pt>
                <c:pt idx="204">
                  <c:v>17.999999999999989</c:v>
                </c:pt>
                <c:pt idx="205">
                  <c:v>17.999999999999989</c:v>
                </c:pt>
                <c:pt idx="206">
                  <c:v>34.439632545931751</c:v>
                </c:pt>
                <c:pt idx="207">
                  <c:v>34.439632545931751</c:v>
                </c:pt>
                <c:pt idx="208">
                  <c:v>17.999999999999989</c:v>
                </c:pt>
                <c:pt idx="210">
                  <c:v>17.999999999999989</c:v>
                </c:pt>
                <c:pt idx="211">
                  <c:v>17.999999999999989</c:v>
                </c:pt>
                <c:pt idx="212">
                  <c:v>34.439632545931751</c:v>
                </c:pt>
                <c:pt idx="213">
                  <c:v>34.439632545931751</c:v>
                </c:pt>
                <c:pt idx="214">
                  <c:v>17.999999999999989</c:v>
                </c:pt>
                <c:pt idx="216">
                  <c:v>35.999999999999979</c:v>
                </c:pt>
                <c:pt idx="217">
                  <c:v>35.999999999999979</c:v>
                </c:pt>
                <c:pt idx="218">
                  <c:v>52.439632545931744</c:v>
                </c:pt>
                <c:pt idx="219">
                  <c:v>52.439632545931744</c:v>
                </c:pt>
                <c:pt idx="220">
                  <c:v>35.999999999999979</c:v>
                </c:pt>
                <c:pt idx="222">
                  <c:v>35.999999999999979</c:v>
                </c:pt>
                <c:pt idx="223">
                  <c:v>35.999999999999979</c:v>
                </c:pt>
                <c:pt idx="224">
                  <c:v>52.439632545931744</c:v>
                </c:pt>
                <c:pt idx="225">
                  <c:v>52.439632545931744</c:v>
                </c:pt>
                <c:pt idx="226">
                  <c:v>35.999999999999979</c:v>
                </c:pt>
                <c:pt idx="228">
                  <c:v>53.999999999999972</c:v>
                </c:pt>
                <c:pt idx="229">
                  <c:v>53.999999999999972</c:v>
                </c:pt>
                <c:pt idx="230">
                  <c:v>70.43963254593173</c:v>
                </c:pt>
                <c:pt idx="231">
                  <c:v>70.43963254593173</c:v>
                </c:pt>
                <c:pt idx="232">
                  <c:v>53.999999999999972</c:v>
                </c:pt>
                <c:pt idx="234">
                  <c:v>53.999999999999972</c:v>
                </c:pt>
                <c:pt idx="235">
                  <c:v>53.999999999999972</c:v>
                </c:pt>
                <c:pt idx="236">
                  <c:v>70.43963254593173</c:v>
                </c:pt>
                <c:pt idx="237">
                  <c:v>70.43963254593173</c:v>
                </c:pt>
                <c:pt idx="238">
                  <c:v>53.999999999999972</c:v>
                </c:pt>
                <c:pt idx="240">
                  <c:v>0</c:v>
                </c:pt>
                <c:pt idx="241">
                  <c:v>0</c:v>
                </c:pt>
                <c:pt idx="242">
                  <c:v>16.439632545931762</c:v>
                </c:pt>
                <c:pt idx="243">
                  <c:v>16.439632545931762</c:v>
                </c:pt>
                <c:pt idx="244">
                  <c:v>0</c:v>
                </c:pt>
                <c:pt idx="246">
                  <c:v>0</c:v>
                </c:pt>
                <c:pt idx="247">
                  <c:v>0</c:v>
                </c:pt>
                <c:pt idx="248">
                  <c:v>16.439632545931762</c:v>
                </c:pt>
                <c:pt idx="249">
                  <c:v>16.439632545931762</c:v>
                </c:pt>
                <c:pt idx="250">
                  <c:v>0</c:v>
                </c:pt>
                <c:pt idx="252">
                  <c:v>17.999999999999989</c:v>
                </c:pt>
                <c:pt idx="253">
                  <c:v>17.999999999999989</c:v>
                </c:pt>
                <c:pt idx="254">
                  <c:v>34.439632545931751</c:v>
                </c:pt>
                <c:pt idx="255">
                  <c:v>34.439632545931751</c:v>
                </c:pt>
                <c:pt idx="256">
                  <c:v>17.999999999999989</c:v>
                </c:pt>
                <c:pt idx="258">
                  <c:v>17.999999999999989</c:v>
                </c:pt>
                <c:pt idx="259">
                  <c:v>17.999999999999989</c:v>
                </c:pt>
                <c:pt idx="260">
                  <c:v>34.439632545931751</c:v>
                </c:pt>
                <c:pt idx="261">
                  <c:v>34.439632545931751</c:v>
                </c:pt>
                <c:pt idx="262">
                  <c:v>17.999999999999989</c:v>
                </c:pt>
                <c:pt idx="264">
                  <c:v>35.999999999999979</c:v>
                </c:pt>
                <c:pt idx="265">
                  <c:v>35.999999999999979</c:v>
                </c:pt>
                <c:pt idx="266">
                  <c:v>52.439632545931744</c:v>
                </c:pt>
                <c:pt idx="267">
                  <c:v>52.439632545931744</c:v>
                </c:pt>
                <c:pt idx="268">
                  <c:v>35.999999999999979</c:v>
                </c:pt>
                <c:pt idx="270">
                  <c:v>35.999999999999979</c:v>
                </c:pt>
                <c:pt idx="271">
                  <c:v>35.999999999999979</c:v>
                </c:pt>
                <c:pt idx="272">
                  <c:v>52.439632545931744</c:v>
                </c:pt>
                <c:pt idx="273">
                  <c:v>52.439632545931744</c:v>
                </c:pt>
                <c:pt idx="274">
                  <c:v>35.999999999999979</c:v>
                </c:pt>
                <c:pt idx="276">
                  <c:v>53.999999999999972</c:v>
                </c:pt>
                <c:pt idx="277">
                  <c:v>53.999999999999972</c:v>
                </c:pt>
                <c:pt idx="278">
                  <c:v>70.43963254593173</c:v>
                </c:pt>
                <c:pt idx="279">
                  <c:v>70.43963254593173</c:v>
                </c:pt>
                <c:pt idx="280">
                  <c:v>53.999999999999972</c:v>
                </c:pt>
                <c:pt idx="282">
                  <c:v>53.999999999999972</c:v>
                </c:pt>
                <c:pt idx="283">
                  <c:v>53.999999999999972</c:v>
                </c:pt>
                <c:pt idx="284">
                  <c:v>70.43963254593173</c:v>
                </c:pt>
                <c:pt idx="285">
                  <c:v>70.43963254593173</c:v>
                </c:pt>
                <c:pt idx="286">
                  <c:v>53.999999999999972</c:v>
                </c:pt>
                <c:pt idx="288">
                  <c:v>0</c:v>
                </c:pt>
                <c:pt idx="289">
                  <c:v>0</c:v>
                </c:pt>
                <c:pt idx="290">
                  <c:v>16.439632545931762</c:v>
                </c:pt>
                <c:pt idx="291">
                  <c:v>16.439632545931762</c:v>
                </c:pt>
                <c:pt idx="292">
                  <c:v>0</c:v>
                </c:pt>
                <c:pt idx="294">
                  <c:v>0</c:v>
                </c:pt>
                <c:pt idx="295">
                  <c:v>0</c:v>
                </c:pt>
                <c:pt idx="296">
                  <c:v>16.439632545931762</c:v>
                </c:pt>
                <c:pt idx="297">
                  <c:v>16.439632545931762</c:v>
                </c:pt>
                <c:pt idx="298">
                  <c:v>0</c:v>
                </c:pt>
                <c:pt idx="300">
                  <c:v>17.999999999999989</c:v>
                </c:pt>
                <c:pt idx="301">
                  <c:v>17.999999999999989</c:v>
                </c:pt>
                <c:pt idx="302">
                  <c:v>34.439632545931751</c:v>
                </c:pt>
                <c:pt idx="303">
                  <c:v>34.439632545931751</c:v>
                </c:pt>
                <c:pt idx="304">
                  <c:v>17.999999999999989</c:v>
                </c:pt>
                <c:pt idx="306">
                  <c:v>17.999999999999989</c:v>
                </c:pt>
                <c:pt idx="307">
                  <c:v>17.999999999999989</c:v>
                </c:pt>
                <c:pt idx="308">
                  <c:v>34.439632545931751</c:v>
                </c:pt>
                <c:pt idx="309">
                  <c:v>34.439632545931751</c:v>
                </c:pt>
                <c:pt idx="310">
                  <c:v>17.999999999999989</c:v>
                </c:pt>
                <c:pt idx="312">
                  <c:v>35.999999999999979</c:v>
                </c:pt>
                <c:pt idx="313">
                  <c:v>35.999999999999979</c:v>
                </c:pt>
                <c:pt idx="314">
                  <c:v>52.439632545931744</c:v>
                </c:pt>
                <c:pt idx="315">
                  <c:v>52.439632545931744</c:v>
                </c:pt>
                <c:pt idx="316">
                  <c:v>35.999999999999979</c:v>
                </c:pt>
                <c:pt idx="318">
                  <c:v>35.999999999999979</c:v>
                </c:pt>
                <c:pt idx="319">
                  <c:v>35.999999999999979</c:v>
                </c:pt>
                <c:pt idx="320">
                  <c:v>52.439632545931744</c:v>
                </c:pt>
                <c:pt idx="321">
                  <c:v>52.439632545931744</c:v>
                </c:pt>
                <c:pt idx="322">
                  <c:v>35.999999999999979</c:v>
                </c:pt>
                <c:pt idx="324">
                  <c:v>53.999999999999972</c:v>
                </c:pt>
                <c:pt idx="325">
                  <c:v>53.999999999999972</c:v>
                </c:pt>
                <c:pt idx="326">
                  <c:v>70.43963254593173</c:v>
                </c:pt>
                <c:pt idx="327">
                  <c:v>70.43963254593173</c:v>
                </c:pt>
                <c:pt idx="328">
                  <c:v>53.999999999999972</c:v>
                </c:pt>
                <c:pt idx="330">
                  <c:v>53.999999999999972</c:v>
                </c:pt>
                <c:pt idx="331">
                  <c:v>53.999999999999972</c:v>
                </c:pt>
                <c:pt idx="332">
                  <c:v>70.43963254593173</c:v>
                </c:pt>
                <c:pt idx="333">
                  <c:v>70.43963254593173</c:v>
                </c:pt>
                <c:pt idx="334">
                  <c:v>53.999999999999972</c:v>
                </c:pt>
                <c:pt idx="336">
                  <c:v>0</c:v>
                </c:pt>
                <c:pt idx="337">
                  <c:v>0</c:v>
                </c:pt>
                <c:pt idx="338">
                  <c:v>16.439632545931762</c:v>
                </c:pt>
                <c:pt idx="339">
                  <c:v>16.439632545931762</c:v>
                </c:pt>
                <c:pt idx="340">
                  <c:v>0</c:v>
                </c:pt>
                <c:pt idx="342">
                  <c:v>0</c:v>
                </c:pt>
                <c:pt idx="343">
                  <c:v>0</c:v>
                </c:pt>
                <c:pt idx="344">
                  <c:v>16.439632545931762</c:v>
                </c:pt>
                <c:pt idx="345">
                  <c:v>16.439632545931762</c:v>
                </c:pt>
                <c:pt idx="346">
                  <c:v>0</c:v>
                </c:pt>
                <c:pt idx="348">
                  <c:v>17.999999999999989</c:v>
                </c:pt>
                <c:pt idx="349">
                  <c:v>17.999999999999989</c:v>
                </c:pt>
                <c:pt idx="350">
                  <c:v>34.439632545931751</c:v>
                </c:pt>
                <c:pt idx="351">
                  <c:v>34.439632545931751</c:v>
                </c:pt>
                <c:pt idx="352">
                  <c:v>17.999999999999989</c:v>
                </c:pt>
                <c:pt idx="354">
                  <c:v>17.999999999999989</c:v>
                </c:pt>
                <c:pt idx="355">
                  <c:v>17.999999999999989</c:v>
                </c:pt>
                <c:pt idx="356">
                  <c:v>34.439632545931751</c:v>
                </c:pt>
                <c:pt idx="357">
                  <c:v>34.439632545931751</c:v>
                </c:pt>
                <c:pt idx="358">
                  <c:v>17.999999999999989</c:v>
                </c:pt>
                <c:pt idx="360">
                  <c:v>35.999999999999979</c:v>
                </c:pt>
                <c:pt idx="361">
                  <c:v>35.999999999999979</c:v>
                </c:pt>
                <c:pt idx="362">
                  <c:v>52.439632545931744</c:v>
                </c:pt>
                <c:pt idx="363">
                  <c:v>52.439632545931744</c:v>
                </c:pt>
                <c:pt idx="364">
                  <c:v>35.999999999999979</c:v>
                </c:pt>
                <c:pt idx="366">
                  <c:v>35.999999999999979</c:v>
                </c:pt>
                <c:pt idx="367">
                  <c:v>35.999999999999979</c:v>
                </c:pt>
                <c:pt idx="368">
                  <c:v>52.439632545931744</c:v>
                </c:pt>
                <c:pt idx="369">
                  <c:v>52.439632545931744</c:v>
                </c:pt>
                <c:pt idx="370">
                  <c:v>35.999999999999979</c:v>
                </c:pt>
                <c:pt idx="372">
                  <c:v>53.999999999999972</c:v>
                </c:pt>
                <c:pt idx="373">
                  <c:v>53.999999999999972</c:v>
                </c:pt>
                <c:pt idx="374">
                  <c:v>70.43963254593173</c:v>
                </c:pt>
                <c:pt idx="375">
                  <c:v>70.43963254593173</c:v>
                </c:pt>
                <c:pt idx="376">
                  <c:v>53.999999999999972</c:v>
                </c:pt>
                <c:pt idx="378">
                  <c:v>53.999999999999972</c:v>
                </c:pt>
                <c:pt idx="379">
                  <c:v>53.999999999999972</c:v>
                </c:pt>
                <c:pt idx="380">
                  <c:v>70.43963254593173</c:v>
                </c:pt>
                <c:pt idx="381">
                  <c:v>70.43963254593173</c:v>
                </c:pt>
                <c:pt idx="382">
                  <c:v>53.999999999999972</c:v>
                </c:pt>
                <c:pt idx="384">
                  <c:v>0</c:v>
                </c:pt>
                <c:pt idx="385">
                  <c:v>0</c:v>
                </c:pt>
                <c:pt idx="386">
                  <c:v>16.439632545931762</c:v>
                </c:pt>
                <c:pt idx="387">
                  <c:v>16.439632545931762</c:v>
                </c:pt>
                <c:pt idx="388">
                  <c:v>0</c:v>
                </c:pt>
                <c:pt idx="390">
                  <c:v>0</c:v>
                </c:pt>
                <c:pt idx="391">
                  <c:v>0</c:v>
                </c:pt>
                <c:pt idx="392">
                  <c:v>16.439632545931762</c:v>
                </c:pt>
                <c:pt idx="393">
                  <c:v>16.439632545931762</c:v>
                </c:pt>
                <c:pt idx="394">
                  <c:v>0</c:v>
                </c:pt>
                <c:pt idx="396">
                  <c:v>17.999999999999989</c:v>
                </c:pt>
                <c:pt idx="397">
                  <c:v>17.999999999999989</c:v>
                </c:pt>
                <c:pt idx="398">
                  <c:v>34.439632545931751</c:v>
                </c:pt>
                <c:pt idx="399">
                  <c:v>34.439632545931751</c:v>
                </c:pt>
                <c:pt idx="400">
                  <c:v>17.999999999999989</c:v>
                </c:pt>
                <c:pt idx="402">
                  <c:v>17.999999999999989</c:v>
                </c:pt>
                <c:pt idx="403">
                  <c:v>17.999999999999989</c:v>
                </c:pt>
                <c:pt idx="404">
                  <c:v>34.439632545931751</c:v>
                </c:pt>
                <c:pt idx="405">
                  <c:v>34.439632545931751</c:v>
                </c:pt>
                <c:pt idx="406">
                  <c:v>17.999999999999989</c:v>
                </c:pt>
                <c:pt idx="408">
                  <c:v>35.999999999999979</c:v>
                </c:pt>
                <c:pt idx="409">
                  <c:v>35.999999999999979</c:v>
                </c:pt>
                <c:pt idx="410">
                  <c:v>52.439632545931744</c:v>
                </c:pt>
                <c:pt idx="411">
                  <c:v>52.439632545931744</c:v>
                </c:pt>
                <c:pt idx="412">
                  <c:v>35.999999999999979</c:v>
                </c:pt>
                <c:pt idx="414">
                  <c:v>35.999999999999979</c:v>
                </c:pt>
                <c:pt idx="415">
                  <c:v>35.999999999999979</c:v>
                </c:pt>
                <c:pt idx="416">
                  <c:v>52.439632545931744</c:v>
                </c:pt>
                <c:pt idx="417">
                  <c:v>52.439632545931744</c:v>
                </c:pt>
                <c:pt idx="418">
                  <c:v>35.999999999999979</c:v>
                </c:pt>
                <c:pt idx="420">
                  <c:v>53.999999999999972</c:v>
                </c:pt>
                <c:pt idx="421">
                  <c:v>53.999999999999972</c:v>
                </c:pt>
                <c:pt idx="422">
                  <c:v>70.43963254593173</c:v>
                </c:pt>
                <c:pt idx="423">
                  <c:v>70.43963254593173</c:v>
                </c:pt>
                <c:pt idx="424">
                  <c:v>53.999999999999972</c:v>
                </c:pt>
                <c:pt idx="426">
                  <c:v>53.999999999999972</c:v>
                </c:pt>
                <c:pt idx="427">
                  <c:v>53.999999999999972</c:v>
                </c:pt>
                <c:pt idx="428">
                  <c:v>70.43963254593173</c:v>
                </c:pt>
                <c:pt idx="429">
                  <c:v>70.43963254593173</c:v>
                </c:pt>
                <c:pt idx="430">
                  <c:v>53.999999999999972</c:v>
                </c:pt>
                <c:pt idx="432">
                  <c:v>0</c:v>
                </c:pt>
                <c:pt idx="433">
                  <c:v>0</c:v>
                </c:pt>
                <c:pt idx="434">
                  <c:v>16.439632545931762</c:v>
                </c:pt>
                <c:pt idx="435">
                  <c:v>16.439632545931762</c:v>
                </c:pt>
                <c:pt idx="436">
                  <c:v>0</c:v>
                </c:pt>
                <c:pt idx="438">
                  <c:v>0</c:v>
                </c:pt>
                <c:pt idx="439">
                  <c:v>0</c:v>
                </c:pt>
                <c:pt idx="440">
                  <c:v>16.439632545931762</c:v>
                </c:pt>
                <c:pt idx="441">
                  <c:v>16.439632545931762</c:v>
                </c:pt>
                <c:pt idx="442">
                  <c:v>0</c:v>
                </c:pt>
                <c:pt idx="444">
                  <c:v>17.999999999999989</c:v>
                </c:pt>
                <c:pt idx="445">
                  <c:v>17.999999999999989</c:v>
                </c:pt>
                <c:pt idx="446">
                  <c:v>34.439632545931751</c:v>
                </c:pt>
                <c:pt idx="447">
                  <c:v>34.439632545931751</c:v>
                </c:pt>
                <c:pt idx="448">
                  <c:v>17.999999999999989</c:v>
                </c:pt>
                <c:pt idx="450">
                  <c:v>17.999999999999989</c:v>
                </c:pt>
                <c:pt idx="451">
                  <c:v>17.999999999999989</c:v>
                </c:pt>
                <c:pt idx="452">
                  <c:v>34.439632545931751</c:v>
                </c:pt>
                <c:pt idx="453">
                  <c:v>34.439632545931751</c:v>
                </c:pt>
                <c:pt idx="454">
                  <c:v>17.999999999999989</c:v>
                </c:pt>
                <c:pt idx="456">
                  <c:v>35.999999999999979</c:v>
                </c:pt>
                <c:pt idx="457">
                  <c:v>35.999999999999979</c:v>
                </c:pt>
                <c:pt idx="458">
                  <c:v>52.439632545931744</c:v>
                </c:pt>
                <c:pt idx="459">
                  <c:v>52.439632545931744</c:v>
                </c:pt>
                <c:pt idx="460">
                  <c:v>35.999999999999979</c:v>
                </c:pt>
                <c:pt idx="462">
                  <c:v>35.999999999999979</c:v>
                </c:pt>
                <c:pt idx="463">
                  <c:v>35.999999999999979</c:v>
                </c:pt>
                <c:pt idx="464">
                  <c:v>52.439632545931744</c:v>
                </c:pt>
                <c:pt idx="465">
                  <c:v>52.439632545931744</c:v>
                </c:pt>
                <c:pt idx="466">
                  <c:v>35.999999999999979</c:v>
                </c:pt>
                <c:pt idx="468">
                  <c:v>53.999999999999972</c:v>
                </c:pt>
                <c:pt idx="469">
                  <c:v>53.999999999999972</c:v>
                </c:pt>
                <c:pt idx="470">
                  <c:v>70.43963254593173</c:v>
                </c:pt>
                <c:pt idx="471">
                  <c:v>70.43963254593173</c:v>
                </c:pt>
                <c:pt idx="472">
                  <c:v>53.999999999999972</c:v>
                </c:pt>
                <c:pt idx="474">
                  <c:v>53.999999999999972</c:v>
                </c:pt>
                <c:pt idx="475">
                  <c:v>53.999999999999972</c:v>
                </c:pt>
                <c:pt idx="476">
                  <c:v>70.43963254593173</c:v>
                </c:pt>
                <c:pt idx="477">
                  <c:v>70.43963254593173</c:v>
                </c:pt>
                <c:pt idx="478">
                  <c:v>53.999999999999972</c:v>
                </c:pt>
                <c:pt idx="480">
                  <c:v>0</c:v>
                </c:pt>
                <c:pt idx="481">
                  <c:v>0</c:v>
                </c:pt>
                <c:pt idx="482">
                  <c:v>16.439632545931762</c:v>
                </c:pt>
                <c:pt idx="483">
                  <c:v>16.439632545931762</c:v>
                </c:pt>
                <c:pt idx="484">
                  <c:v>0</c:v>
                </c:pt>
                <c:pt idx="486">
                  <c:v>0</c:v>
                </c:pt>
                <c:pt idx="487">
                  <c:v>0</c:v>
                </c:pt>
                <c:pt idx="488">
                  <c:v>16.439632545931762</c:v>
                </c:pt>
                <c:pt idx="489">
                  <c:v>16.439632545931762</c:v>
                </c:pt>
                <c:pt idx="490">
                  <c:v>0</c:v>
                </c:pt>
                <c:pt idx="492">
                  <c:v>17.999999999999989</c:v>
                </c:pt>
                <c:pt idx="493">
                  <c:v>17.999999999999989</c:v>
                </c:pt>
                <c:pt idx="494">
                  <c:v>34.439632545931751</c:v>
                </c:pt>
                <c:pt idx="495">
                  <c:v>34.439632545931751</c:v>
                </c:pt>
                <c:pt idx="496">
                  <c:v>17.999999999999989</c:v>
                </c:pt>
                <c:pt idx="498">
                  <c:v>17.999999999999989</c:v>
                </c:pt>
                <c:pt idx="499">
                  <c:v>17.999999999999989</c:v>
                </c:pt>
                <c:pt idx="500">
                  <c:v>34.439632545931751</c:v>
                </c:pt>
                <c:pt idx="501">
                  <c:v>34.439632545931751</c:v>
                </c:pt>
                <c:pt idx="502">
                  <c:v>17.999999999999989</c:v>
                </c:pt>
                <c:pt idx="504">
                  <c:v>35.999999999999979</c:v>
                </c:pt>
                <c:pt idx="505">
                  <c:v>35.999999999999979</c:v>
                </c:pt>
                <c:pt idx="506">
                  <c:v>52.439632545931744</c:v>
                </c:pt>
                <c:pt idx="507">
                  <c:v>52.439632545931744</c:v>
                </c:pt>
                <c:pt idx="508">
                  <c:v>35.999999999999979</c:v>
                </c:pt>
                <c:pt idx="510">
                  <c:v>35.999999999999979</c:v>
                </c:pt>
                <c:pt idx="511">
                  <c:v>35.999999999999979</c:v>
                </c:pt>
                <c:pt idx="512">
                  <c:v>52.439632545931744</c:v>
                </c:pt>
                <c:pt idx="513">
                  <c:v>52.439632545931744</c:v>
                </c:pt>
                <c:pt idx="514">
                  <c:v>35.999999999999979</c:v>
                </c:pt>
                <c:pt idx="516">
                  <c:v>53.999999999999972</c:v>
                </c:pt>
                <c:pt idx="517">
                  <c:v>53.999999999999972</c:v>
                </c:pt>
                <c:pt idx="518">
                  <c:v>70.43963254593173</c:v>
                </c:pt>
                <c:pt idx="519">
                  <c:v>70.43963254593173</c:v>
                </c:pt>
                <c:pt idx="520">
                  <c:v>53.999999999999972</c:v>
                </c:pt>
                <c:pt idx="522">
                  <c:v>53.999999999999972</c:v>
                </c:pt>
                <c:pt idx="523">
                  <c:v>53.999999999999972</c:v>
                </c:pt>
                <c:pt idx="524">
                  <c:v>70.43963254593173</c:v>
                </c:pt>
                <c:pt idx="525">
                  <c:v>70.43963254593173</c:v>
                </c:pt>
                <c:pt idx="526">
                  <c:v>53.999999999999972</c:v>
                </c:pt>
                <c:pt idx="528">
                  <c:v>0</c:v>
                </c:pt>
                <c:pt idx="529">
                  <c:v>0</c:v>
                </c:pt>
                <c:pt idx="530">
                  <c:v>16.439632545931762</c:v>
                </c:pt>
                <c:pt idx="531">
                  <c:v>16.439632545931762</c:v>
                </c:pt>
                <c:pt idx="532">
                  <c:v>0</c:v>
                </c:pt>
                <c:pt idx="534">
                  <c:v>0</c:v>
                </c:pt>
                <c:pt idx="535">
                  <c:v>0</c:v>
                </c:pt>
                <c:pt idx="536">
                  <c:v>16.439632545931762</c:v>
                </c:pt>
                <c:pt idx="537">
                  <c:v>16.439632545931762</c:v>
                </c:pt>
                <c:pt idx="538">
                  <c:v>0</c:v>
                </c:pt>
                <c:pt idx="540">
                  <c:v>17.999999999999989</c:v>
                </c:pt>
                <c:pt idx="541">
                  <c:v>17.999999999999989</c:v>
                </c:pt>
                <c:pt idx="542">
                  <c:v>34.439632545931751</c:v>
                </c:pt>
                <c:pt idx="543">
                  <c:v>34.439632545931751</c:v>
                </c:pt>
                <c:pt idx="544">
                  <c:v>17.999999999999989</c:v>
                </c:pt>
                <c:pt idx="546">
                  <c:v>17.999999999999989</c:v>
                </c:pt>
                <c:pt idx="547">
                  <c:v>17.999999999999989</c:v>
                </c:pt>
                <c:pt idx="548">
                  <c:v>34.439632545931751</c:v>
                </c:pt>
                <c:pt idx="549">
                  <c:v>34.439632545931751</c:v>
                </c:pt>
                <c:pt idx="550">
                  <c:v>17.999999999999989</c:v>
                </c:pt>
                <c:pt idx="552">
                  <c:v>35.999999999999979</c:v>
                </c:pt>
                <c:pt idx="553">
                  <c:v>35.999999999999979</c:v>
                </c:pt>
                <c:pt idx="554">
                  <c:v>52.439632545931744</c:v>
                </c:pt>
                <c:pt idx="555">
                  <c:v>52.439632545931744</c:v>
                </c:pt>
                <c:pt idx="556">
                  <c:v>35.999999999999979</c:v>
                </c:pt>
                <c:pt idx="558">
                  <c:v>35.999999999999979</c:v>
                </c:pt>
                <c:pt idx="559">
                  <c:v>35.999999999999979</c:v>
                </c:pt>
                <c:pt idx="560">
                  <c:v>52.439632545931744</c:v>
                </c:pt>
                <c:pt idx="561">
                  <c:v>52.439632545931744</c:v>
                </c:pt>
                <c:pt idx="562">
                  <c:v>35.999999999999979</c:v>
                </c:pt>
                <c:pt idx="564">
                  <c:v>53.999999999999972</c:v>
                </c:pt>
                <c:pt idx="565">
                  <c:v>53.999999999999972</c:v>
                </c:pt>
                <c:pt idx="566">
                  <c:v>70.43963254593173</c:v>
                </c:pt>
                <c:pt idx="567">
                  <c:v>70.43963254593173</c:v>
                </c:pt>
                <c:pt idx="568">
                  <c:v>53.999999999999972</c:v>
                </c:pt>
                <c:pt idx="570">
                  <c:v>53.999999999999972</c:v>
                </c:pt>
                <c:pt idx="571">
                  <c:v>53.999999999999972</c:v>
                </c:pt>
                <c:pt idx="572">
                  <c:v>70.43963254593173</c:v>
                </c:pt>
                <c:pt idx="573">
                  <c:v>70.43963254593173</c:v>
                </c:pt>
                <c:pt idx="574">
                  <c:v>53.999999999999972</c:v>
                </c:pt>
                <c:pt idx="576">
                  <c:v>0</c:v>
                </c:pt>
                <c:pt idx="577">
                  <c:v>0</c:v>
                </c:pt>
                <c:pt idx="578">
                  <c:v>16.439632545931762</c:v>
                </c:pt>
                <c:pt idx="579">
                  <c:v>16.439632545931762</c:v>
                </c:pt>
                <c:pt idx="580">
                  <c:v>0</c:v>
                </c:pt>
                <c:pt idx="582">
                  <c:v>0</c:v>
                </c:pt>
                <c:pt idx="583">
                  <c:v>0</c:v>
                </c:pt>
                <c:pt idx="584">
                  <c:v>16.439632545931762</c:v>
                </c:pt>
                <c:pt idx="585">
                  <c:v>16.439632545931762</c:v>
                </c:pt>
                <c:pt idx="586">
                  <c:v>0</c:v>
                </c:pt>
                <c:pt idx="588">
                  <c:v>17.999999999999989</c:v>
                </c:pt>
                <c:pt idx="589">
                  <c:v>17.999999999999989</c:v>
                </c:pt>
                <c:pt idx="590">
                  <c:v>34.439632545931751</c:v>
                </c:pt>
                <c:pt idx="591">
                  <c:v>34.439632545931751</c:v>
                </c:pt>
                <c:pt idx="592">
                  <c:v>17.999999999999989</c:v>
                </c:pt>
                <c:pt idx="594">
                  <c:v>17.999999999999989</c:v>
                </c:pt>
                <c:pt idx="595">
                  <c:v>17.999999999999989</c:v>
                </c:pt>
                <c:pt idx="596">
                  <c:v>34.439632545931751</c:v>
                </c:pt>
                <c:pt idx="597">
                  <c:v>34.439632545931751</c:v>
                </c:pt>
                <c:pt idx="598">
                  <c:v>17.999999999999989</c:v>
                </c:pt>
                <c:pt idx="600">
                  <c:v>35.999999999999979</c:v>
                </c:pt>
                <c:pt idx="601">
                  <c:v>35.999999999999979</c:v>
                </c:pt>
                <c:pt idx="602">
                  <c:v>52.439632545931744</c:v>
                </c:pt>
                <c:pt idx="603">
                  <c:v>52.439632545931744</c:v>
                </c:pt>
                <c:pt idx="604">
                  <c:v>35.999999999999979</c:v>
                </c:pt>
                <c:pt idx="606">
                  <c:v>35.999999999999979</c:v>
                </c:pt>
                <c:pt idx="607">
                  <c:v>35.999999999999979</c:v>
                </c:pt>
                <c:pt idx="608">
                  <c:v>52.439632545931744</c:v>
                </c:pt>
                <c:pt idx="609">
                  <c:v>52.439632545931744</c:v>
                </c:pt>
                <c:pt idx="610">
                  <c:v>35.999999999999979</c:v>
                </c:pt>
                <c:pt idx="612">
                  <c:v>53.999999999999972</c:v>
                </c:pt>
                <c:pt idx="613">
                  <c:v>53.999999999999972</c:v>
                </c:pt>
                <c:pt idx="614">
                  <c:v>70.43963254593173</c:v>
                </c:pt>
                <c:pt idx="615">
                  <c:v>70.43963254593173</c:v>
                </c:pt>
                <c:pt idx="616">
                  <c:v>53.999999999999972</c:v>
                </c:pt>
                <c:pt idx="618">
                  <c:v>53.999999999999972</c:v>
                </c:pt>
                <c:pt idx="619">
                  <c:v>53.999999999999972</c:v>
                </c:pt>
                <c:pt idx="620">
                  <c:v>70.43963254593173</c:v>
                </c:pt>
                <c:pt idx="621">
                  <c:v>70.43963254593173</c:v>
                </c:pt>
                <c:pt idx="622">
                  <c:v>53.999999999999972</c:v>
                </c:pt>
                <c:pt idx="624">
                  <c:v>0</c:v>
                </c:pt>
                <c:pt idx="625">
                  <c:v>0</c:v>
                </c:pt>
                <c:pt idx="626">
                  <c:v>16.439632545931762</c:v>
                </c:pt>
                <c:pt idx="627">
                  <c:v>16.439632545931762</c:v>
                </c:pt>
                <c:pt idx="628">
                  <c:v>0</c:v>
                </c:pt>
                <c:pt idx="630">
                  <c:v>0</c:v>
                </c:pt>
                <c:pt idx="631">
                  <c:v>0</c:v>
                </c:pt>
                <c:pt idx="632">
                  <c:v>16.439632545931762</c:v>
                </c:pt>
                <c:pt idx="633">
                  <c:v>16.439632545931762</c:v>
                </c:pt>
                <c:pt idx="634">
                  <c:v>0</c:v>
                </c:pt>
                <c:pt idx="636">
                  <c:v>17.999999999999989</c:v>
                </c:pt>
                <c:pt idx="637">
                  <c:v>17.999999999999989</c:v>
                </c:pt>
                <c:pt idx="638">
                  <c:v>34.439632545931751</c:v>
                </c:pt>
                <c:pt idx="639">
                  <c:v>34.439632545931751</c:v>
                </c:pt>
                <c:pt idx="640">
                  <c:v>17.999999999999989</c:v>
                </c:pt>
                <c:pt idx="642">
                  <c:v>17.999999999999989</c:v>
                </c:pt>
                <c:pt idx="643">
                  <c:v>17.999999999999989</c:v>
                </c:pt>
                <c:pt idx="644">
                  <c:v>34.439632545931751</c:v>
                </c:pt>
                <c:pt idx="645">
                  <c:v>34.439632545931751</c:v>
                </c:pt>
                <c:pt idx="646">
                  <c:v>17.999999999999989</c:v>
                </c:pt>
                <c:pt idx="648">
                  <c:v>35.999999999999979</c:v>
                </c:pt>
                <c:pt idx="649">
                  <c:v>35.999999999999979</c:v>
                </c:pt>
                <c:pt idx="650">
                  <c:v>52.439632545931744</c:v>
                </c:pt>
                <c:pt idx="651">
                  <c:v>52.439632545931744</c:v>
                </c:pt>
                <c:pt idx="652">
                  <c:v>35.999999999999979</c:v>
                </c:pt>
                <c:pt idx="654">
                  <c:v>35.999999999999979</c:v>
                </c:pt>
                <c:pt idx="655">
                  <c:v>35.999999999999979</c:v>
                </c:pt>
                <c:pt idx="656">
                  <c:v>52.439632545931744</c:v>
                </c:pt>
                <c:pt idx="657">
                  <c:v>52.439632545931744</c:v>
                </c:pt>
                <c:pt idx="658">
                  <c:v>35.999999999999979</c:v>
                </c:pt>
                <c:pt idx="660">
                  <c:v>53.999999999999972</c:v>
                </c:pt>
                <c:pt idx="661">
                  <c:v>53.999999999999972</c:v>
                </c:pt>
                <c:pt idx="662">
                  <c:v>70.43963254593173</c:v>
                </c:pt>
                <c:pt idx="663">
                  <c:v>70.43963254593173</c:v>
                </c:pt>
                <c:pt idx="664">
                  <c:v>53.999999999999972</c:v>
                </c:pt>
                <c:pt idx="666">
                  <c:v>53.999999999999972</c:v>
                </c:pt>
                <c:pt idx="667">
                  <c:v>53.999999999999972</c:v>
                </c:pt>
                <c:pt idx="668">
                  <c:v>70.43963254593173</c:v>
                </c:pt>
                <c:pt idx="669">
                  <c:v>70.43963254593173</c:v>
                </c:pt>
                <c:pt idx="670">
                  <c:v>53.999999999999972</c:v>
                </c:pt>
                <c:pt idx="672">
                  <c:v>0</c:v>
                </c:pt>
                <c:pt idx="673">
                  <c:v>0</c:v>
                </c:pt>
                <c:pt idx="674">
                  <c:v>16.439632545931762</c:v>
                </c:pt>
                <c:pt idx="675">
                  <c:v>16.439632545931762</c:v>
                </c:pt>
                <c:pt idx="676">
                  <c:v>0</c:v>
                </c:pt>
                <c:pt idx="678">
                  <c:v>0</c:v>
                </c:pt>
                <c:pt idx="679">
                  <c:v>0</c:v>
                </c:pt>
                <c:pt idx="680">
                  <c:v>16.439632545931762</c:v>
                </c:pt>
                <c:pt idx="681">
                  <c:v>16.439632545931762</c:v>
                </c:pt>
                <c:pt idx="682">
                  <c:v>0</c:v>
                </c:pt>
                <c:pt idx="684">
                  <c:v>17.999999999999989</c:v>
                </c:pt>
                <c:pt idx="685">
                  <c:v>17.999999999999989</c:v>
                </c:pt>
                <c:pt idx="686">
                  <c:v>34.439632545931751</c:v>
                </c:pt>
                <c:pt idx="687">
                  <c:v>34.439632545931751</c:v>
                </c:pt>
                <c:pt idx="688">
                  <c:v>17.999999999999989</c:v>
                </c:pt>
                <c:pt idx="690">
                  <c:v>17.999999999999989</c:v>
                </c:pt>
                <c:pt idx="691">
                  <c:v>17.999999999999989</c:v>
                </c:pt>
                <c:pt idx="692">
                  <c:v>34.439632545931751</c:v>
                </c:pt>
                <c:pt idx="693">
                  <c:v>34.439632545931751</c:v>
                </c:pt>
                <c:pt idx="694">
                  <c:v>17.999999999999989</c:v>
                </c:pt>
                <c:pt idx="696">
                  <c:v>35.999999999999979</c:v>
                </c:pt>
                <c:pt idx="697">
                  <c:v>35.999999999999979</c:v>
                </c:pt>
                <c:pt idx="698">
                  <c:v>52.439632545931744</c:v>
                </c:pt>
                <c:pt idx="699">
                  <c:v>52.439632545931744</c:v>
                </c:pt>
                <c:pt idx="700">
                  <c:v>35.999999999999979</c:v>
                </c:pt>
                <c:pt idx="702">
                  <c:v>35.999999999999979</c:v>
                </c:pt>
                <c:pt idx="703">
                  <c:v>35.999999999999979</c:v>
                </c:pt>
                <c:pt idx="704">
                  <c:v>52.439632545931744</c:v>
                </c:pt>
                <c:pt idx="705">
                  <c:v>52.439632545931744</c:v>
                </c:pt>
                <c:pt idx="706">
                  <c:v>35.999999999999979</c:v>
                </c:pt>
                <c:pt idx="708">
                  <c:v>53.999999999999972</c:v>
                </c:pt>
                <c:pt idx="709">
                  <c:v>53.999999999999972</c:v>
                </c:pt>
                <c:pt idx="710">
                  <c:v>70.43963254593173</c:v>
                </c:pt>
                <c:pt idx="711">
                  <c:v>70.43963254593173</c:v>
                </c:pt>
                <c:pt idx="712">
                  <c:v>53.999999999999972</c:v>
                </c:pt>
                <c:pt idx="714">
                  <c:v>53.999999999999972</c:v>
                </c:pt>
                <c:pt idx="715">
                  <c:v>53.999999999999972</c:v>
                </c:pt>
                <c:pt idx="716">
                  <c:v>70.43963254593173</c:v>
                </c:pt>
                <c:pt idx="717">
                  <c:v>70.43963254593173</c:v>
                </c:pt>
                <c:pt idx="718">
                  <c:v>53.999999999999972</c:v>
                </c:pt>
                <c:pt idx="720">
                  <c:v>0</c:v>
                </c:pt>
                <c:pt idx="721">
                  <c:v>0</c:v>
                </c:pt>
                <c:pt idx="722">
                  <c:v>16.439632545931762</c:v>
                </c:pt>
                <c:pt idx="723">
                  <c:v>16.439632545931762</c:v>
                </c:pt>
                <c:pt idx="724">
                  <c:v>0</c:v>
                </c:pt>
                <c:pt idx="726">
                  <c:v>0</c:v>
                </c:pt>
                <c:pt idx="727">
                  <c:v>0</c:v>
                </c:pt>
                <c:pt idx="728">
                  <c:v>16.439632545931762</c:v>
                </c:pt>
                <c:pt idx="729">
                  <c:v>16.439632545931762</c:v>
                </c:pt>
                <c:pt idx="730">
                  <c:v>0</c:v>
                </c:pt>
                <c:pt idx="732">
                  <c:v>17.999999999999989</c:v>
                </c:pt>
                <c:pt idx="733">
                  <c:v>17.999999999999989</c:v>
                </c:pt>
                <c:pt idx="734">
                  <c:v>34.439632545931751</c:v>
                </c:pt>
                <c:pt idx="735">
                  <c:v>34.439632545931751</c:v>
                </c:pt>
                <c:pt idx="736">
                  <c:v>17.999999999999989</c:v>
                </c:pt>
                <c:pt idx="738">
                  <c:v>17.999999999999989</c:v>
                </c:pt>
                <c:pt idx="739">
                  <c:v>17.999999999999989</c:v>
                </c:pt>
                <c:pt idx="740">
                  <c:v>34.439632545931751</c:v>
                </c:pt>
                <c:pt idx="741">
                  <c:v>34.439632545931751</c:v>
                </c:pt>
                <c:pt idx="742">
                  <c:v>17.999999999999989</c:v>
                </c:pt>
                <c:pt idx="744">
                  <c:v>35.999999999999979</c:v>
                </c:pt>
                <c:pt idx="745">
                  <c:v>35.999999999999979</c:v>
                </c:pt>
                <c:pt idx="746">
                  <c:v>52.439632545931744</c:v>
                </c:pt>
                <c:pt idx="747">
                  <c:v>52.439632545931744</c:v>
                </c:pt>
                <c:pt idx="748">
                  <c:v>35.999999999999979</c:v>
                </c:pt>
                <c:pt idx="750">
                  <c:v>35.999999999999979</c:v>
                </c:pt>
                <c:pt idx="751">
                  <c:v>35.999999999999979</c:v>
                </c:pt>
                <c:pt idx="752">
                  <c:v>52.439632545931744</c:v>
                </c:pt>
                <c:pt idx="753">
                  <c:v>52.439632545931744</c:v>
                </c:pt>
                <c:pt idx="754">
                  <c:v>35.999999999999979</c:v>
                </c:pt>
                <c:pt idx="756">
                  <c:v>53.999999999999972</c:v>
                </c:pt>
                <c:pt idx="757">
                  <c:v>53.999999999999972</c:v>
                </c:pt>
                <c:pt idx="758">
                  <c:v>70.43963254593173</c:v>
                </c:pt>
                <c:pt idx="759">
                  <c:v>70.43963254593173</c:v>
                </c:pt>
                <c:pt idx="760">
                  <c:v>53.999999999999972</c:v>
                </c:pt>
                <c:pt idx="762">
                  <c:v>53.999999999999972</c:v>
                </c:pt>
                <c:pt idx="763">
                  <c:v>53.999999999999972</c:v>
                </c:pt>
                <c:pt idx="764">
                  <c:v>70.43963254593173</c:v>
                </c:pt>
                <c:pt idx="765">
                  <c:v>70.43963254593173</c:v>
                </c:pt>
                <c:pt idx="766">
                  <c:v>53.999999999999972</c:v>
                </c:pt>
                <c:pt idx="768">
                  <c:v>0</c:v>
                </c:pt>
                <c:pt idx="769">
                  <c:v>0</c:v>
                </c:pt>
                <c:pt idx="770">
                  <c:v>16.439632545931762</c:v>
                </c:pt>
                <c:pt idx="771">
                  <c:v>16.439632545931762</c:v>
                </c:pt>
                <c:pt idx="772">
                  <c:v>0</c:v>
                </c:pt>
                <c:pt idx="774">
                  <c:v>0</c:v>
                </c:pt>
                <c:pt idx="775">
                  <c:v>0</c:v>
                </c:pt>
                <c:pt idx="776">
                  <c:v>16.439632545931762</c:v>
                </c:pt>
                <c:pt idx="777">
                  <c:v>16.439632545931762</c:v>
                </c:pt>
                <c:pt idx="778">
                  <c:v>0</c:v>
                </c:pt>
                <c:pt idx="780">
                  <c:v>17.999999999999989</c:v>
                </c:pt>
                <c:pt idx="781">
                  <c:v>17.999999999999989</c:v>
                </c:pt>
                <c:pt idx="782">
                  <c:v>34.439632545931751</c:v>
                </c:pt>
                <c:pt idx="783">
                  <c:v>34.439632545931751</c:v>
                </c:pt>
                <c:pt idx="784">
                  <c:v>17.999999999999989</c:v>
                </c:pt>
                <c:pt idx="786">
                  <c:v>17.999999999999989</c:v>
                </c:pt>
                <c:pt idx="787">
                  <c:v>17.999999999999989</c:v>
                </c:pt>
                <c:pt idx="788">
                  <c:v>34.439632545931751</c:v>
                </c:pt>
                <c:pt idx="789">
                  <c:v>34.439632545931751</c:v>
                </c:pt>
                <c:pt idx="790">
                  <c:v>17.999999999999989</c:v>
                </c:pt>
                <c:pt idx="792">
                  <c:v>35.999999999999979</c:v>
                </c:pt>
                <c:pt idx="793">
                  <c:v>35.999999999999979</c:v>
                </c:pt>
                <c:pt idx="794">
                  <c:v>52.439632545931744</c:v>
                </c:pt>
                <c:pt idx="795">
                  <c:v>52.439632545931744</c:v>
                </c:pt>
                <c:pt idx="796">
                  <c:v>35.999999999999979</c:v>
                </c:pt>
                <c:pt idx="798">
                  <c:v>35.999999999999979</c:v>
                </c:pt>
                <c:pt idx="799">
                  <c:v>35.999999999999979</c:v>
                </c:pt>
                <c:pt idx="800">
                  <c:v>52.439632545931744</c:v>
                </c:pt>
                <c:pt idx="801">
                  <c:v>52.439632545931744</c:v>
                </c:pt>
                <c:pt idx="802">
                  <c:v>35.999999999999979</c:v>
                </c:pt>
                <c:pt idx="804">
                  <c:v>53.999999999999972</c:v>
                </c:pt>
                <c:pt idx="805">
                  <c:v>53.999999999999972</c:v>
                </c:pt>
                <c:pt idx="806">
                  <c:v>70.43963254593173</c:v>
                </c:pt>
                <c:pt idx="807">
                  <c:v>70.43963254593173</c:v>
                </c:pt>
                <c:pt idx="808">
                  <c:v>53.999999999999972</c:v>
                </c:pt>
                <c:pt idx="810">
                  <c:v>53.999999999999972</c:v>
                </c:pt>
                <c:pt idx="811">
                  <c:v>53.999999999999972</c:v>
                </c:pt>
                <c:pt idx="812">
                  <c:v>70.43963254593173</c:v>
                </c:pt>
                <c:pt idx="813">
                  <c:v>70.43963254593173</c:v>
                </c:pt>
                <c:pt idx="814">
                  <c:v>53.999999999999972</c:v>
                </c:pt>
                <c:pt idx="816">
                  <c:v>0</c:v>
                </c:pt>
                <c:pt idx="817">
                  <c:v>0</c:v>
                </c:pt>
                <c:pt idx="818">
                  <c:v>16.439632545931762</c:v>
                </c:pt>
                <c:pt idx="819">
                  <c:v>16.439632545931762</c:v>
                </c:pt>
                <c:pt idx="820">
                  <c:v>0</c:v>
                </c:pt>
                <c:pt idx="822">
                  <c:v>0</c:v>
                </c:pt>
                <c:pt idx="823">
                  <c:v>0</c:v>
                </c:pt>
                <c:pt idx="824">
                  <c:v>16.439632545931762</c:v>
                </c:pt>
                <c:pt idx="825">
                  <c:v>16.439632545931762</c:v>
                </c:pt>
                <c:pt idx="826">
                  <c:v>0</c:v>
                </c:pt>
                <c:pt idx="828">
                  <c:v>17.999999999999989</c:v>
                </c:pt>
                <c:pt idx="829">
                  <c:v>17.999999999999989</c:v>
                </c:pt>
                <c:pt idx="830">
                  <c:v>34.439632545931751</c:v>
                </c:pt>
                <c:pt idx="831">
                  <c:v>34.439632545931751</c:v>
                </c:pt>
                <c:pt idx="832">
                  <c:v>17.999999999999989</c:v>
                </c:pt>
                <c:pt idx="834">
                  <c:v>17.999999999999989</c:v>
                </c:pt>
                <c:pt idx="835">
                  <c:v>17.999999999999989</c:v>
                </c:pt>
                <c:pt idx="836">
                  <c:v>34.439632545931751</c:v>
                </c:pt>
                <c:pt idx="837">
                  <c:v>34.439632545931751</c:v>
                </c:pt>
                <c:pt idx="838">
                  <c:v>17.999999999999989</c:v>
                </c:pt>
                <c:pt idx="840">
                  <c:v>35.999999999999979</c:v>
                </c:pt>
                <c:pt idx="841">
                  <c:v>35.999999999999979</c:v>
                </c:pt>
                <c:pt idx="842">
                  <c:v>52.439632545931744</c:v>
                </c:pt>
                <c:pt idx="843">
                  <c:v>52.439632545931744</c:v>
                </c:pt>
                <c:pt idx="844">
                  <c:v>35.999999999999979</c:v>
                </c:pt>
                <c:pt idx="846">
                  <c:v>35.999999999999979</c:v>
                </c:pt>
                <c:pt idx="847">
                  <c:v>35.999999999999979</c:v>
                </c:pt>
                <c:pt idx="848">
                  <c:v>52.439632545931744</c:v>
                </c:pt>
                <c:pt idx="849">
                  <c:v>52.439632545931744</c:v>
                </c:pt>
                <c:pt idx="850">
                  <c:v>35.999999999999979</c:v>
                </c:pt>
                <c:pt idx="852">
                  <c:v>53.999999999999972</c:v>
                </c:pt>
                <c:pt idx="853">
                  <c:v>53.999999999999972</c:v>
                </c:pt>
                <c:pt idx="854">
                  <c:v>70.43963254593173</c:v>
                </c:pt>
                <c:pt idx="855">
                  <c:v>70.43963254593173</c:v>
                </c:pt>
                <c:pt idx="856">
                  <c:v>53.999999999999972</c:v>
                </c:pt>
                <c:pt idx="858">
                  <c:v>53.999999999999972</c:v>
                </c:pt>
                <c:pt idx="859">
                  <c:v>53.999999999999972</c:v>
                </c:pt>
                <c:pt idx="860">
                  <c:v>70.43963254593173</c:v>
                </c:pt>
                <c:pt idx="861">
                  <c:v>70.43963254593173</c:v>
                </c:pt>
                <c:pt idx="862">
                  <c:v>53.999999999999972</c:v>
                </c:pt>
                <c:pt idx="864">
                  <c:v>0</c:v>
                </c:pt>
                <c:pt idx="865">
                  <c:v>0</c:v>
                </c:pt>
                <c:pt idx="866">
                  <c:v>16.439632545931762</c:v>
                </c:pt>
                <c:pt idx="867">
                  <c:v>16.439632545931762</c:v>
                </c:pt>
                <c:pt idx="868">
                  <c:v>0</c:v>
                </c:pt>
                <c:pt idx="870">
                  <c:v>0</c:v>
                </c:pt>
                <c:pt idx="871">
                  <c:v>0</c:v>
                </c:pt>
                <c:pt idx="872">
                  <c:v>16.439632545931762</c:v>
                </c:pt>
                <c:pt idx="873">
                  <c:v>16.439632545931762</c:v>
                </c:pt>
                <c:pt idx="874">
                  <c:v>0</c:v>
                </c:pt>
                <c:pt idx="876">
                  <c:v>17.999999999999989</c:v>
                </c:pt>
                <c:pt idx="877">
                  <c:v>17.999999999999989</c:v>
                </c:pt>
                <c:pt idx="878">
                  <c:v>34.439632545931751</c:v>
                </c:pt>
                <c:pt idx="879">
                  <c:v>34.439632545931751</c:v>
                </c:pt>
                <c:pt idx="880">
                  <c:v>17.999999999999989</c:v>
                </c:pt>
                <c:pt idx="882">
                  <c:v>17.999999999999989</c:v>
                </c:pt>
                <c:pt idx="883">
                  <c:v>17.999999999999989</c:v>
                </c:pt>
                <c:pt idx="884">
                  <c:v>34.439632545931751</c:v>
                </c:pt>
                <c:pt idx="885">
                  <c:v>34.439632545931751</c:v>
                </c:pt>
                <c:pt idx="886">
                  <c:v>17.999999999999989</c:v>
                </c:pt>
                <c:pt idx="888">
                  <c:v>35.999999999999979</c:v>
                </c:pt>
                <c:pt idx="889">
                  <c:v>35.999999999999979</c:v>
                </c:pt>
                <c:pt idx="890">
                  <c:v>52.439632545931744</c:v>
                </c:pt>
                <c:pt idx="891">
                  <c:v>52.439632545931744</c:v>
                </c:pt>
                <c:pt idx="892">
                  <c:v>35.999999999999979</c:v>
                </c:pt>
                <c:pt idx="894">
                  <c:v>35.999999999999979</c:v>
                </c:pt>
                <c:pt idx="895">
                  <c:v>35.999999999999979</c:v>
                </c:pt>
                <c:pt idx="896">
                  <c:v>52.439632545931744</c:v>
                </c:pt>
                <c:pt idx="897">
                  <c:v>52.439632545931744</c:v>
                </c:pt>
                <c:pt idx="898">
                  <c:v>35.999999999999979</c:v>
                </c:pt>
                <c:pt idx="900">
                  <c:v>53.999999999999972</c:v>
                </c:pt>
                <c:pt idx="901">
                  <c:v>53.999999999999972</c:v>
                </c:pt>
                <c:pt idx="902">
                  <c:v>70.43963254593173</c:v>
                </c:pt>
                <c:pt idx="903">
                  <c:v>70.43963254593173</c:v>
                </c:pt>
                <c:pt idx="904">
                  <c:v>53.999999999999972</c:v>
                </c:pt>
                <c:pt idx="906">
                  <c:v>53.999999999999972</c:v>
                </c:pt>
                <c:pt idx="907">
                  <c:v>53.999999999999972</c:v>
                </c:pt>
                <c:pt idx="908">
                  <c:v>70.43963254593173</c:v>
                </c:pt>
                <c:pt idx="909">
                  <c:v>70.43963254593173</c:v>
                </c:pt>
                <c:pt idx="910">
                  <c:v>53.999999999999972</c:v>
                </c:pt>
                <c:pt idx="912">
                  <c:v>0</c:v>
                </c:pt>
                <c:pt idx="913">
                  <c:v>0</c:v>
                </c:pt>
                <c:pt idx="914">
                  <c:v>16.439632545931762</c:v>
                </c:pt>
                <c:pt idx="915">
                  <c:v>16.439632545931762</c:v>
                </c:pt>
                <c:pt idx="916">
                  <c:v>0</c:v>
                </c:pt>
                <c:pt idx="918">
                  <c:v>0</c:v>
                </c:pt>
                <c:pt idx="919">
                  <c:v>0</c:v>
                </c:pt>
                <c:pt idx="920">
                  <c:v>16.439632545931762</c:v>
                </c:pt>
                <c:pt idx="921">
                  <c:v>16.439632545931762</c:v>
                </c:pt>
                <c:pt idx="922">
                  <c:v>0</c:v>
                </c:pt>
                <c:pt idx="924">
                  <c:v>17.999999999999989</c:v>
                </c:pt>
                <c:pt idx="925">
                  <c:v>17.999999999999989</c:v>
                </c:pt>
                <c:pt idx="926">
                  <c:v>34.439632545931751</c:v>
                </c:pt>
                <c:pt idx="927">
                  <c:v>34.439632545931751</c:v>
                </c:pt>
                <c:pt idx="928">
                  <c:v>17.999999999999989</c:v>
                </c:pt>
                <c:pt idx="930">
                  <c:v>17.999999999999989</c:v>
                </c:pt>
                <c:pt idx="931">
                  <c:v>17.999999999999989</c:v>
                </c:pt>
                <c:pt idx="932">
                  <c:v>34.439632545931751</c:v>
                </c:pt>
                <c:pt idx="933">
                  <c:v>34.439632545931751</c:v>
                </c:pt>
                <c:pt idx="934">
                  <c:v>17.999999999999989</c:v>
                </c:pt>
                <c:pt idx="936">
                  <c:v>35.999999999999979</c:v>
                </c:pt>
                <c:pt idx="937">
                  <c:v>35.999999999999979</c:v>
                </c:pt>
                <c:pt idx="938">
                  <c:v>52.439632545931744</c:v>
                </c:pt>
                <c:pt idx="939">
                  <c:v>52.439632545931744</c:v>
                </c:pt>
                <c:pt idx="940">
                  <c:v>35.999999999999979</c:v>
                </c:pt>
                <c:pt idx="942">
                  <c:v>35.999999999999979</c:v>
                </c:pt>
                <c:pt idx="943">
                  <c:v>35.999999999999979</c:v>
                </c:pt>
                <c:pt idx="944">
                  <c:v>52.439632545931744</c:v>
                </c:pt>
                <c:pt idx="945">
                  <c:v>52.439632545931744</c:v>
                </c:pt>
                <c:pt idx="946">
                  <c:v>35.999999999999979</c:v>
                </c:pt>
                <c:pt idx="948">
                  <c:v>53.999999999999972</c:v>
                </c:pt>
                <c:pt idx="949">
                  <c:v>53.999999999999972</c:v>
                </c:pt>
                <c:pt idx="950">
                  <c:v>70.43963254593173</c:v>
                </c:pt>
                <c:pt idx="951">
                  <c:v>70.43963254593173</c:v>
                </c:pt>
                <c:pt idx="952">
                  <c:v>53.999999999999972</c:v>
                </c:pt>
                <c:pt idx="954">
                  <c:v>53.999999999999972</c:v>
                </c:pt>
                <c:pt idx="955">
                  <c:v>53.999999999999972</c:v>
                </c:pt>
                <c:pt idx="956">
                  <c:v>70.43963254593173</c:v>
                </c:pt>
                <c:pt idx="957">
                  <c:v>70.43963254593173</c:v>
                </c:pt>
                <c:pt idx="958">
                  <c:v>53.999999999999972</c:v>
                </c:pt>
                <c:pt idx="960">
                  <c:v>0</c:v>
                </c:pt>
                <c:pt idx="961">
                  <c:v>0</c:v>
                </c:pt>
                <c:pt idx="962">
                  <c:v>16.439632545931762</c:v>
                </c:pt>
                <c:pt idx="963">
                  <c:v>16.439632545931762</c:v>
                </c:pt>
                <c:pt idx="964">
                  <c:v>0</c:v>
                </c:pt>
                <c:pt idx="966">
                  <c:v>0</c:v>
                </c:pt>
                <c:pt idx="967">
                  <c:v>0</c:v>
                </c:pt>
                <c:pt idx="968">
                  <c:v>16.439632545931762</c:v>
                </c:pt>
                <c:pt idx="969">
                  <c:v>16.439632545931762</c:v>
                </c:pt>
                <c:pt idx="970">
                  <c:v>0</c:v>
                </c:pt>
                <c:pt idx="972">
                  <c:v>17.999999999999989</c:v>
                </c:pt>
                <c:pt idx="973">
                  <c:v>17.999999999999989</c:v>
                </c:pt>
                <c:pt idx="974">
                  <c:v>34.439632545931751</c:v>
                </c:pt>
                <c:pt idx="975">
                  <c:v>34.439632545931751</c:v>
                </c:pt>
                <c:pt idx="976">
                  <c:v>17.999999999999989</c:v>
                </c:pt>
                <c:pt idx="978">
                  <c:v>17.999999999999989</c:v>
                </c:pt>
                <c:pt idx="979">
                  <c:v>17.999999999999989</c:v>
                </c:pt>
                <c:pt idx="980">
                  <c:v>34.439632545931751</c:v>
                </c:pt>
                <c:pt idx="981">
                  <c:v>34.439632545931751</c:v>
                </c:pt>
                <c:pt idx="982">
                  <c:v>17.999999999999989</c:v>
                </c:pt>
                <c:pt idx="984">
                  <c:v>35.999999999999979</c:v>
                </c:pt>
                <c:pt idx="985">
                  <c:v>35.999999999999979</c:v>
                </c:pt>
                <c:pt idx="986">
                  <c:v>52.439632545931744</c:v>
                </c:pt>
                <c:pt idx="987">
                  <c:v>52.439632545931744</c:v>
                </c:pt>
                <c:pt idx="988">
                  <c:v>35.999999999999979</c:v>
                </c:pt>
                <c:pt idx="990">
                  <c:v>35.999999999999979</c:v>
                </c:pt>
                <c:pt idx="991">
                  <c:v>35.999999999999979</c:v>
                </c:pt>
                <c:pt idx="992">
                  <c:v>52.439632545931744</c:v>
                </c:pt>
                <c:pt idx="993">
                  <c:v>52.439632545931744</c:v>
                </c:pt>
                <c:pt idx="994">
                  <c:v>35.999999999999979</c:v>
                </c:pt>
                <c:pt idx="996">
                  <c:v>53.999999999999972</c:v>
                </c:pt>
                <c:pt idx="997">
                  <c:v>53.999999999999972</c:v>
                </c:pt>
                <c:pt idx="998">
                  <c:v>70.43963254593173</c:v>
                </c:pt>
                <c:pt idx="999">
                  <c:v>70.43963254593173</c:v>
                </c:pt>
                <c:pt idx="1000">
                  <c:v>53.999999999999972</c:v>
                </c:pt>
                <c:pt idx="1002">
                  <c:v>53.999999999999972</c:v>
                </c:pt>
                <c:pt idx="1003">
                  <c:v>53.999999999999972</c:v>
                </c:pt>
                <c:pt idx="1004">
                  <c:v>70.43963254593173</c:v>
                </c:pt>
                <c:pt idx="1005">
                  <c:v>70.43963254593173</c:v>
                </c:pt>
                <c:pt idx="1006">
                  <c:v>53.999999999999972</c:v>
                </c:pt>
                <c:pt idx="1008">
                  <c:v>0</c:v>
                </c:pt>
                <c:pt idx="1009">
                  <c:v>0</c:v>
                </c:pt>
                <c:pt idx="1010">
                  <c:v>16.439632545931762</c:v>
                </c:pt>
                <c:pt idx="1011">
                  <c:v>16.439632545931762</c:v>
                </c:pt>
                <c:pt idx="1012">
                  <c:v>0</c:v>
                </c:pt>
                <c:pt idx="1014">
                  <c:v>0</c:v>
                </c:pt>
                <c:pt idx="1015">
                  <c:v>0</c:v>
                </c:pt>
                <c:pt idx="1016">
                  <c:v>16.439632545931762</c:v>
                </c:pt>
                <c:pt idx="1017">
                  <c:v>16.439632545931762</c:v>
                </c:pt>
                <c:pt idx="1018">
                  <c:v>0</c:v>
                </c:pt>
                <c:pt idx="1020">
                  <c:v>17.999999999999989</c:v>
                </c:pt>
                <c:pt idx="1021">
                  <c:v>17.999999999999989</c:v>
                </c:pt>
                <c:pt idx="1022">
                  <c:v>34.439632545931751</c:v>
                </c:pt>
                <c:pt idx="1023">
                  <c:v>34.439632545931751</c:v>
                </c:pt>
                <c:pt idx="1024">
                  <c:v>17.999999999999989</c:v>
                </c:pt>
                <c:pt idx="1026">
                  <c:v>17.999999999999989</c:v>
                </c:pt>
                <c:pt idx="1027">
                  <c:v>17.999999999999989</c:v>
                </c:pt>
                <c:pt idx="1028">
                  <c:v>34.439632545931751</c:v>
                </c:pt>
                <c:pt idx="1029">
                  <c:v>34.439632545931751</c:v>
                </c:pt>
                <c:pt idx="1030">
                  <c:v>17.999999999999989</c:v>
                </c:pt>
                <c:pt idx="1032">
                  <c:v>35.999999999999979</c:v>
                </c:pt>
                <c:pt idx="1033">
                  <c:v>35.999999999999979</c:v>
                </c:pt>
                <c:pt idx="1034">
                  <c:v>52.439632545931744</c:v>
                </c:pt>
                <c:pt idx="1035">
                  <c:v>52.439632545931744</c:v>
                </c:pt>
                <c:pt idx="1036">
                  <c:v>35.999999999999979</c:v>
                </c:pt>
                <c:pt idx="1038">
                  <c:v>35.999999999999979</c:v>
                </c:pt>
                <c:pt idx="1039">
                  <c:v>35.999999999999979</c:v>
                </c:pt>
                <c:pt idx="1040">
                  <c:v>52.439632545931744</c:v>
                </c:pt>
                <c:pt idx="1041">
                  <c:v>52.439632545931744</c:v>
                </c:pt>
                <c:pt idx="1042">
                  <c:v>35.999999999999979</c:v>
                </c:pt>
                <c:pt idx="1044">
                  <c:v>53.999999999999972</c:v>
                </c:pt>
                <c:pt idx="1045">
                  <c:v>53.999999999999972</c:v>
                </c:pt>
                <c:pt idx="1046">
                  <c:v>70.43963254593173</c:v>
                </c:pt>
                <c:pt idx="1047">
                  <c:v>70.43963254593173</c:v>
                </c:pt>
                <c:pt idx="1048">
                  <c:v>53.999999999999972</c:v>
                </c:pt>
                <c:pt idx="1050">
                  <c:v>53.999999999999972</c:v>
                </c:pt>
                <c:pt idx="1051">
                  <c:v>53.999999999999972</c:v>
                </c:pt>
                <c:pt idx="1052">
                  <c:v>70.43963254593173</c:v>
                </c:pt>
                <c:pt idx="1053">
                  <c:v>70.43963254593173</c:v>
                </c:pt>
                <c:pt idx="1054">
                  <c:v>53.999999999999972</c:v>
                </c:pt>
                <c:pt idx="1056">
                  <c:v>0</c:v>
                </c:pt>
                <c:pt idx="1057">
                  <c:v>0</c:v>
                </c:pt>
                <c:pt idx="1058">
                  <c:v>16.439632545931762</c:v>
                </c:pt>
                <c:pt idx="1059">
                  <c:v>16.439632545931762</c:v>
                </c:pt>
                <c:pt idx="1060">
                  <c:v>0</c:v>
                </c:pt>
                <c:pt idx="1062">
                  <c:v>0</c:v>
                </c:pt>
                <c:pt idx="1063">
                  <c:v>0</c:v>
                </c:pt>
                <c:pt idx="1064">
                  <c:v>16.439632545931762</c:v>
                </c:pt>
                <c:pt idx="1065">
                  <c:v>16.439632545931762</c:v>
                </c:pt>
                <c:pt idx="1066">
                  <c:v>0</c:v>
                </c:pt>
                <c:pt idx="1068">
                  <c:v>17.999999999999989</c:v>
                </c:pt>
                <c:pt idx="1069">
                  <c:v>17.999999999999989</c:v>
                </c:pt>
                <c:pt idx="1070">
                  <c:v>34.439632545931751</c:v>
                </c:pt>
                <c:pt idx="1071">
                  <c:v>34.439632545931751</c:v>
                </c:pt>
                <c:pt idx="1072">
                  <c:v>17.999999999999989</c:v>
                </c:pt>
                <c:pt idx="1074">
                  <c:v>17.999999999999989</c:v>
                </c:pt>
                <c:pt idx="1075">
                  <c:v>17.999999999999989</c:v>
                </c:pt>
                <c:pt idx="1076">
                  <c:v>34.439632545931751</c:v>
                </c:pt>
                <c:pt idx="1077">
                  <c:v>34.439632545931751</c:v>
                </c:pt>
                <c:pt idx="1078">
                  <c:v>17.999999999999989</c:v>
                </c:pt>
                <c:pt idx="1080">
                  <c:v>35.999999999999979</c:v>
                </c:pt>
                <c:pt idx="1081">
                  <c:v>35.999999999999979</c:v>
                </c:pt>
                <c:pt idx="1082">
                  <c:v>52.439632545931744</c:v>
                </c:pt>
                <c:pt idx="1083">
                  <c:v>52.439632545931744</c:v>
                </c:pt>
                <c:pt idx="1084">
                  <c:v>35.999999999999979</c:v>
                </c:pt>
                <c:pt idx="1086">
                  <c:v>35.999999999999979</c:v>
                </c:pt>
                <c:pt idx="1087">
                  <c:v>35.999999999999979</c:v>
                </c:pt>
                <c:pt idx="1088">
                  <c:v>52.439632545931744</c:v>
                </c:pt>
                <c:pt idx="1089">
                  <c:v>52.439632545931744</c:v>
                </c:pt>
                <c:pt idx="1090">
                  <c:v>35.999999999999979</c:v>
                </c:pt>
                <c:pt idx="1092">
                  <c:v>53.999999999999972</c:v>
                </c:pt>
                <c:pt idx="1093">
                  <c:v>53.999999999999972</c:v>
                </c:pt>
                <c:pt idx="1094">
                  <c:v>70.43963254593173</c:v>
                </c:pt>
                <c:pt idx="1095">
                  <c:v>70.43963254593173</c:v>
                </c:pt>
                <c:pt idx="1096">
                  <c:v>53.999999999999972</c:v>
                </c:pt>
                <c:pt idx="1098">
                  <c:v>53.999999999999972</c:v>
                </c:pt>
                <c:pt idx="1099">
                  <c:v>53.999999999999972</c:v>
                </c:pt>
                <c:pt idx="1100">
                  <c:v>70.43963254593173</c:v>
                </c:pt>
                <c:pt idx="1101">
                  <c:v>70.43963254593173</c:v>
                </c:pt>
                <c:pt idx="1102">
                  <c:v>53.999999999999972</c:v>
                </c:pt>
                <c:pt idx="1104">
                  <c:v>0</c:v>
                </c:pt>
                <c:pt idx="1105">
                  <c:v>0</c:v>
                </c:pt>
                <c:pt idx="1106">
                  <c:v>16.439632545931762</c:v>
                </c:pt>
                <c:pt idx="1107">
                  <c:v>16.439632545931762</c:v>
                </c:pt>
                <c:pt idx="1108">
                  <c:v>0</c:v>
                </c:pt>
                <c:pt idx="1110">
                  <c:v>0</c:v>
                </c:pt>
                <c:pt idx="1111">
                  <c:v>0</c:v>
                </c:pt>
                <c:pt idx="1112">
                  <c:v>16.439632545931762</c:v>
                </c:pt>
                <c:pt idx="1113">
                  <c:v>16.439632545931762</c:v>
                </c:pt>
                <c:pt idx="1114">
                  <c:v>0</c:v>
                </c:pt>
                <c:pt idx="1116">
                  <c:v>17.999999999999989</c:v>
                </c:pt>
                <c:pt idx="1117">
                  <c:v>17.999999999999989</c:v>
                </c:pt>
                <c:pt idx="1118">
                  <c:v>34.439632545931751</c:v>
                </c:pt>
                <c:pt idx="1119">
                  <c:v>34.439632545931751</c:v>
                </c:pt>
                <c:pt idx="1120">
                  <c:v>17.999999999999989</c:v>
                </c:pt>
                <c:pt idx="1122">
                  <c:v>17.999999999999989</c:v>
                </c:pt>
                <c:pt idx="1123">
                  <c:v>17.999999999999989</c:v>
                </c:pt>
                <c:pt idx="1124">
                  <c:v>34.439632545931751</c:v>
                </c:pt>
                <c:pt idx="1125">
                  <c:v>34.439632545931751</c:v>
                </c:pt>
                <c:pt idx="1126">
                  <c:v>17.999999999999989</c:v>
                </c:pt>
                <c:pt idx="1128">
                  <c:v>35.999999999999979</c:v>
                </c:pt>
                <c:pt idx="1129">
                  <c:v>35.999999999999979</c:v>
                </c:pt>
                <c:pt idx="1130">
                  <c:v>52.439632545931744</c:v>
                </c:pt>
                <c:pt idx="1131">
                  <c:v>52.439632545931744</c:v>
                </c:pt>
                <c:pt idx="1132">
                  <c:v>35.999999999999979</c:v>
                </c:pt>
                <c:pt idx="1134">
                  <c:v>35.999999999999979</c:v>
                </c:pt>
                <c:pt idx="1135">
                  <c:v>35.999999999999979</c:v>
                </c:pt>
                <c:pt idx="1136">
                  <c:v>52.439632545931744</c:v>
                </c:pt>
                <c:pt idx="1137">
                  <c:v>52.439632545931744</c:v>
                </c:pt>
                <c:pt idx="1138">
                  <c:v>35.999999999999979</c:v>
                </c:pt>
                <c:pt idx="1140">
                  <c:v>53.999999999999972</c:v>
                </c:pt>
                <c:pt idx="1141">
                  <c:v>53.999999999999972</c:v>
                </c:pt>
                <c:pt idx="1142">
                  <c:v>70.43963254593173</c:v>
                </c:pt>
                <c:pt idx="1143">
                  <c:v>70.43963254593173</c:v>
                </c:pt>
                <c:pt idx="1144">
                  <c:v>53.999999999999972</c:v>
                </c:pt>
                <c:pt idx="1146">
                  <c:v>53.999999999999972</c:v>
                </c:pt>
                <c:pt idx="1147">
                  <c:v>53.999999999999972</c:v>
                </c:pt>
                <c:pt idx="1148">
                  <c:v>70.43963254593173</c:v>
                </c:pt>
                <c:pt idx="1149">
                  <c:v>70.43963254593173</c:v>
                </c:pt>
                <c:pt idx="1150">
                  <c:v>53.999999999999972</c:v>
                </c:pt>
                <c:pt idx="1152">
                  <c:v>0</c:v>
                </c:pt>
                <c:pt idx="1153">
                  <c:v>0</c:v>
                </c:pt>
                <c:pt idx="1154">
                  <c:v>16.439632545931762</c:v>
                </c:pt>
                <c:pt idx="1155">
                  <c:v>16.439632545931762</c:v>
                </c:pt>
                <c:pt idx="1156">
                  <c:v>0</c:v>
                </c:pt>
                <c:pt idx="1158">
                  <c:v>0</c:v>
                </c:pt>
                <c:pt idx="1159">
                  <c:v>0</c:v>
                </c:pt>
                <c:pt idx="1160">
                  <c:v>16.439632545931762</c:v>
                </c:pt>
                <c:pt idx="1161">
                  <c:v>16.439632545931762</c:v>
                </c:pt>
                <c:pt idx="1162">
                  <c:v>0</c:v>
                </c:pt>
                <c:pt idx="1164">
                  <c:v>17.999999999999989</c:v>
                </c:pt>
                <c:pt idx="1165">
                  <c:v>17.999999999999989</c:v>
                </c:pt>
                <c:pt idx="1166">
                  <c:v>34.439632545931751</c:v>
                </c:pt>
                <c:pt idx="1167">
                  <c:v>34.439632545931751</c:v>
                </c:pt>
                <c:pt idx="1168">
                  <c:v>17.999999999999989</c:v>
                </c:pt>
                <c:pt idx="1170">
                  <c:v>17.999999999999989</c:v>
                </c:pt>
                <c:pt idx="1171">
                  <c:v>17.999999999999989</c:v>
                </c:pt>
                <c:pt idx="1172">
                  <c:v>34.439632545931751</c:v>
                </c:pt>
                <c:pt idx="1173">
                  <c:v>34.439632545931751</c:v>
                </c:pt>
                <c:pt idx="1174">
                  <c:v>17.999999999999989</c:v>
                </c:pt>
                <c:pt idx="1176">
                  <c:v>35.999999999999979</c:v>
                </c:pt>
                <c:pt idx="1177">
                  <c:v>35.999999999999979</c:v>
                </c:pt>
                <c:pt idx="1178">
                  <c:v>52.439632545931744</c:v>
                </c:pt>
                <c:pt idx="1179">
                  <c:v>52.439632545931744</c:v>
                </c:pt>
                <c:pt idx="1180">
                  <c:v>35.999999999999979</c:v>
                </c:pt>
                <c:pt idx="1182">
                  <c:v>35.999999999999979</c:v>
                </c:pt>
                <c:pt idx="1183">
                  <c:v>35.999999999999979</c:v>
                </c:pt>
                <c:pt idx="1184">
                  <c:v>52.439632545931744</c:v>
                </c:pt>
                <c:pt idx="1185">
                  <c:v>52.439632545931744</c:v>
                </c:pt>
                <c:pt idx="1186">
                  <c:v>35.999999999999979</c:v>
                </c:pt>
                <c:pt idx="1188">
                  <c:v>53.999999999999972</c:v>
                </c:pt>
                <c:pt idx="1189">
                  <c:v>53.999999999999972</c:v>
                </c:pt>
                <c:pt idx="1190">
                  <c:v>70.43963254593173</c:v>
                </c:pt>
                <c:pt idx="1191">
                  <c:v>70.43963254593173</c:v>
                </c:pt>
                <c:pt idx="1192">
                  <c:v>53.999999999999972</c:v>
                </c:pt>
                <c:pt idx="1194">
                  <c:v>53.999999999999972</c:v>
                </c:pt>
                <c:pt idx="1195">
                  <c:v>53.999999999999972</c:v>
                </c:pt>
                <c:pt idx="1196">
                  <c:v>70.43963254593173</c:v>
                </c:pt>
                <c:pt idx="1197">
                  <c:v>70.43963254593173</c:v>
                </c:pt>
                <c:pt idx="1198">
                  <c:v>53.999999999999972</c:v>
                </c:pt>
                <c:pt idx="1200">
                  <c:v>0</c:v>
                </c:pt>
                <c:pt idx="1201">
                  <c:v>0</c:v>
                </c:pt>
                <c:pt idx="1202">
                  <c:v>16.439632545931762</c:v>
                </c:pt>
                <c:pt idx="1203">
                  <c:v>16.439632545931762</c:v>
                </c:pt>
                <c:pt idx="1204">
                  <c:v>0</c:v>
                </c:pt>
                <c:pt idx="1206">
                  <c:v>0</c:v>
                </c:pt>
                <c:pt idx="1207">
                  <c:v>0</c:v>
                </c:pt>
                <c:pt idx="1208">
                  <c:v>16.439632545931762</c:v>
                </c:pt>
                <c:pt idx="1209">
                  <c:v>16.439632545931762</c:v>
                </c:pt>
                <c:pt idx="1210">
                  <c:v>0</c:v>
                </c:pt>
                <c:pt idx="1212">
                  <c:v>17.999999999999989</c:v>
                </c:pt>
                <c:pt idx="1213">
                  <c:v>17.999999999999989</c:v>
                </c:pt>
                <c:pt idx="1214">
                  <c:v>34.439632545931751</c:v>
                </c:pt>
                <c:pt idx="1215">
                  <c:v>34.439632545931751</c:v>
                </c:pt>
                <c:pt idx="1216">
                  <c:v>17.999999999999989</c:v>
                </c:pt>
                <c:pt idx="1218">
                  <c:v>17.999999999999989</c:v>
                </c:pt>
                <c:pt idx="1219">
                  <c:v>17.999999999999989</c:v>
                </c:pt>
                <c:pt idx="1220">
                  <c:v>34.439632545931751</c:v>
                </c:pt>
                <c:pt idx="1221">
                  <c:v>34.439632545931751</c:v>
                </c:pt>
                <c:pt idx="1222">
                  <c:v>17.999999999999989</c:v>
                </c:pt>
                <c:pt idx="1224">
                  <c:v>35.999999999999979</c:v>
                </c:pt>
                <c:pt idx="1225">
                  <c:v>35.999999999999979</c:v>
                </c:pt>
                <c:pt idx="1226">
                  <c:v>52.439632545931744</c:v>
                </c:pt>
                <c:pt idx="1227">
                  <c:v>52.439632545931744</c:v>
                </c:pt>
                <c:pt idx="1228">
                  <c:v>35.999999999999979</c:v>
                </c:pt>
                <c:pt idx="1230">
                  <c:v>35.999999999999979</c:v>
                </c:pt>
                <c:pt idx="1231">
                  <c:v>35.999999999999979</c:v>
                </c:pt>
                <c:pt idx="1232">
                  <c:v>52.439632545931744</c:v>
                </c:pt>
                <c:pt idx="1233">
                  <c:v>52.439632545931744</c:v>
                </c:pt>
                <c:pt idx="1234">
                  <c:v>35.999999999999979</c:v>
                </c:pt>
                <c:pt idx="1236">
                  <c:v>53.999999999999972</c:v>
                </c:pt>
                <c:pt idx="1237">
                  <c:v>53.999999999999972</c:v>
                </c:pt>
                <c:pt idx="1238">
                  <c:v>70.43963254593173</c:v>
                </c:pt>
                <c:pt idx="1239">
                  <c:v>70.43963254593173</c:v>
                </c:pt>
                <c:pt idx="1240">
                  <c:v>53.999999999999972</c:v>
                </c:pt>
                <c:pt idx="1242">
                  <c:v>53.999999999999972</c:v>
                </c:pt>
                <c:pt idx="1243">
                  <c:v>53.999999999999972</c:v>
                </c:pt>
                <c:pt idx="1244">
                  <c:v>70.43963254593173</c:v>
                </c:pt>
                <c:pt idx="1245">
                  <c:v>70.43963254593173</c:v>
                </c:pt>
                <c:pt idx="1246">
                  <c:v>53.999999999999972</c:v>
                </c:pt>
                <c:pt idx="1248">
                  <c:v>0</c:v>
                </c:pt>
                <c:pt idx="1249">
                  <c:v>0</c:v>
                </c:pt>
                <c:pt idx="1250">
                  <c:v>16.439632545931762</c:v>
                </c:pt>
                <c:pt idx="1251">
                  <c:v>16.439632545931762</c:v>
                </c:pt>
                <c:pt idx="1252">
                  <c:v>0</c:v>
                </c:pt>
                <c:pt idx="1254">
                  <c:v>0</c:v>
                </c:pt>
                <c:pt idx="1255">
                  <c:v>0</c:v>
                </c:pt>
                <c:pt idx="1256">
                  <c:v>16.439632545931762</c:v>
                </c:pt>
                <c:pt idx="1257">
                  <c:v>16.439632545931762</c:v>
                </c:pt>
                <c:pt idx="1258">
                  <c:v>0</c:v>
                </c:pt>
                <c:pt idx="1260">
                  <c:v>17.999999999999989</c:v>
                </c:pt>
                <c:pt idx="1261">
                  <c:v>17.999999999999989</c:v>
                </c:pt>
                <c:pt idx="1262">
                  <c:v>34.439632545931751</c:v>
                </c:pt>
                <c:pt idx="1263">
                  <c:v>34.439632545931751</c:v>
                </c:pt>
                <c:pt idx="1264">
                  <c:v>17.999999999999989</c:v>
                </c:pt>
                <c:pt idx="1266">
                  <c:v>17.999999999999989</c:v>
                </c:pt>
                <c:pt idx="1267">
                  <c:v>17.999999999999989</c:v>
                </c:pt>
                <c:pt idx="1268">
                  <c:v>34.439632545931751</c:v>
                </c:pt>
                <c:pt idx="1269">
                  <c:v>34.439632545931751</c:v>
                </c:pt>
                <c:pt idx="1270">
                  <c:v>17.999999999999989</c:v>
                </c:pt>
                <c:pt idx="1272">
                  <c:v>35.999999999999979</c:v>
                </c:pt>
                <c:pt idx="1273">
                  <c:v>35.999999999999979</c:v>
                </c:pt>
                <c:pt idx="1274">
                  <c:v>52.439632545931744</c:v>
                </c:pt>
                <c:pt idx="1275">
                  <c:v>52.439632545931744</c:v>
                </c:pt>
                <c:pt idx="1276">
                  <c:v>35.999999999999979</c:v>
                </c:pt>
                <c:pt idx="1278">
                  <c:v>35.999999999999979</c:v>
                </c:pt>
                <c:pt idx="1279">
                  <c:v>35.999999999999979</c:v>
                </c:pt>
                <c:pt idx="1280">
                  <c:v>52.439632545931744</c:v>
                </c:pt>
                <c:pt idx="1281">
                  <c:v>52.439632545931744</c:v>
                </c:pt>
                <c:pt idx="1282">
                  <c:v>35.999999999999979</c:v>
                </c:pt>
                <c:pt idx="1284">
                  <c:v>53.999999999999972</c:v>
                </c:pt>
                <c:pt idx="1285">
                  <c:v>53.999999999999972</c:v>
                </c:pt>
                <c:pt idx="1286">
                  <c:v>70.43963254593173</c:v>
                </c:pt>
                <c:pt idx="1287">
                  <c:v>70.43963254593173</c:v>
                </c:pt>
                <c:pt idx="1288">
                  <c:v>53.999999999999972</c:v>
                </c:pt>
                <c:pt idx="1290">
                  <c:v>53.999999999999972</c:v>
                </c:pt>
                <c:pt idx="1291">
                  <c:v>53.999999999999972</c:v>
                </c:pt>
                <c:pt idx="1292">
                  <c:v>70.43963254593173</c:v>
                </c:pt>
                <c:pt idx="1293">
                  <c:v>70.43963254593173</c:v>
                </c:pt>
                <c:pt idx="1294">
                  <c:v>53.999999999999972</c:v>
                </c:pt>
                <c:pt idx="1296">
                  <c:v>0</c:v>
                </c:pt>
                <c:pt idx="1297">
                  <c:v>0</c:v>
                </c:pt>
                <c:pt idx="1298">
                  <c:v>16.439632545931762</c:v>
                </c:pt>
                <c:pt idx="1299">
                  <c:v>16.439632545931762</c:v>
                </c:pt>
                <c:pt idx="1300">
                  <c:v>0</c:v>
                </c:pt>
                <c:pt idx="1302">
                  <c:v>0</c:v>
                </c:pt>
                <c:pt idx="1303">
                  <c:v>0</c:v>
                </c:pt>
                <c:pt idx="1304">
                  <c:v>16.439632545931762</c:v>
                </c:pt>
                <c:pt idx="1305">
                  <c:v>16.439632545931762</c:v>
                </c:pt>
                <c:pt idx="1306">
                  <c:v>0</c:v>
                </c:pt>
                <c:pt idx="1308">
                  <c:v>17.999999999999989</c:v>
                </c:pt>
                <c:pt idx="1309">
                  <c:v>17.999999999999989</c:v>
                </c:pt>
                <c:pt idx="1310">
                  <c:v>34.439632545931751</c:v>
                </c:pt>
                <c:pt idx="1311">
                  <c:v>34.439632545931751</c:v>
                </c:pt>
                <c:pt idx="1312">
                  <c:v>17.999999999999989</c:v>
                </c:pt>
                <c:pt idx="1314">
                  <c:v>17.999999999999989</c:v>
                </c:pt>
                <c:pt idx="1315">
                  <c:v>17.999999999999989</c:v>
                </c:pt>
                <c:pt idx="1316">
                  <c:v>34.439632545931751</c:v>
                </c:pt>
                <c:pt idx="1317">
                  <c:v>34.439632545931751</c:v>
                </c:pt>
                <c:pt idx="1318">
                  <c:v>17.999999999999989</c:v>
                </c:pt>
                <c:pt idx="1320">
                  <c:v>35.999999999999979</c:v>
                </c:pt>
                <c:pt idx="1321">
                  <c:v>35.999999999999979</c:v>
                </c:pt>
                <c:pt idx="1322">
                  <c:v>52.439632545931744</c:v>
                </c:pt>
                <c:pt idx="1323">
                  <c:v>52.439632545931744</c:v>
                </c:pt>
                <c:pt idx="1324">
                  <c:v>35.999999999999979</c:v>
                </c:pt>
                <c:pt idx="1326">
                  <c:v>35.999999999999979</c:v>
                </c:pt>
                <c:pt idx="1327">
                  <c:v>35.999999999999979</c:v>
                </c:pt>
                <c:pt idx="1328">
                  <c:v>52.439632545931744</c:v>
                </c:pt>
                <c:pt idx="1329">
                  <c:v>52.439632545931744</c:v>
                </c:pt>
                <c:pt idx="1330">
                  <c:v>35.999999999999979</c:v>
                </c:pt>
                <c:pt idx="1332">
                  <c:v>53.999999999999972</c:v>
                </c:pt>
                <c:pt idx="1333">
                  <c:v>53.999999999999972</c:v>
                </c:pt>
                <c:pt idx="1334">
                  <c:v>70.43963254593173</c:v>
                </c:pt>
                <c:pt idx="1335">
                  <c:v>70.43963254593173</c:v>
                </c:pt>
                <c:pt idx="1336">
                  <c:v>53.999999999999972</c:v>
                </c:pt>
                <c:pt idx="1338">
                  <c:v>53.999999999999972</c:v>
                </c:pt>
                <c:pt idx="1339">
                  <c:v>53.999999999999972</c:v>
                </c:pt>
                <c:pt idx="1340">
                  <c:v>70.43963254593173</c:v>
                </c:pt>
                <c:pt idx="1341">
                  <c:v>70.43963254593173</c:v>
                </c:pt>
                <c:pt idx="1342">
                  <c:v>53.999999999999972</c:v>
                </c:pt>
                <c:pt idx="1344">
                  <c:v>0</c:v>
                </c:pt>
                <c:pt idx="1345">
                  <c:v>0</c:v>
                </c:pt>
                <c:pt idx="1346">
                  <c:v>16.439632545931762</c:v>
                </c:pt>
                <c:pt idx="1347">
                  <c:v>16.439632545931762</c:v>
                </c:pt>
                <c:pt idx="1348">
                  <c:v>0</c:v>
                </c:pt>
                <c:pt idx="1350">
                  <c:v>0</c:v>
                </c:pt>
                <c:pt idx="1351">
                  <c:v>0</c:v>
                </c:pt>
                <c:pt idx="1352">
                  <c:v>16.439632545931762</c:v>
                </c:pt>
                <c:pt idx="1353">
                  <c:v>16.439632545931762</c:v>
                </c:pt>
                <c:pt idx="1354">
                  <c:v>0</c:v>
                </c:pt>
                <c:pt idx="1356">
                  <c:v>17.999999999999989</c:v>
                </c:pt>
                <c:pt idx="1357">
                  <c:v>17.999999999999989</c:v>
                </c:pt>
                <c:pt idx="1358">
                  <c:v>34.439632545931751</c:v>
                </c:pt>
                <c:pt idx="1359">
                  <c:v>34.439632545931751</c:v>
                </c:pt>
                <c:pt idx="1360">
                  <c:v>17.999999999999989</c:v>
                </c:pt>
                <c:pt idx="1362">
                  <c:v>17.999999999999989</c:v>
                </c:pt>
                <c:pt idx="1363">
                  <c:v>17.999999999999989</c:v>
                </c:pt>
                <c:pt idx="1364">
                  <c:v>34.439632545931751</c:v>
                </c:pt>
                <c:pt idx="1365">
                  <c:v>34.439632545931751</c:v>
                </c:pt>
                <c:pt idx="1366">
                  <c:v>17.999999999999989</c:v>
                </c:pt>
                <c:pt idx="1368">
                  <c:v>35.999999999999979</c:v>
                </c:pt>
                <c:pt idx="1369">
                  <c:v>35.999999999999979</c:v>
                </c:pt>
                <c:pt idx="1370">
                  <c:v>52.439632545931744</c:v>
                </c:pt>
                <c:pt idx="1371">
                  <c:v>52.439632545931744</c:v>
                </c:pt>
                <c:pt idx="1372">
                  <c:v>35.999999999999979</c:v>
                </c:pt>
                <c:pt idx="1374">
                  <c:v>35.999999999999979</c:v>
                </c:pt>
                <c:pt idx="1375">
                  <c:v>35.999999999999979</c:v>
                </c:pt>
                <c:pt idx="1376">
                  <c:v>52.439632545931744</c:v>
                </c:pt>
                <c:pt idx="1377">
                  <c:v>52.439632545931744</c:v>
                </c:pt>
                <c:pt idx="1378">
                  <c:v>35.999999999999979</c:v>
                </c:pt>
                <c:pt idx="1380">
                  <c:v>53.999999999999972</c:v>
                </c:pt>
                <c:pt idx="1381">
                  <c:v>53.999999999999972</c:v>
                </c:pt>
                <c:pt idx="1382">
                  <c:v>70.43963254593173</c:v>
                </c:pt>
                <c:pt idx="1383">
                  <c:v>70.43963254593173</c:v>
                </c:pt>
                <c:pt idx="1384">
                  <c:v>53.999999999999972</c:v>
                </c:pt>
                <c:pt idx="1386">
                  <c:v>53.999999999999972</c:v>
                </c:pt>
                <c:pt idx="1387">
                  <c:v>53.999999999999972</c:v>
                </c:pt>
                <c:pt idx="1388">
                  <c:v>70.43963254593173</c:v>
                </c:pt>
                <c:pt idx="1389">
                  <c:v>70.43963254593173</c:v>
                </c:pt>
                <c:pt idx="1390">
                  <c:v>53.999999999999972</c:v>
                </c:pt>
                <c:pt idx="1392">
                  <c:v>0</c:v>
                </c:pt>
                <c:pt idx="1393">
                  <c:v>0</c:v>
                </c:pt>
                <c:pt idx="1394">
                  <c:v>16.439632545931762</c:v>
                </c:pt>
                <c:pt idx="1395">
                  <c:v>16.439632545931762</c:v>
                </c:pt>
                <c:pt idx="1396">
                  <c:v>0</c:v>
                </c:pt>
                <c:pt idx="1398">
                  <c:v>0</c:v>
                </c:pt>
                <c:pt idx="1399">
                  <c:v>0</c:v>
                </c:pt>
                <c:pt idx="1400">
                  <c:v>16.439632545931762</c:v>
                </c:pt>
                <c:pt idx="1401">
                  <c:v>16.439632545931762</c:v>
                </c:pt>
                <c:pt idx="1402">
                  <c:v>0</c:v>
                </c:pt>
                <c:pt idx="1404">
                  <c:v>17.999999999999989</c:v>
                </c:pt>
                <c:pt idx="1405">
                  <c:v>17.999999999999989</c:v>
                </c:pt>
                <c:pt idx="1406">
                  <c:v>34.439632545931751</c:v>
                </c:pt>
                <c:pt idx="1407">
                  <c:v>34.439632545931751</c:v>
                </c:pt>
                <c:pt idx="1408">
                  <c:v>17.999999999999989</c:v>
                </c:pt>
                <c:pt idx="1410">
                  <c:v>17.999999999999989</c:v>
                </c:pt>
                <c:pt idx="1411">
                  <c:v>17.999999999999989</c:v>
                </c:pt>
                <c:pt idx="1412">
                  <c:v>34.439632545931751</c:v>
                </c:pt>
                <c:pt idx="1413">
                  <c:v>34.439632545931751</c:v>
                </c:pt>
                <c:pt idx="1414">
                  <c:v>17.999999999999989</c:v>
                </c:pt>
                <c:pt idx="1416">
                  <c:v>35.999999999999979</c:v>
                </c:pt>
                <c:pt idx="1417">
                  <c:v>35.999999999999979</c:v>
                </c:pt>
                <c:pt idx="1418">
                  <c:v>52.439632545931744</c:v>
                </c:pt>
                <c:pt idx="1419">
                  <c:v>52.439632545931744</c:v>
                </c:pt>
                <c:pt idx="1420">
                  <c:v>35.999999999999979</c:v>
                </c:pt>
                <c:pt idx="1422">
                  <c:v>35.999999999999979</c:v>
                </c:pt>
                <c:pt idx="1423">
                  <c:v>35.999999999999979</c:v>
                </c:pt>
                <c:pt idx="1424">
                  <c:v>52.439632545931744</c:v>
                </c:pt>
                <c:pt idx="1425">
                  <c:v>52.439632545931744</c:v>
                </c:pt>
                <c:pt idx="1426">
                  <c:v>35.999999999999979</c:v>
                </c:pt>
                <c:pt idx="1428">
                  <c:v>53.999999999999972</c:v>
                </c:pt>
                <c:pt idx="1429">
                  <c:v>53.999999999999972</c:v>
                </c:pt>
                <c:pt idx="1430">
                  <c:v>70.43963254593173</c:v>
                </c:pt>
                <c:pt idx="1431">
                  <c:v>70.43963254593173</c:v>
                </c:pt>
                <c:pt idx="1432">
                  <c:v>53.999999999999972</c:v>
                </c:pt>
                <c:pt idx="1434">
                  <c:v>53.999999999999972</c:v>
                </c:pt>
                <c:pt idx="1435">
                  <c:v>53.999999999999972</c:v>
                </c:pt>
                <c:pt idx="1436">
                  <c:v>70.43963254593173</c:v>
                </c:pt>
                <c:pt idx="1437">
                  <c:v>70.43963254593173</c:v>
                </c:pt>
                <c:pt idx="1438">
                  <c:v>53.999999999999972</c:v>
                </c:pt>
                <c:pt idx="1440">
                  <c:v>0</c:v>
                </c:pt>
                <c:pt idx="1441">
                  <c:v>0</c:v>
                </c:pt>
                <c:pt idx="1442">
                  <c:v>16.439632545931762</c:v>
                </c:pt>
                <c:pt idx="1443">
                  <c:v>16.439632545931762</c:v>
                </c:pt>
                <c:pt idx="1444">
                  <c:v>0</c:v>
                </c:pt>
                <c:pt idx="1446">
                  <c:v>0</c:v>
                </c:pt>
                <c:pt idx="1447">
                  <c:v>0</c:v>
                </c:pt>
                <c:pt idx="1448">
                  <c:v>16.439632545931762</c:v>
                </c:pt>
                <c:pt idx="1449">
                  <c:v>16.439632545931762</c:v>
                </c:pt>
                <c:pt idx="1450">
                  <c:v>0</c:v>
                </c:pt>
                <c:pt idx="1452">
                  <c:v>17.999999999999989</c:v>
                </c:pt>
                <c:pt idx="1453">
                  <c:v>17.999999999999989</c:v>
                </c:pt>
                <c:pt idx="1454">
                  <c:v>34.439632545931751</c:v>
                </c:pt>
                <c:pt idx="1455">
                  <c:v>34.439632545931751</c:v>
                </c:pt>
                <c:pt idx="1456">
                  <c:v>17.999999999999989</c:v>
                </c:pt>
                <c:pt idx="1458">
                  <c:v>17.999999999999989</c:v>
                </c:pt>
                <c:pt idx="1459">
                  <c:v>17.999999999999989</c:v>
                </c:pt>
                <c:pt idx="1460">
                  <c:v>34.439632545931751</c:v>
                </c:pt>
                <c:pt idx="1461">
                  <c:v>34.439632545931751</c:v>
                </c:pt>
                <c:pt idx="1462">
                  <c:v>17.999999999999989</c:v>
                </c:pt>
                <c:pt idx="1464">
                  <c:v>35.999999999999979</c:v>
                </c:pt>
                <c:pt idx="1465">
                  <c:v>35.999999999999979</c:v>
                </c:pt>
                <c:pt idx="1466">
                  <c:v>52.439632545931744</c:v>
                </c:pt>
                <c:pt idx="1467">
                  <c:v>52.439632545931744</c:v>
                </c:pt>
                <c:pt idx="1468">
                  <c:v>35.999999999999979</c:v>
                </c:pt>
                <c:pt idx="1470">
                  <c:v>35.999999999999979</c:v>
                </c:pt>
                <c:pt idx="1471">
                  <c:v>35.999999999999979</c:v>
                </c:pt>
                <c:pt idx="1472">
                  <c:v>52.439632545931744</c:v>
                </c:pt>
                <c:pt idx="1473">
                  <c:v>52.439632545931744</c:v>
                </c:pt>
                <c:pt idx="1474">
                  <c:v>35.999999999999979</c:v>
                </c:pt>
                <c:pt idx="1476">
                  <c:v>53.999999999999972</c:v>
                </c:pt>
                <c:pt idx="1477">
                  <c:v>53.999999999999972</c:v>
                </c:pt>
                <c:pt idx="1478">
                  <c:v>70.43963254593173</c:v>
                </c:pt>
                <c:pt idx="1479">
                  <c:v>70.43963254593173</c:v>
                </c:pt>
                <c:pt idx="1480">
                  <c:v>53.999999999999972</c:v>
                </c:pt>
                <c:pt idx="1482">
                  <c:v>53.999999999999972</c:v>
                </c:pt>
                <c:pt idx="1483">
                  <c:v>53.999999999999972</c:v>
                </c:pt>
                <c:pt idx="1484">
                  <c:v>70.43963254593173</c:v>
                </c:pt>
                <c:pt idx="1485">
                  <c:v>70.43963254593173</c:v>
                </c:pt>
                <c:pt idx="1486">
                  <c:v>53.999999999999972</c:v>
                </c:pt>
                <c:pt idx="1488">
                  <c:v>0</c:v>
                </c:pt>
                <c:pt idx="1489">
                  <c:v>0</c:v>
                </c:pt>
                <c:pt idx="1490">
                  <c:v>16.439632545931762</c:v>
                </c:pt>
                <c:pt idx="1491">
                  <c:v>16.439632545931762</c:v>
                </c:pt>
                <c:pt idx="1492">
                  <c:v>0</c:v>
                </c:pt>
                <c:pt idx="1494">
                  <c:v>0</c:v>
                </c:pt>
                <c:pt idx="1495">
                  <c:v>0</c:v>
                </c:pt>
                <c:pt idx="1496">
                  <c:v>16.439632545931762</c:v>
                </c:pt>
                <c:pt idx="1497">
                  <c:v>16.439632545931762</c:v>
                </c:pt>
                <c:pt idx="1498">
                  <c:v>0</c:v>
                </c:pt>
                <c:pt idx="1500">
                  <c:v>17.999999999999989</c:v>
                </c:pt>
                <c:pt idx="1501">
                  <c:v>17.999999999999989</c:v>
                </c:pt>
                <c:pt idx="1502">
                  <c:v>34.439632545931751</c:v>
                </c:pt>
                <c:pt idx="1503">
                  <c:v>34.439632545931751</c:v>
                </c:pt>
                <c:pt idx="1504">
                  <c:v>17.999999999999989</c:v>
                </c:pt>
                <c:pt idx="1506">
                  <c:v>17.999999999999989</c:v>
                </c:pt>
                <c:pt idx="1507">
                  <c:v>17.999999999999989</c:v>
                </c:pt>
                <c:pt idx="1508">
                  <c:v>34.439632545931751</c:v>
                </c:pt>
                <c:pt idx="1509">
                  <c:v>34.439632545931751</c:v>
                </c:pt>
                <c:pt idx="1510">
                  <c:v>17.999999999999989</c:v>
                </c:pt>
                <c:pt idx="1512">
                  <c:v>35.999999999999979</c:v>
                </c:pt>
                <c:pt idx="1513">
                  <c:v>35.999999999999979</c:v>
                </c:pt>
                <c:pt idx="1514">
                  <c:v>52.439632545931744</c:v>
                </c:pt>
                <c:pt idx="1515">
                  <c:v>52.439632545931744</c:v>
                </c:pt>
                <c:pt idx="1516">
                  <c:v>35.999999999999979</c:v>
                </c:pt>
                <c:pt idx="1518">
                  <c:v>35.999999999999979</c:v>
                </c:pt>
                <c:pt idx="1519">
                  <c:v>35.999999999999979</c:v>
                </c:pt>
                <c:pt idx="1520">
                  <c:v>52.439632545931744</c:v>
                </c:pt>
                <c:pt idx="1521">
                  <c:v>52.439632545931744</c:v>
                </c:pt>
                <c:pt idx="1522">
                  <c:v>35.999999999999979</c:v>
                </c:pt>
                <c:pt idx="1524">
                  <c:v>53.999999999999972</c:v>
                </c:pt>
                <c:pt idx="1525">
                  <c:v>53.999999999999972</c:v>
                </c:pt>
                <c:pt idx="1526">
                  <c:v>70.43963254593173</c:v>
                </c:pt>
                <c:pt idx="1527">
                  <c:v>70.43963254593173</c:v>
                </c:pt>
                <c:pt idx="1528">
                  <c:v>53.999999999999972</c:v>
                </c:pt>
                <c:pt idx="1530">
                  <c:v>53.999999999999972</c:v>
                </c:pt>
                <c:pt idx="1531">
                  <c:v>53.999999999999972</c:v>
                </c:pt>
                <c:pt idx="1532">
                  <c:v>70.43963254593173</c:v>
                </c:pt>
                <c:pt idx="1533">
                  <c:v>70.43963254593173</c:v>
                </c:pt>
                <c:pt idx="1534">
                  <c:v>53.999999999999972</c:v>
                </c:pt>
                <c:pt idx="1536">
                  <c:v>0</c:v>
                </c:pt>
                <c:pt idx="1537">
                  <c:v>0</c:v>
                </c:pt>
                <c:pt idx="1538">
                  <c:v>16.439632545931762</c:v>
                </c:pt>
                <c:pt idx="1539">
                  <c:v>16.439632545931762</c:v>
                </c:pt>
                <c:pt idx="1540">
                  <c:v>0</c:v>
                </c:pt>
                <c:pt idx="1542">
                  <c:v>0</c:v>
                </c:pt>
                <c:pt idx="1543">
                  <c:v>0</c:v>
                </c:pt>
                <c:pt idx="1544">
                  <c:v>16.439632545931762</c:v>
                </c:pt>
                <c:pt idx="1545">
                  <c:v>16.439632545931762</c:v>
                </c:pt>
                <c:pt idx="1546">
                  <c:v>0</c:v>
                </c:pt>
                <c:pt idx="1548">
                  <c:v>17.999999999999989</c:v>
                </c:pt>
                <c:pt idx="1549">
                  <c:v>17.999999999999989</c:v>
                </c:pt>
                <c:pt idx="1550">
                  <c:v>34.439632545931751</c:v>
                </c:pt>
                <c:pt idx="1551">
                  <c:v>34.439632545931751</c:v>
                </c:pt>
                <c:pt idx="1552">
                  <c:v>17.999999999999989</c:v>
                </c:pt>
                <c:pt idx="1554">
                  <c:v>17.999999999999989</c:v>
                </c:pt>
                <c:pt idx="1555">
                  <c:v>17.999999999999989</c:v>
                </c:pt>
                <c:pt idx="1556">
                  <c:v>34.439632545931751</c:v>
                </c:pt>
                <c:pt idx="1557">
                  <c:v>34.439632545931751</c:v>
                </c:pt>
                <c:pt idx="1558">
                  <c:v>17.999999999999989</c:v>
                </c:pt>
                <c:pt idx="1560">
                  <c:v>35.999999999999979</c:v>
                </c:pt>
                <c:pt idx="1561">
                  <c:v>35.999999999999979</c:v>
                </c:pt>
                <c:pt idx="1562">
                  <c:v>52.439632545931744</c:v>
                </c:pt>
                <c:pt idx="1563">
                  <c:v>52.439632545931744</c:v>
                </c:pt>
                <c:pt idx="1564">
                  <c:v>35.999999999999979</c:v>
                </c:pt>
                <c:pt idx="1566">
                  <c:v>35.999999999999979</c:v>
                </c:pt>
                <c:pt idx="1567">
                  <c:v>35.999999999999979</c:v>
                </c:pt>
                <c:pt idx="1568">
                  <c:v>52.439632545931744</c:v>
                </c:pt>
                <c:pt idx="1569">
                  <c:v>52.439632545931744</c:v>
                </c:pt>
                <c:pt idx="1570">
                  <c:v>35.999999999999979</c:v>
                </c:pt>
                <c:pt idx="1572">
                  <c:v>53.999999999999972</c:v>
                </c:pt>
                <c:pt idx="1573">
                  <c:v>53.999999999999972</c:v>
                </c:pt>
                <c:pt idx="1574">
                  <c:v>70.43963254593173</c:v>
                </c:pt>
                <c:pt idx="1575">
                  <c:v>70.43963254593173</c:v>
                </c:pt>
                <c:pt idx="1576">
                  <c:v>53.999999999999972</c:v>
                </c:pt>
                <c:pt idx="1578">
                  <c:v>53.999999999999972</c:v>
                </c:pt>
                <c:pt idx="1579">
                  <c:v>53.999999999999972</c:v>
                </c:pt>
                <c:pt idx="1580">
                  <c:v>70.43963254593173</c:v>
                </c:pt>
                <c:pt idx="1581">
                  <c:v>70.43963254593173</c:v>
                </c:pt>
                <c:pt idx="1582">
                  <c:v>53.999999999999972</c:v>
                </c:pt>
                <c:pt idx="1584">
                  <c:v>0</c:v>
                </c:pt>
                <c:pt idx="1585">
                  <c:v>0</c:v>
                </c:pt>
                <c:pt idx="1586">
                  <c:v>16.439632545931762</c:v>
                </c:pt>
                <c:pt idx="1587">
                  <c:v>16.439632545931762</c:v>
                </c:pt>
                <c:pt idx="1588">
                  <c:v>0</c:v>
                </c:pt>
                <c:pt idx="1590">
                  <c:v>0</c:v>
                </c:pt>
                <c:pt idx="1591">
                  <c:v>0</c:v>
                </c:pt>
                <c:pt idx="1592">
                  <c:v>16.439632545931762</c:v>
                </c:pt>
                <c:pt idx="1593">
                  <c:v>16.439632545931762</c:v>
                </c:pt>
                <c:pt idx="1594">
                  <c:v>0</c:v>
                </c:pt>
                <c:pt idx="1596">
                  <c:v>17.999999999999989</c:v>
                </c:pt>
                <c:pt idx="1597">
                  <c:v>17.999999999999989</c:v>
                </c:pt>
                <c:pt idx="1598">
                  <c:v>34.439632545931751</c:v>
                </c:pt>
                <c:pt idx="1599">
                  <c:v>34.439632545931751</c:v>
                </c:pt>
                <c:pt idx="1600">
                  <c:v>17.999999999999989</c:v>
                </c:pt>
                <c:pt idx="1602">
                  <c:v>17.999999999999989</c:v>
                </c:pt>
                <c:pt idx="1603">
                  <c:v>17.999999999999989</c:v>
                </c:pt>
                <c:pt idx="1604">
                  <c:v>34.439632545931751</c:v>
                </c:pt>
                <c:pt idx="1605">
                  <c:v>34.439632545931751</c:v>
                </c:pt>
                <c:pt idx="1606">
                  <c:v>17.999999999999989</c:v>
                </c:pt>
                <c:pt idx="1608">
                  <c:v>35.999999999999979</c:v>
                </c:pt>
                <c:pt idx="1609">
                  <c:v>35.999999999999979</c:v>
                </c:pt>
                <c:pt idx="1610">
                  <c:v>52.439632545931744</c:v>
                </c:pt>
                <c:pt idx="1611">
                  <c:v>52.439632545931744</c:v>
                </c:pt>
                <c:pt idx="1612">
                  <c:v>35.999999999999979</c:v>
                </c:pt>
                <c:pt idx="1614">
                  <c:v>35.999999999999979</c:v>
                </c:pt>
                <c:pt idx="1615">
                  <c:v>35.999999999999979</c:v>
                </c:pt>
                <c:pt idx="1616">
                  <c:v>52.439632545931744</c:v>
                </c:pt>
                <c:pt idx="1617">
                  <c:v>52.439632545931744</c:v>
                </c:pt>
                <c:pt idx="1618">
                  <c:v>35.999999999999979</c:v>
                </c:pt>
                <c:pt idx="1620">
                  <c:v>53.999999999999972</c:v>
                </c:pt>
                <c:pt idx="1621">
                  <c:v>53.999999999999972</c:v>
                </c:pt>
                <c:pt idx="1622">
                  <c:v>70.43963254593173</c:v>
                </c:pt>
                <c:pt idx="1623">
                  <c:v>70.43963254593173</c:v>
                </c:pt>
                <c:pt idx="1624">
                  <c:v>53.999999999999972</c:v>
                </c:pt>
                <c:pt idx="1626">
                  <c:v>53.999999999999972</c:v>
                </c:pt>
                <c:pt idx="1627">
                  <c:v>53.999999999999972</c:v>
                </c:pt>
                <c:pt idx="1628">
                  <c:v>70.43963254593173</c:v>
                </c:pt>
                <c:pt idx="1629">
                  <c:v>70.43963254593173</c:v>
                </c:pt>
                <c:pt idx="1630">
                  <c:v>53.999999999999972</c:v>
                </c:pt>
                <c:pt idx="1632">
                  <c:v>0</c:v>
                </c:pt>
                <c:pt idx="1633">
                  <c:v>0</c:v>
                </c:pt>
                <c:pt idx="1634">
                  <c:v>16.439632545931762</c:v>
                </c:pt>
                <c:pt idx="1635">
                  <c:v>16.439632545931762</c:v>
                </c:pt>
                <c:pt idx="1636">
                  <c:v>0</c:v>
                </c:pt>
                <c:pt idx="1638">
                  <c:v>0</c:v>
                </c:pt>
                <c:pt idx="1639">
                  <c:v>0</c:v>
                </c:pt>
                <c:pt idx="1640">
                  <c:v>16.439632545931762</c:v>
                </c:pt>
                <c:pt idx="1641">
                  <c:v>16.439632545931762</c:v>
                </c:pt>
                <c:pt idx="1642">
                  <c:v>0</c:v>
                </c:pt>
                <c:pt idx="1644">
                  <c:v>17.999999999999989</c:v>
                </c:pt>
                <c:pt idx="1645">
                  <c:v>17.999999999999989</c:v>
                </c:pt>
                <c:pt idx="1646">
                  <c:v>34.439632545931751</c:v>
                </c:pt>
                <c:pt idx="1647">
                  <c:v>34.439632545931751</c:v>
                </c:pt>
                <c:pt idx="1648">
                  <c:v>17.999999999999989</c:v>
                </c:pt>
                <c:pt idx="1650">
                  <c:v>17.999999999999989</c:v>
                </c:pt>
                <c:pt idx="1651">
                  <c:v>17.999999999999989</c:v>
                </c:pt>
                <c:pt idx="1652">
                  <c:v>34.439632545931751</c:v>
                </c:pt>
                <c:pt idx="1653">
                  <c:v>34.439632545931751</c:v>
                </c:pt>
                <c:pt idx="1654">
                  <c:v>17.999999999999989</c:v>
                </c:pt>
                <c:pt idx="1656">
                  <c:v>35.999999999999979</c:v>
                </c:pt>
                <c:pt idx="1657">
                  <c:v>35.999999999999979</c:v>
                </c:pt>
                <c:pt idx="1658">
                  <c:v>52.439632545931744</c:v>
                </c:pt>
                <c:pt idx="1659">
                  <c:v>52.439632545931744</c:v>
                </c:pt>
                <c:pt idx="1660">
                  <c:v>35.999999999999979</c:v>
                </c:pt>
                <c:pt idx="1662">
                  <c:v>35.999999999999979</c:v>
                </c:pt>
                <c:pt idx="1663">
                  <c:v>35.999999999999979</c:v>
                </c:pt>
                <c:pt idx="1664">
                  <c:v>52.439632545931744</c:v>
                </c:pt>
                <c:pt idx="1665">
                  <c:v>52.439632545931744</c:v>
                </c:pt>
                <c:pt idx="1666">
                  <c:v>35.999999999999979</c:v>
                </c:pt>
                <c:pt idx="1668">
                  <c:v>53.999999999999972</c:v>
                </c:pt>
                <c:pt idx="1669">
                  <c:v>53.999999999999972</c:v>
                </c:pt>
                <c:pt idx="1670">
                  <c:v>70.43963254593173</c:v>
                </c:pt>
                <c:pt idx="1671">
                  <c:v>70.43963254593173</c:v>
                </c:pt>
                <c:pt idx="1672">
                  <c:v>53.999999999999972</c:v>
                </c:pt>
                <c:pt idx="1674">
                  <c:v>53.999999999999972</c:v>
                </c:pt>
                <c:pt idx="1675">
                  <c:v>53.999999999999972</c:v>
                </c:pt>
                <c:pt idx="1676">
                  <c:v>70.43963254593173</c:v>
                </c:pt>
                <c:pt idx="1677">
                  <c:v>70.43963254593173</c:v>
                </c:pt>
                <c:pt idx="1678">
                  <c:v>53.999999999999972</c:v>
                </c:pt>
                <c:pt idx="1680">
                  <c:v>0</c:v>
                </c:pt>
                <c:pt idx="1681">
                  <c:v>0</c:v>
                </c:pt>
                <c:pt idx="1682">
                  <c:v>16.439632545931762</c:v>
                </c:pt>
                <c:pt idx="1683">
                  <c:v>16.439632545931762</c:v>
                </c:pt>
                <c:pt idx="1684">
                  <c:v>0</c:v>
                </c:pt>
                <c:pt idx="1686">
                  <c:v>0</c:v>
                </c:pt>
                <c:pt idx="1687">
                  <c:v>0</c:v>
                </c:pt>
                <c:pt idx="1688">
                  <c:v>16.439632545931762</c:v>
                </c:pt>
                <c:pt idx="1689">
                  <c:v>16.439632545931762</c:v>
                </c:pt>
                <c:pt idx="1690">
                  <c:v>0</c:v>
                </c:pt>
                <c:pt idx="1692">
                  <c:v>17.999999999999989</c:v>
                </c:pt>
                <c:pt idx="1693">
                  <c:v>17.999999999999989</c:v>
                </c:pt>
                <c:pt idx="1694">
                  <c:v>34.439632545931751</c:v>
                </c:pt>
                <c:pt idx="1695">
                  <c:v>34.439632545931751</c:v>
                </c:pt>
                <c:pt idx="1696">
                  <c:v>17.999999999999989</c:v>
                </c:pt>
                <c:pt idx="1698">
                  <c:v>17.999999999999989</c:v>
                </c:pt>
                <c:pt idx="1699">
                  <c:v>17.999999999999989</c:v>
                </c:pt>
                <c:pt idx="1700">
                  <c:v>34.439632545931751</c:v>
                </c:pt>
                <c:pt idx="1701">
                  <c:v>34.439632545931751</c:v>
                </c:pt>
                <c:pt idx="1702">
                  <c:v>17.999999999999989</c:v>
                </c:pt>
                <c:pt idx="1704">
                  <c:v>35.999999999999979</c:v>
                </c:pt>
                <c:pt idx="1705">
                  <c:v>35.999999999999979</c:v>
                </c:pt>
                <c:pt idx="1706">
                  <c:v>52.439632545931744</c:v>
                </c:pt>
                <c:pt idx="1707">
                  <c:v>52.439632545931744</c:v>
                </c:pt>
                <c:pt idx="1708">
                  <c:v>35.999999999999979</c:v>
                </c:pt>
                <c:pt idx="1710">
                  <c:v>35.999999999999979</c:v>
                </c:pt>
                <c:pt idx="1711">
                  <c:v>35.999999999999979</c:v>
                </c:pt>
                <c:pt idx="1712">
                  <c:v>52.439632545931744</c:v>
                </c:pt>
                <c:pt idx="1713">
                  <c:v>52.439632545931744</c:v>
                </c:pt>
                <c:pt idx="1714">
                  <c:v>35.999999999999979</c:v>
                </c:pt>
                <c:pt idx="1716">
                  <c:v>53.999999999999972</c:v>
                </c:pt>
                <c:pt idx="1717">
                  <c:v>53.999999999999972</c:v>
                </c:pt>
                <c:pt idx="1718">
                  <c:v>70.43963254593173</c:v>
                </c:pt>
                <c:pt idx="1719">
                  <c:v>70.43963254593173</c:v>
                </c:pt>
                <c:pt idx="1720">
                  <c:v>53.999999999999972</c:v>
                </c:pt>
                <c:pt idx="1722">
                  <c:v>53.999999999999972</c:v>
                </c:pt>
                <c:pt idx="1723">
                  <c:v>53.999999999999972</c:v>
                </c:pt>
                <c:pt idx="1724">
                  <c:v>70.43963254593173</c:v>
                </c:pt>
                <c:pt idx="1725">
                  <c:v>70.43963254593173</c:v>
                </c:pt>
                <c:pt idx="1726">
                  <c:v>53.999999999999972</c:v>
                </c:pt>
                <c:pt idx="1728">
                  <c:v>0</c:v>
                </c:pt>
                <c:pt idx="1729">
                  <c:v>0</c:v>
                </c:pt>
                <c:pt idx="1730">
                  <c:v>16.439632545931762</c:v>
                </c:pt>
                <c:pt idx="1731">
                  <c:v>16.439632545931762</c:v>
                </c:pt>
                <c:pt idx="1732">
                  <c:v>0</c:v>
                </c:pt>
                <c:pt idx="1734">
                  <c:v>0</c:v>
                </c:pt>
                <c:pt idx="1735">
                  <c:v>0</c:v>
                </c:pt>
                <c:pt idx="1736">
                  <c:v>16.439632545931762</c:v>
                </c:pt>
                <c:pt idx="1737">
                  <c:v>16.439632545931762</c:v>
                </c:pt>
                <c:pt idx="1738">
                  <c:v>0</c:v>
                </c:pt>
                <c:pt idx="1740">
                  <c:v>17.999999999999989</c:v>
                </c:pt>
                <c:pt idx="1741">
                  <c:v>17.999999999999989</c:v>
                </c:pt>
                <c:pt idx="1742">
                  <c:v>34.439632545931751</c:v>
                </c:pt>
                <c:pt idx="1743">
                  <c:v>34.439632545931751</c:v>
                </c:pt>
                <c:pt idx="1744">
                  <c:v>17.999999999999989</c:v>
                </c:pt>
                <c:pt idx="1746">
                  <c:v>17.999999999999989</c:v>
                </c:pt>
                <c:pt idx="1747">
                  <c:v>17.999999999999989</c:v>
                </c:pt>
                <c:pt idx="1748">
                  <c:v>34.439632545931751</c:v>
                </c:pt>
                <c:pt idx="1749">
                  <c:v>34.439632545931751</c:v>
                </c:pt>
                <c:pt idx="1750">
                  <c:v>17.999999999999989</c:v>
                </c:pt>
                <c:pt idx="1752">
                  <c:v>35.999999999999979</c:v>
                </c:pt>
                <c:pt idx="1753">
                  <c:v>35.999999999999979</c:v>
                </c:pt>
                <c:pt idx="1754">
                  <c:v>52.439632545931744</c:v>
                </c:pt>
                <c:pt idx="1755">
                  <c:v>52.439632545931744</c:v>
                </c:pt>
                <c:pt idx="1756">
                  <c:v>35.999999999999979</c:v>
                </c:pt>
                <c:pt idx="1758">
                  <c:v>35.999999999999979</c:v>
                </c:pt>
                <c:pt idx="1759">
                  <c:v>35.999999999999979</c:v>
                </c:pt>
                <c:pt idx="1760">
                  <c:v>52.439632545931744</c:v>
                </c:pt>
                <c:pt idx="1761">
                  <c:v>52.439632545931744</c:v>
                </c:pt>
                <c:pt idx="1762">
                  <c:v>35.999999999999979</c:v>
                </c:pt>
                <c:pt idx="1764">
                  <c:v>53.999999999999972</c:v>
                </c:pt>
                <c:pt idx="1765">
                  <c:v>53.999999999999972</c:v>
                </c:pt>
                <c:pt idx="1766">
                  <c:v>70.43963254593173</c:v>
                </c:pt>
                <c:pt idx="1767">
                  <c:v>70.43963254593173</c:v>
                </c:pt>
                <c:pt idx="1768">
                  <c:v>53.999999999999972</c:v>
                </c:pt>
                <c:pt idx="1770">
                  <c:v>53.999999999999972</c:v>
                </c:pt>
                <c:pt idx="1771">
                  <c:v>53.999999999999972</c:v>
                </c:pt>
                <c:pt idx="1772">
                  <c:v>70.43963254593173</c:v>
                </c:pt>
                <c:pt idx="1773">
                  <c:v>70.43963254593173</c:v>
                </c:pt>
                <c:pt idx="1774">
                  <c:v>53.999999999999972</c:v>
                </c:pt>
                <c:pt idx="1776">
                  <c:v>0</c:v>
                </c:pt>
                <c:pt idx="1777">
                  <c:v>0</c:v>
                </c:pt>
                <c:pt idx="1778">
                  <c:v>16.439632545931762</c:v>
                </c:pt>
                <c:pt idx="1779">
                  <c:v>16.439632545931762</c:v>
                </c:pt>
                <c:pt idx="1780">
                  <c:v>0</c:v>
                </c:pt>
                <c:pt idx="1782">
                  <c:v>0</c:v>
                </c:pt>
                <c:pt idx="1783">
                  <c:v>0</c:v>
                </c:pt>
                <c:pt idx="1784">
                  <c:v>16.439632545931762</c:v>
                </c:pt>
                <c:pt idx="1785">
                  <c:v>16.439632545931762</c:v>
                </c:pt>
                <c:pt idx="1786">
                  <c:v>0</c:v>
                </c:pt>
                <c:pt idx="1788">
                  <c:v>17.999999999999989</c:v>
                </c:pt>
                <c:pt idx="1789">
                  <c:v>17.999999999999989</c:v>
                </c:pt>
                <c:pt idx="1790">
                  <c:v>34.439632545931751</c:v>
                </c:pt>
                <c:pt idx="1791">
                  <c:v>34.439632545931751</c:v>
                </c:pt>
                <c:pt idx="1792">
                  <c:v>17.999999999999989</c:v>
                </c:pt>
                <c:pt idx="1794">
                  <c:v>17.999999999999989</c:v>
                </c:pt>
                <c:pt idx="1795">
                  <c:v>17.999999999999989</c:v>
                </c:pt>
                <c:pt idx="1796">
                  <c:v>34.439632545931751</c:v>
                </c:pt>
                <c:pt idx="1797">
                  <c:v>34.439632545931751</c:v>
                </c:pt>
                <c:pt idx="1798">
                  <c:v>17.999999999999989</c:v>
                </c:pt>
                <c:pt idx="1800">
                  <c:v>35.999999999999979</c:v>
                </c:pt>
                <c:pt idx="1801">
                  <c:v>35.999999999999979</c:v>
                </c:pt>
                <c:pt idx="1802">
                  <c:v>52.439632545931744</c:v>
                </c:pt>
                <c:pt idx="1803">
                  <c:v>52.439632545931744</c:v>
                </c:pt>
                <c:pt idx="1804">
                  <c:v>35.999999999999979</c:v>
                </c:pt>
                <c:pt idx="1806">
                  <c:v>35.999999999999979</c:v>
                </c:pt>
                <c:pt idx="1807">
                  <c:v>35.999999999999979</c:v>
                </c:pt>
                <c:pt idx="1808">
                  <c:v>52.439632545931744</c:v>
                </c:pt>
                <c:pt idx="1809">
                  <c:v>52.439632545931744</c:v>
                </c:pt>
                <c:pt idx="1810">
                  <c:v>35.999999999999979</c:v>
                </c:pt>
                <c:pt idx="1812">
                  <c:v>53.999999999999972</c:v>
                </c:pt>
                <c:pt idx="1813">
                  <c:v>53.999999999999972</c:v>
                </c:pt>
                <c:pt idx="1814">
                  <c:v>70.43963254593173</c:v>
                </c:pt>
                <c:pt idx="1815">
                  <c:v>70.43963254593173</c:v>
                </c:pt>
                <c:pt idx="1816">
                  <c:v>53.999999999999972</c:v>
                </c:pt>
                <c:pt idx="1818">
                  <c:v>53.999999999999972</c:v>
                </c:pt>
                <c:pt idx="1819">
                  <c:v>53.999999999999972</c:v>
                </c:pt>
                <c:pt idx="1820">
                  <c:v>70.43963254593173</c:v>
                </c:pt>
                <c:pt idx="1821">
                  <c:v>70.43963254593173</c:v>
                </c:pt>
                <c:pt idx="1822">
                  <c:v>53.999999999999972</c:v>
                </c:pt>
                <c:pt idx="1824">
                  <c:v>0</c:v>
                </c:pt>
                <c:pt idx="1825">
                  <c:v>0</c:v>
                </c:pt>
                <c:pt idx="1826">
                  <c:v>16.439632545931762</c:v>
                </c:pt>
                <c:pt idx="1827">
                  <c:v>16.439632545931762</c:v>
                </c:pt>
                <c:pt idx="1828">
                  <c:v>0</c:v>
                </c:pt>
                <c:pt idx="1830">
                  <c:v>0</c:v>
                </c:pt>
                <c:pt idx="1831">
                  <c:v>0</c:v>
                </c:pt>
                <c:pt idx="1832">
                  <c:v>16.439632545931762</c:v>
                </c:pt>
                <c:pt idx="1833">
                  <c:v>16.439632545931762</c:v>
                </c:pt>
                <c:pt idx="1834">
                  <c:v>0</c:v>
                </c:pt>
                <c:pt idx="1836">
                  <c:v>17.999999999999989</c:v>
                </c:pt>
                <c:pt idx="1837">
                  <c:v>17.999999999999989</c:v>
                </c:pt>
                <c:pt idx="1838">
                  <c:v>34.439632545931751</c:v>
                </c:pt>
                <c:pt idx="1839">
                  <c:v>34.439632545931751</c:v>
                </c:pt>
                <c:pt idx="1840">
                  <c:v>17.999999999999989</c:v>
                </c:pt>
                <c:pt idx="1842">
                  <c:v>17.999999999999989</c:v>
                </c:pt>
                <c:pt idx="1843">
                  <c:v>17.999999999999989</c:v>
                </c:pt>
                <c:pt idx="1844">
                  <c:v>34.439632545931751</c:v>
                </c:pt>
                <c:pt idx="1845">
                  <c:v>34.439632545931751</c:v>
                </c:pt>
                <c:pt idx="1846">
                  <c:v>17.999999999999989</c:v>
                </c:pt>
                <c:pt idx="1848">
                  <c:v>35.999999999999979</c:v>
                </c:pt>
                <c:pt idx="1849">
                  <c:v>35.999999999999979</c:v>
                </c:pt>
                <c:pt idx="1850">
                  <c:v>52.439632545931744</c:v>
                </c:pt>
                <c:pt idx="1851">
                  <c:v>52.439632545931744</c:v>
                </c:pt>
                <c:pt idx="1852">
                  <c:v>35.999999999999979</c:v>
                </c:pt>
                <c:pt idx="1854">
                  <c:v>35.999999999999979</c:v>
                </c:pt>
                <c:pt idx="1855">
                  <c:v>35.999999999999979</c:v>
                </c:pt>
                <c:pt idx="1856">
                  <c:v>52.439632545931744</c:v>
                </c:pt>
                <c:pt idx="1857">
                  <c:v>52.439632545931744</c:v>
                </c:pt>
                <c:pt idx="1858">
                  <c:v>35.999999999999979</c:v>
                </c:pt>
                <c:pt idx="1860">
                  <c:v>53.999999999999972</c:v>
                </c:pt>
                <c:pt idx="1861">
                  <c:v>53.999999999999972</c:v>
                </c:pt>
                <c:pt idx="1862">
                  <c:v>70.43963254593173</c:v>
                </c:pt>
                <c:pt idx="1863">
                  <c:v>70.43963254593173</c:v>
                </c:pt>
                <c:pt idx="1864">
                  <c:v>53.999999999999972</c:v>
                </c:pt>
                <c:pt idx="1866">
                  <c:v>53.999999999999972</c:v>
                </c:pt>
                <c:pt idx="1867">
                  <c:v>53.999999999999972</c:v>
                </c:pt>
                <c:pt idx="1868">
                  <c:v>70.43963254593173</c:v>
                </c:pt>
                <c:pt idx="1869">
                  <c:v>70.43963254593173</c:v>
                </c:pt>
                <c:pt idx="1870">
                  <c:v>53.999999999999972</c:v>
                </c:pt>
                <c:pt idx="1872">
                  <c:v>0</c:v>
                </c:pt>
                <c:pt idx="1873">
                  <c:v>0</c:v>
                </c:pt>
                <c:pt idx="1874">
                  <c:v>16.439632545931762</c:v>
                </c:pt>
                <c:pt idx="1875">
                  <c:v>16.439632545931762</c:v>
                </c:pt>
                <c:pt idx="1876">
                  <c:v>0</c:v>
                </c:pt>
                <c:pt idx="1878">
                  <c:v>0</c:v>
                </c:pt>
                <c:pt idx="1879">
                  <c:v>0</c:v>
                </c:pt>
                <c:pt idx="1880">
                  <c:v>16.439632545931762</c:v>
                </c:pt>
                <c:pt idx="1881">
                  <c:v>16.439632545931762</c:v>
                </c:pt>
                <c:pt idx="1882">
                  <c:v>0</c:v>
                </c:pt>
                <c:pt idx="1884">
                  <c:v>17.999999999999989</c:v>
                </c:pt>
                <c:pt idx="1885">
                  <c:v>17.999999999999989</c:v>
                </c:pt>
                <c:pt idx="1886">
                  <c:v>34.439632545931751</c:v>
                </c:pt>
                <c:pt idx="1887">
                  <c:v>34.439632545931751</c:v>
                </c:pt>
                <c:pt idx="1888">
                  <c:v>17.999999999999989</c:v>
                </c:pt>
                <c:pt idx="1890">
                  <c:v>17.999999999999989</c:v>
                </c:pt>
                <c:pt idx="1891">
                  <c:v>17.999999999999989</c:v>
                </c:pt>
                <c:pt idx="1892">
                  <c:v>34.439632545931751</c:v>
                </c:pt>
                <c:pt idx="1893">
                  <c:v>34.439632545931751</c:v>
                </c:pt>
                <c:pt idx="1894">
                  <c:v>17.999999999999989</c:v>
                </c:pt>
                <c:pt idx="1896">
                  <c:v>35.999999999999979</c:v>
                </c:pt>
                <c:pt idx="1897">
                  <c:v>35.999999999999979</c:v>
                </c:pt>
                <c:pt idx="1898">
                  <c:v>52.439632545931744</c:v>
                </c:pt>
                <c:pt idx="1899">
                  <c:v>52.439632545931744</c:v>
                </c:pt>
                <c:pt idx="1900">
                  <c:v>35.999999999999979</c:v>
                </c:pt>
                <c:pt idx="1902">
                  <c:v>35.999999999999979</c:v>
                </c:pt>
                <c:pt idx="1903">
                  <c:v>35.999999999999979</c:v>
                </c:pt>
                <c:pt idx="1904">
                  <c:v>52.439632545931744</c:v>
                </c:pt>
                <c:pt idx="1905">
                  <c:v>52.439632545931744</c:v>
                </c:pt>
                <c:pt idx="1906">
                  <c:v>35.999999999999979</c:v>
                </c:pt>
                <c:pt idx="1908">
                  <c:v>53.999999999999972</c:v>
                </c:pt>
                <c:pt idx="1909">
                  <c:v>53.999999999999972</c:v>
                </c:pt>
                <c:pt idx="1910">
                  <c:v>70.43963254593173</c:v>
                </c:pt>
                <c:pt idx="1911">
                  <c:v>70.43963254593173</c:v>
                </c:pt>
                <c:pt idx="1912">
                  <c:v>53.999999999999972</c:v>
                </c:pt>
                <c:pt idx="1914">
                  <c:v>53.999999999999972</c:v>
                </c:pt>
                <c:pt idx="1915">
                  <c:v>53.999999999999972</c:v>
                </c:pt>
                <c:pt idx="1916">
                  <c:v>70.43963254593173</c:v>
                </c:pt>
                <c:pt idx="1917">
                  <c:v>70.43963254593173</c:v>
                </c:pt>
                <c:pt idx="1918">
                  <c:v>53.999999999999972</c:v>
                </c:pt>
                <c:pt idx="1920">
                  <c:v>0</c:v>
                </c:pt>
                <c:pt idx="1921">
                  <c:v>0</c:v>
                </c:pt>
                <c:pt idx="1922">
                  <c:v>16.439632545931762</c:v>
                </c:pt>
                <c:pt idx="1923">
                  <c:v>16.439632545931762</c:v>
                </c:pt>
                <c:pt idx="1924">
                  <c:v>0</c:v>
                </c:pt>
                <c:pt idx="1926">
                  <c:v>0</c:v>
                </c:pt>
                <c:pt idx="1927">
                  <c:v>0</c:v>
                </c:pt>
                <c:pt idx="1928">
                  <c:v>16.439632545931762</c:v>
                </c:pt>
                <c:pt idx="1929">
                  <c:v>16.439632545931762</c:v>
                </c:pt>
                <c:pt idx="1930">
                  <c:v>0</c:v>
                </c:pt>
                <c:pt idx="1932">
                  <c:v>17.999999999999989</c:v>
                </c:pt>
                <c:pt idx="1933">
                  <c:v>17.999999999999989</c:v>
                </c:pt>
                <c:pt idx="1934">
                  <c:v>34.439632545931751</c:v>
                </c:pt>
                <c:pt idx="1935">
                  <c:v>34.439632545931751</c:v>
                </c:pt>
                <c:pt idx="1936">
                  <c:v>17.999999999999989</c:v>
                </c:pt>
                <c:pt idx="1938">
                  <c:v>17.999999999999989</c:v>
                </c:pt>
                <c:pt idx="1939">
                  <c:v>17.999999999999989</c:v>
                </c:pt>
                <c:pt idx="1940">
                  <c:v>34.439632545931751</c:v>
                </c:pt>
                <c:pt idx="1941">
                  <c:v>34.439632545931751</c:v>
                </c:pt>
                <c:pt idx="1942">
                  <c:v>17.999999999999989</c:v>
                </c:pt>
                <c:pt idx="1944">
                  <c:v>35.999999999999979</c:v>
                </c:pt>
                <c:pt idx="1945">
                  <c:v>35.999999999999979</c:v>
                </c:pt>
                <c:pt idx="1946">
                  <c:v>52.439632545931744</c:v>
                </c:pt>
                <c:pt idx="1947">
                  <c:v>52.439632545931744</c:v>
                </c:pt>
                <c:pt idx="1948">
                  <c:v>35.999999999999979</c:v>
                </c:pt>
                <c:pt idx="1950">
                  <c:v>35.999999999999979</c:v>
                </c:pt>
                <c:pt idx="1951">
                  <c:v>35.999999999999979</c:v>
                </c:pt>
                <c:pt idx="1952">
                  <c:v>52.439632545931744</c:v>
                </c:pt>
                <c:pt idx="1953">
                  <c:v>52.439632545931744</c:v>
                </c:pt>
                <c:pt idx="1954">
                  <c:v>35.999999999999979</c:v>
                </c:pt>
                <c:pt idx="1956">
                  <c:v>53.999999999999972</c:v>
                </c:pt>
                <c:pt idx="1957">
                  <c:v>53.999999999999972</c:v>
                </c:pt>
                <c:pt idx="1958">
                  <c:v>70.43963254593173</c:v>
                </c:pt>
                <c:pt idx="1959">
                  <c:v>70.43963254593173</c:v>
                </c:pt>
                <c:pt idx="1960">
                  <c:v>53.999999999999972</c:v>
                </c:pt>
                <c:pt idx="1962">
                  <c:v>53.999999999999972</c:v>
                </c:pt>
                <c:pt idx="1963">
                  <c:v>53.999999999999972</c:v>
                </c:pt>
                <c:pt idx="1964">
                  <c:v>70.43963254593173</c:v>
                </c:pt>
                <c:pt idx="1965">
                  <c:v>70.43963254593173</c:v>
                </c:pt>
                <c:pt idx="1966">
                  <c:v>53.999999999999972</c:v>
                </c:pt>
                <c:pt idx="1968">
                  <c:v>0</c:v>
                </c:pt>
                <c:pt idx="1969">
                  <c:v>0</c:v>
                </c:pt>
                <c:pt idx="1970">
                  <c:v>16.439632545931762</c:v>
                </c:pt>
                <c:pt idx="1971">
                  <c:v>16.439632545931762</c:v>
                </c:pt>
                <c:pt idx="1972">
                  <c:v>0</c:v>
                </c:pt>
                <c:pt idx="1974">
                  <c:v>0</c:v>
                </c:pt>
                <c:pt idx="1975">
                  <c:v>0</c:v>
                </c:pt>
                <c:pt idx="1976">
                  <c:v>16.439632545931762</c:v>
                </c:pt>
                <c:pt idx="1977">
                  <c:v>16.439632545931762</c:v>
                </c:pt>
                <c:pt idx="1978">
                  <c:v>0</c:v>
                </c:pt>
                <c:pt idx="1980">
                  <c:v>17.999999999999989</c:v>
                </c:pt>
                <c:pt idx="1981">
                  <c:v>17.999999999999989</c:v>
                </c:pt>
                <c:pt idx="1982">
                  <c:v>34.439632545931751</c:v>
                </c:pt>
                <c:pt idx="1983">
                  <c:v>34.439632545931751</c:v>
                </c:pt>
                <c:pt idx="1984">
                  <c:v>17.999999999999989</c:v>
                </c:pt>
                <c:pt idx="1986">
                  <c:v>17.999999999999989</c:v>
                </c:pt>
                <c:pt idx="1987">
                  <c:v>17.999999999999989</c:v>
                </c:pt>
                <c:pt idx="1988">
                  <c:v>34.439632545931751</c:v>
                </c:pt>
                <c:pt idx="1989">
                  <c:v>34.439632545931751</c:v>
                </c:pt>
                <c:pt idx="1990">
                  <c:v>17.999999999999989</c:v>
                </c:pt>
                <c:pt idx="1992">
                  <c:v>35.999999999999979</c:v>
                </c:pt>
                <c:pt idx="1993">
                  <c:v>35.999999999999979</c:v>
                </c:pt>
                <c:pt idx="1994">
                  <c:v>52.439632545931744</c:v>
                </c:pt>
                <c:pt idx="1995">
                  <c:v>52.439632545931744</c:v>
                </c:pt>
                <c:pt idx="1996">
                  <c:v>35.999999999999979</c:v>
                </c:pt>
                <c:pt idx="1998">
                  <c:v>35.999999999999979</c:v>
                </c:pt>
                <c:pt idx="1999">
                  <c:v>35.999999999999979</c:v>
                </c:pt>
                <c:pt idx="2000">
                  <c:v>52.439632545931744</c:v>
                </c:pt>
                <c:pt idx="2001">
                  <c:v>52.439632545931744</c:v>
                </c:pt>
                <c:pt idx="2002">
                  <c:v>35.999999999999979</c:v>
                </c:pt>
                <c:pt idx="2004">
                  <c:v>53.999999999999972</c:v>
                </c:pt>
                <c:pt idx="2005">
                  <c:v>53.999999999999972</c:v>
                </c:pt>
                <c:pt idx="2006">
                  <c:v>70.43963254593173</c:v>
                </c:pt>
                <c:pt idx="2007">
                  <c:v>70.43963254593173</c:v>
                </c:pt>
                <c:pt idx="2008">
                  <c:v>53.999999999999972</c:v>
                </c:pt>
                <c:pt idx="2010">
                  <c:v>53.999999999999972</c:v>
                </c:pt>
                <c:pt idx="2011">
                  <c:v>53.999999999999972</c:v>
                </c:pt>
                <c:pt idx="2012">
                  <c:v>70.43963254593173</c:v>
                </c:pt>
                <c:pt idx="2013">
                  <c:v>70.43963254593173</c:v>
                </c:pt>
                <c:pt idx="2014">
                  <c:v>53.999999999999972</c:v>
                </c:pt>
                <c:pt idx="2016">
                  <c:v>0</c:v>
                </c:pt>
                <c:pt idx="2017">
                  <c:v>0</c:v>
                </c:pt>
                <c:pt idx="2018">
                  <c:v>16.439632545931762</c:v>
                </c:pt>
                <c:pt idx="2019">
                  <c:v>16.439632545931762</c:v>
                </c:pt>
                <c:pt idx="2020">
                  <c:v>0</c:v>
                </c:pt>
                <c:pt idx="2022">
                  <c:v>0</c:v>
                </c:pt>
                <c:pt idx="2023">
                  <c:v>0</c:v>
                </c:pt>
                <c:pt idx="2024">
                  <c:v>16.439632545931762</c:v>
                </c:pt>
                <c:pt idx="2025">
                  <c:v>16.439632545931762</c:v>
                </c:pt>
                <c:pt idx="2026">
                  <c:v>0</c:v>
                </c:pt>
                <c:pt idx="2028">
                  <c:v>17.999999999999989</c:v>
                </c:pt>
                <c:pt idx="2029">
                  <c:v>17.999999999999989</c:v>
                </c:pt>
                <c:pt idx="2030">
                  <c:v>34.439632545931751</c:v>
                </c:pt>
                <c:pt idx="2031">
                  <c:v>34.439632545931751</c:v>
                </c:pt>
                <c:pt idx="2032">
                  <c:v>17.999999999999989</c:v>
                </c:pt>
                <c:pt idx="2034">
                  <c:v>17.999999999999989</c:v>
                </c:pt>
                <c:pt idx="2035">
                  <c:v>17.999999999999989</c:v>
                </c:pt>
                <c:pt idx="2036">
                  <c:v>34.439632545931751</c:v>
                </c:pt>
                <c:pt idx="2037">
                  <c:v>34.439632545931751</c:v>
                </c:pt>
                <c:pt idx="2038">
                  <c:v>17.999999999999989</c:v>
                </c:pt>
                <c:pt idx="2040">
                  <c:v>35.999999999999979</c:v>
                </c:pt>
                <c:pt idx="2041">
                  <c:v>35.999999999999979</c:v>
                </c:pt>
                <c:pt idx="2042">
                  <c:v>52.439632545931744</c:v>
                </c:pt>
                <c:pt idx="2043">
                  <c:v>52.439632545931744</c:v>
                </c:pt>
                <c:pt idx="2044">
                  <c:v>35.999999999999979</c:v>
                </c:pt>
                <c:pt idx="2046">
                  <c:v>35.999999999999979</c:v>
                </c:pt>
                <c:pt idx="2047">
                  <c:v>35.999999999999979</c:v>
                </c:pt>
                <c:pt idx="2048">
                  <c:v>52.439632545931744</c:v>
                </c:pt>
                <c:pt idx="2049">
                  <c:v>52.439632545931744</c:v>
                </c:pt>
                <c:pt idx="2050">
                  <c:v>35.999999999999979</c:v>
                </c:pt>
                <c:pt idx="2052">
                  <c:v>53.999999999999972</c:v>
                </c:pt>
                <c:pt idx="2053">
                  <c:v>53.999999999999972</c:v>
                </c:pt>
                <c:pt idx="2054">
                  <c:v>70.43963254593173</c:v>
                </c:pt>
                <c:pt idx="2055">
                  <c:v>70.43963254593173</c:v>
                </c:pt>
                <c:pt idx="2056">
                  <c:v>53.999999999999972</c:v>
                </c:pt>
                <c:pt idx="2058">
                  <c:v>53.999999999999972</c:v>
                </c:pt>
                <c:pt idx="2059">
                  <c:v>53.999999999999972</c:v>
                </c:pt>
                <c:pt idx="2060">
                  <c:v>70.43963254593173</c:v>
                </c:pt>
                <c:pt idx="2061">
                  <c:v>70.43963254593173</c:v>
                </c:pt>
                <c:pt idx="2062">
                  <c:v>53.999999999999972</c:v>
                </c:pt>
                <c:pt idx="2064">
                  <c:v>0</c:v>
                </c:pt>
                <c:pt idx="2065">
                  <c:v>0</c:v>
                </c:pt>
                <c:pt idx="2066">
                  <c:v>16.439632545931762</c:v>
                </c:pt>
                <c:pt idx="2067">
                  <c:v>16.439632545931762</c:v>
                </c:pt>
                <c:pt idx="2068">
                  <c:v>0</c:v>
                </c:pt>
                <c:pt idx="2070">
                  <c:v>0</c:v>
                </c:pt>
                <c:pt idx="2071">
                  <c:v>0</c:v>
                </c:pt>
                <c:pt idx="2072">
                  <c:v>16.439632545931762</c:v>
                </c:pt>
                <c:pt idx="2073">
                  <c:v>16.439632545931762</c:v>
                </c:pt>
                <c:pt idx="2074">
                  <c:v>0</c:v>
                </c:pt>
                <c:pt idx="2076">
                  <c:v>17.999999999999989</c:v>
                </c:pt>
                <c:pt idx="2077">
                  <c:v>17.999999999999989</c:v>
                </c:pt>
                <c:pt idx="2078">
                  <c:v>34.439632545931751</c:v>
                </c:pt>
                <c:pt idx="2079">
                  <c:v>34.439632545931751</c:v>
                </c:pt>
                <c:pt idx="2080">
                  <c:v>17.999999999999989</c:v>
                </c:pt>
                <c:pt idx="2082">
                  <c:v>17.999999999999989</c:v>
                </c:pt>
                <c:pt idx="2083">
                  <c:v>17.999999999999989</c:v>
                </c:pt>
                <c:pt idx="2084">
                  <c:v>34.439632545931751</c:v>
                </c:pt>
                <c:pt idx="2085">
                  <c:v>34.439632545931751</c:v>
                </c:pt>
                <c:pt idx="2086">
                  <c:v>17.999999999999989</c:v>
                </c:pt>
                <c:pt idx="2088">
                  <c:v>35.999999999999979</c:v>
                </c:pt>
                <c:pt idx="2089">
                  <c:v>35.999999999999979</c:v>
                </c:pt>
                <c:pt idx="2090">
                  <c:v>52.439632545931744</c:v>
                </c:pt>
                <c:pt idx="2091">
                  <c:v>52.439632545931744</c:v>
                </c:pt>
                <c:pt idx="2092">
                  <c:v>35.999999999999979</c:v>
                </c:pt>
                <c:pt idx="2094">
                  <c:v>35.999999999999979</c:v>
                </c:pt>
                <c:pt idx="2095">
                  <c:v>35.999999999999979</c:v>
                </c:pt>
                <c:pt idx="2096">
                  <c:v>52.439632545931744</c:v>
                </c:pt>
                <c:pt idx="2097">
                  <c:v>52.439632545931744</c:v>
                </c:pt>
                <c:pt idx="2098">
                  <c:v>35.999999999999979</c:v>
                </c:pt>
                <c:pt idx="2100">
                  <c:v>53.999999999999972</c:v>
                </c:pt>
                <c:pt idx="2101">
                  <c:v>53.999999999999972</c:v>
                </c:pt>
                <c:pt idx="2102">
                  <c:v>70.43963254593173</c:v>
                </c:pt>
                <c:pt idx="2103">
                  <c:v>70.43963254593173</c:v>
                </c:pt>
                <c:pt idx="2104">
                  <c:v>53.999999999999972</c:v>
                </c:pt>
                <c:pt idx="2106">
                  <c:v>53.999999999999972</c:v>
                </c:pt>
                <c:pt idx="2107">
                  <c:v>53.999999999999972</c:v>
                </c:pt>
                <c:pt idx="2108">
                  <c:v>70.43963254593173</c:v>
                </c:pt>
                <c:pt idx="2109">
                  <c:v>70.43963254593173</c:v>
                </c:pt>
                <c:pt idx="2110">
                  <c:v>53.999999999999972</c:v>
                </c:pt>
                <c:pt idx="2112">
                  <c:v>0</c:v>
                </c:pt>
                <c:pt idx="2113">
                  <c:v>0</c:v>
                </c:pt>
                <c:pt idx="2114">
                  <c:v>16.439632545931762</c:v>
                </c:pt>
                <c:pt idx="2115">
                  <c:v>16.439632545931762</c:v>
                </c:pt>
                <c:pt idx="2116">
                  <c:v>0</c:v>
                </c:pt>
                <c:pt idx="2118">
                  <c:v>0</c:v>
                </c:pt>
                <c:pt idx="2119">
                  <c:v>0</c:v>
                </c:pt>
                <c:pt idx="2120">
                  <c:v>16.439632545931762</c:v>
                </c:pt>
                <c:pt idx="2121">
                  <c:v>16.439632545931762</c:v>
                </c:pt>
                <c:pt idx="2122">
                  <c:v>0</c:v>
                </c:pt>
                <c:pt idx="2124">
                  <c:v>17.999999999999989</c:v>
                </c:pt>
                <c:pt idx="2125">
                  <c:v>17.999999999999989</c:v>
                </c:pt>
                <c:pt idx="2126">
                  <c:v>34.439632545931751</c:v>
                </c:pt>
                <c:pt idx="2127">
                  <c:v>34.439632545931751</c:v>
                </c:pt>
                <c:pt idx="2128">
                  <c:v>17.999999999999989</c:v>
                </c:pt>
                <c:pt idx="2130">
                  <c:v>17.999999999999989</c:v>
                </c:pt>
                <c:pt idx="2131">
                  <c:v>17.999999999999989</c:v>
                </c:pt>
                <c:pt idx="2132">
                  <c:v>34.439632545931751</c:v>
                </c:pt>
                <c:pt idx="2133">
                  <c:v>34.439632545931751</c:v>
                </c:pt>
                <c:pt idx="2134">
                  <c:v>17.999999999999989</c:v>
                </c:pt>
                <c:pt idx="2136">
                  <c:v>35.999999999999979</c:v>
                </c:pt>
                <c:pt idx="2137">
                  <c:v>35.999999999999979</c:v>
                </c:pt>
                <c:pt idx="2138">
                  <c:v>52.439632545931744</c:v>
                </c:pt>
                <c:pt idx="2139">
                  <c:v>52.439632545931744</c:v>
                </c:pt>
                <c:pt idx="2140">
                  <c:v>35.999999999999979</c:v>
                </c:pt>
                <c:pt idx="2142">
                  <c:v>35.999999999999979</c:v>
                </c:pt>
                <c:pt idx="2143">
                  <c:v>35.999999999999979</c:v>
                </c:pt>
                <c:pt idx="2144">
                  <c:v>52.439632545931744</c:v>
                </c:pt>
                <c:pt idx="2145">
                  <c:v>52.439632545931744</c:v>
                </c:pt>
                <c:pt idx="2146">
                  <c:v>35.999999999999979</c:v>
                </c:pt>
                <c:pt idx="2148">
                  <c:v>53.999999999999972</c:v>
                </c:pt>
                <c:pt idx="2149">
                  <c:v>53.999999999999972</c:v>
                </c:pt>
                <c:pt idx="2150">
                  <c:v>70.43963254593173</c:v>
                </c:pt>
                <c:pt idx="2151">
                  <c:v>70.43963254593173</c:v>
                </c:pt>
                <c:pt idx="2152">
                  <c:v>53.999999999999972</c:v>
                </c:pt>
                <c:pt idx="2154">
                  <c:v>53.999999999999972</c:v>
                </c:pt>
                <c:pt idx="2155">
                  <c:v>53.999999999999972</c:v>
                </c:pt>
                <c:pt idx="2156">
                  <c:v>70.43963254593173</c:v>
                </c:pt>
                <c:pt idx="2157">
                  <c:v>70.43963254593173</c:v>
                </c:pt>
                <c:pt idx="2158">
                  <c:v>53.999999999999972</c:v>
                </c:pt>
              </c:numCache>
            </c:numRef>
          </c:yVal>
        </c:ser>
        <c:axId val="119976704"/>
        <c:axId val="119978240"/>
      </c:scatterChart>
      <c:valAx>
        <c:axId val="119976704"/>
        <c:scaling>
          <c:orientation val="maxMin"/>
          <c:max val="340"/>
          <c:min val="0"/>
        </c:scaling>
        <c:axPos val="t"/>
        <c:majorGridlines>
          <c:spPr>
            <a:ln>
              <a:solidFill>
                <a:srgbClr val="C0C0C0"/>
              </a:solidFill>
            </a:ln>
          </c:spPr>
        </c:majorGridlines>
        <c:numFmt formatCode="0" sourceLinked="0"/>
        <c:majorTickMark val="none"/>
        <c:minorTickMark val="in"/>
        <c:tickLblPos val="nextTo"/>
        <c:crossAx val="119978240"/>
        <c:crosses val="max"/>
        <c:crossBetween val="midCat"/>
        <c:majorUnit val="20"/>
        <c:minorUnit val="5"/>
      </c:valAx>
      <c:valAx>
        <c:axId val="119978240"/>
        <c:scaling>
          <c:orientation val="minMax"/>
        </c:scaling>
        <c:axPos val="r"/>
        <c:majorGridlines>
          <c:spPr>
            <a:ln>
              <a:solidFill>
                <a:srgbClr val="C0C0C0"/>
              </a:solidFill>
            </a:ln>
          </c:spPr>
        </c:majorGridlines>
        <c:numFmt formatCode="0" sourceLinked="0"/>
        <c:majorTickMark val="none"/>
        <c:minorTickMark val="in"/>
        <c:tickLblPos val="nextTo"/>
        <c:crossAx val="119976704"/>
        <c:crossesAt val="-100"/>
        <c:crossBetween val="midCat"/>
        <c:majorUnit val="10"/>
        <c:minorUnit val="5"/>
      </c:valAx>
      <c:spPr>
        <a:solidFill>
          <a:srgbClr val="D9FFD9"/>
        </a:solidFill>
      </c:spPr>
    </c:plotArea>
    <c:plotVisOnly val="1"/>
  </c:chart>
  <c:printSettings>
    <c:headerFooter/>
    <c:pageMargins b="0.75000000000000333" l="0.70000000000000062" r="0.70000000000000062" t="0.750000000000003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4.6332874012314514E-2"/>
          <c:y val="5.5883879899627932E-2"/>
          <c:w val="0.92915037239887877"/>
          <c:h val="0.40136611037018377"/>
        </c:manualLayout>
      </c:layout>
      <c:scatterChart>
        <c:scatterStyle val="lineMarker"/>
        <c:ser>
          <c:idx val="0"/>
          <c:order val="0"/>
          <c:spPr>
            <a:ln w="12700">
              <a:solidFill>
                <a:srgbClr val="0000FF"/>
              </a:solidFill>
            </a:ln>
          </c:spPr>
          <c:marker>
            <c:symbol val="none"/>
          </c:marker>
          <c:xVal>
            <c:numRef>
              <c:f>Shadow!$Z$3:$Z$2162</c:f>
              <c:numCache>
                <c:formatCode>0</c:formatCode>
                <c:ptCount val="2160"/>
                <c:pt idx="0">
                  <c:v>0</c:v>
                </c:pt>
                <c:pt idx="1">
                  <c:v>10.80282152230971</c:v>
                </c:pt>
                <c:pt idx="2">
                  <c:v>10.80282152230971</c:v>
                </c:pt>
                <c:pt idx="3">
                  <c:v>0</c:v>
                </c:pt>
                <c:pt idx="4">
                  <c:v>0</c:v>
                </c:pt>
                <c:pt idx="6">
                  <c:v>30.000006832286932</c:v>
                </c:pt>
                <c:pt idx="7">
                  <c:v>40.802828354596642</c:v>
                </c:pt>
                <c:pt idx="8">
                  <c:v>40.802828354596642</c:v>
                </c:pt>
                <c:pt idx="9">
                  <c:v>30.000006832286932</c:v>
                </c:pt>
                <c:pt idx="10">
                  <c:v>30.000006832286932</c:v>
                </c:pt>
                <c:pt idx="12">
                  <c:v>0</c:v>
                </c:pt>
                <c:pt idx="13">
                  <c:v>10.80282152230971</c:v>
                </c:pt>
                <c:pt idx="14">
                  <c:v>10.80282152230971</c:v>
                </c:pt>
                <c:pt idx="15">
                  <c:v>0</c:v>
                </c:pt>
                <c:pt idx="16">
                  <c:v>0</c:v>
                </c:pt>
                <c:pt idx="18">
                  <c:v>30.000006832286932</c:v>
                </c:pt>
                <c:pt idx="19">
                  <c:v>40.802828354596642</c:v>
                </c:pt>
                <c:pt idx="20">
                  <c:v>40.802828354596642</c:v>
                </c:pt>
                <c:pt idx="21">
                  <c:v>30.000006832286932</c:v>
                </c:pt>
                <c:pt idx="22">
                  <c:v>30.000006832286932</c:v>
                </c:pt>
                <c:pt idx="24">
                  <c:v>0</c:v>
                </c:pt>
                <c:pt idx="25">
                  <c:v>10.80282152230971</c:v>
                </c:pt>
                <c:pt idx="26">
                  <c:v>10.80282152230971</c:v>
                </c:pt>
                <c:pt idx="27">
                  <c:v>0</c:v>
                </c:pt>
                <c:pt idx="28">
                  <c:v>0</c:v>
                </c:pt>
                <c:pt idx="30">
                  <c:v>30.000006832286932</c:v>
                </c:pt>
                <c:pt idx="31">
                  <c:v>40.802828354596642</c:v>
                </c:pt>
                <c:pt idx="32">
                  <c:v>40.802828354596642</c:v>
                </c:pt>
                <c:pt idx="33">
                  <c:v>30.000006832286932</c:v>
                </c:pt>
                <c:pt idx="34">
                  <c:v>30.000006832286932</c:v>
                </c:pt>
                <c:pt idx="36">
                  <c:v>0</c:v>
                </c:pt>
                <c:pt idx="37">
                  <c:v>10.80282152230971</c:v>
                </c:pt>
                <c:pt idx="38">
                  <c:v>10.80282152230971</c:v>
                </c:pt>
                <c:pt idx="39">
                  <c:v>0</c:v>
                </c:pt>
                <c:pt idx="40">
                  <c:v>0</c:v>
                </c:pt>
                <c:pt idx="42">
                  <c:v>30.000006832286932</c:v>
                </c:pt>
                <c:pt idx="43">
                  <c:v>40.802828354596642</c:v>
                </c:pt>
                <c:pt idx="44">
                  <c:v>40.802828354596642</c:v>
                </c:pt>
                <c:pt idx="45">
                  <c:v>30.000006832286932</c:v>
                </c:pt>
                <c:pt idx="46">
                  <c:v>30.000006832286932</c:v>
                </c:pt>
                <c:pt idx="48">
                  <c:v>0</c:v>
                </c:pt>
                <c:pt idx="49">
                  <c:v>10.80282152230971</c:v>
                </c:pt>
                <c:pt idx="50">
                  <c:v>10.80282152230971</c:v>
                </c:pt>
                <c:pt idx="51">
                  <c:v>0</c:v>
                </c:pt>
                <c:pt idx="52">
                  <c:v>0</c:v>
                </c:pt>
                <c:pt idx="54">
                  <c:v>30.000006832286932</c:v>
                </c:pt>
                <c:pt idx="55">
                  <c:v>40.802828354596642</c:v>
                </c:pt>
                <c:pt idx="56">
                  <c:v>40.802828354596642</c:v>
                </c:pt>
                <c:pt idx="57">
                  <c:v>30.000006832286932</c:v>
                </c:pt>
                <c:pt idx="58">
                  <c:v>30.000006832286932</c:v>
                </c:pt>
                <c:pt idx="60">
                  <c:v>0</c:v>
                </c:pt>
                <c:pt idx="61">
                  <c:v>10.80282152230971</c:v>
                </c:pt>
                <c:pt idx="62">
                  <c:v>10.80282152230971</c:v>
                </c:pt>
                <c:pt idx="63">
                  <c:v>0</c:v>
                </c:pt>
                <c:pt idx="64">
                  <c:v>0</c:v>
                </c:pt>
                <c:pt idx="66">
                  <c:v>30.000006832286932</c:v>
                </c:pt>
                <c:pt idx="67">
                  <c:v>40.802828354596642</c:v>
                </c:pt>
                <c:pt idx="68">
                  <c:v>40.802828354596642</c:v>
                </c:pt>
                <c:pt idx="69">
                  <c:v>30.000006832286932</c:v>
                </c:pt>
                <c:pt idx="70">
                  <c:v>30.000006832286932</c:v>
                </c:pt>
                <c:pt idx="72">
                  <c:v>0</c:v>
                </c:pt>
                <c:pt idx="73">
                  <c:v>10.80282152230971</c:v>
                </c:pt>
                <c:pt idx="74">
                  <c:v>10.80282152230971</c:v>
                </c:pt>
                <c:pt idx="75">
                  <c:v>0</c:v>
                </c:pt>
                <c:pt idx="76">
                  <c:v>0</c:v>
                </c:pt>
                <c:pt idx="78">
                  <c:v>30.000006832286932</c:v>
                </c:pt>
                <c:pt idx="79">
                  <c:v>40.802828354596642</c:v>
                </c:pt>
                <c:pt idx="80">
                  <c:v>40.802828354596642</c:v>
                </c:pt>
                <c:pt idx="81">
                  <c:v>30.000006832286932</c:v>
                </c:pt>
                <c:pt idx="82">
                  <c:v>30.000006832286932</c:v>
                </c:pt>
                <c:pt idx="84">
                  <c:v>0</c:v>
                </c:pt>
                <c:pt idx="85">
                  <c:v>10.80282152230971</c:v>
                </c:pt>
                <c:pt idx="86">
                  <c:v>10.80282152230971</c:v>
                </c:pt>
                <c:pt idx="87">
                  <c:v>0</c:v>
                </c:pt>
                <c:pt idx="88">
                  <c:v>0</c:v>
                </c:pt>
                <c:pt idx="90">
                  <c:v>30.000006832286932</c:v>
                </c:pt>
                <c:pt idx="91">
                  <c:v>40.802828354596642</c:v>
                </c:pt>
                <c:pt idx="92">
                  <c:v>40.802828354596642</c:v>
                </c:pt>
                <c:pt idx="93">
                  <c:v>30.000006832286932</c:v>
                </c:pt>
                <c:pt idx="94">
                  <c:v>30.000006832286932</c:v>
                </c:pt>
                <c:pt idx="96">
                  <c:v>0</c:v>
                </c:pt>
                <c:pt idx="97">
                  <c:v>10.80282152230971</c:v>
                </c:pt>
                <c:pt idx="98">
                  <c:v>10.80282152230971</c:v>
                </c:pt>
                <c:pt idx="99">
                  <c:v>0</c:v>
                </c:pt>
                <c:pt idx="100">
                  <c:v>0</c:v>
                </c:pt>
                <c:pt idx="102">
                  <c:v>30.000006832286932</c:v>
                </c:pt>
                <c:pt idx="103">
                  <c:v>40.802828354596642</c:v>
                </c:pt>
                <c:pt idx="104">
                  <c:v>40.802828354596642</c:v>
                </c:pt>
                <c:pt idx="105">
                  <c:v>30.000006832286932</c:v>
                </c:pt>
                <c:pt idx="106">
                  <c:v>30.000006832286932</c:v>
                </c:pt>
                <c:pt idx="108">
                  <c:v>0</c:v>
                </c:pt>
                <c:pt idx="109">
                  <c:v>10.80282152230971</c:v>
                </c:pt>
                <c:pt idx="110">
                  <c:v>10.80282152230971</c:v>
                </c:pt>
                <c:pt idx="111">
                  <c:v>0</c:v>
                </c:pt>
                <c:pt idx="112">
                  <c:v>0</c:v>
                </c:pt>
                <c:pt idx="114">
                  <c:v>30.000006832286932</c:v>
                </c:pt>
                <c:pt idx="115">
                  <c:v>40.802828354596642</c:v>
                </c:pt>
                <c:pt idx="116">
                  <c:v>40.802828354596642</c:v>
                </c:pt>
                <c:pt idx="117">
                  <c:v>30.000006832286932</c:v>
                </c:pt>
                <c:pt idx="118">
                  <c:v>30.000006832286932</c:v>
                </c:pt>
                <c:pt idx="120">
                  <c:v>0</c:v>
                </c:pt>
                <c:pt idx="121">
                  <c:v>10.80282152230971</c:v>
                </c:pt>
                <c:pt idx="122">
                  <c:v>10.80282152230971</c:v>
                </c:pt>
                <c:pt idx="123">
                  <c:v>0</c:v>
                </c:pt>
                <c:pt idx="124">
                  <c:v>0</c:v>
                </c:pt>
                <c:pt idx="126">
                  <c:v>30.000006832286932</c:v>
                </c:pt>
                <c:pt idx="127">
                  <c:v>40.802828354596642</c:v>
                </c:pt>
                <c:pt idx="128">
                  <c:v>40.802828354596642</c:v>
                </c:pt>
                <c:pt idx="129">
                  <c:v>30.000006832286932</c:v>
                </c:pt>
                <c:pt idx="130">
                  <c:v>30.000006832286932</c:v>
                </c:pt>
                <c:pt idx="132">
                  <c:v>0</c:v>
                </c:pt>
                <c:pt idx="133">
                  <c:v>10.80282152230971</c:v>
                </c:pt>
                <c:pt idx="134">
                  <c:v>10.80282152230971</c:v>
                </c:pt>
                <c:pt idx="135">
                  <c:v>0</c:v>
                </c:pt>
                <c:pt idx="136">
                  <c:v>0</c:v>
                </c:pt>
                <c:pt idx="138">
                  <c:v>30.000006832286932</c:v>
                </c:pt>
                <c:pt idx="139">
                  <c:v>40.802828354596642</c:v>
                </c:pt>
                <c:pt idx="140">
                  <c:v>40.802828354596642</c:v>
                </c:pt>
                <c:pt idx="141">
                  <c:v>30.000006832286932</c:v>
                </c:pt>
                <c:pt idx="142">
                  <c:v>30.000006832286932</c:v>
                </c:pt>
                <c:pt idx="144">
                  <c:v>0</c:v>
                </c:pt>
                <c:pt idx="145">
                  <c:v>10.80282152230971</c:v>
                </c:pt>
                <c:pt idx="146">
                  <c:v>10.80282152230971</c:v>
                </c:pt>
                <c:pt idx="147">
                  <c:v>0</c:v>
                </c:pt>
                <c:pt idx="148">
                  <c:v>0</c:v>
                </c:pt>
                <c:pt idx="150">
                  <c:v>30.000006832286932</c:v>
                </c:pt>
                <c:pt idx="151">
                  <c:v>40.802828354596642</c:v>
                </c:pt>
                <c:pt idx="152">
                  <c:v>40.802828354596642</c:v>
                </c:pt>
                <c:pt idx="153">
                  <c:v>30.000006832286932</c:v>
                </c:pt>
                <c:pt idx="154">
                  <c:v>30.000006832286932</c:v>
                </c:pt>
                <c:pt idx="156">
                  <c:v>0</c:v>
                </c:pt>
                <c:pt idx="157">
                  <c:v>10.80282152230971</c:v>
                </c:pt>
                <c:pt idx="158">
                  <c:v>10.80282152230971</c:v>
                </c:pt>
                <c:pt idx="159">
                  <c:v>0</c:v>
                </c:pt>
                <c:pt idx="160">
                  <c:v>0</c:v>
                </c:pt>
                <c:pt idx="162">
                  <c:v>30.000006832286932</c:v>
                </c:pt>
                <c:pt idx="163">
                  <c:v>40.802828354596642</c:v>
                </c:pt>
                <c:pt idx="164">
                  <c:v>40.802828354596642</c:v>
                </c:pt>
                <c:pt idx="165">
                  <c:v>30.000006832286932</c:v>
                </c:pt>
                <c:pt idx="166">
                  <c:v>30.000006832286932</c:v>
                </c:pt>
                <c:pt idx="168">
                  <c:v>0</c:v>
                </c:pt>
                <c:pt idx="169">
                  <c:v>10.80282152230971</c:v>
                </c:pt>
                <c:pt idx="170">
                  <c:v>10.80282152230971</c:v>
                </c:pt>
                <c:pt idx="171">
                  <c:v>0</c:v>
                </c:pt>
                <c:pt idx="172">
                  <c:v>0</c:v>
                </c:pt>
                <c:pt idx="174">
                  <c:v>30.000006832286932</c:v>
                </c:pt>
                <c:pt idx="175">
                  <c:v>40.802828354596642</c:v>
                </c:pt>
                <c:pt idx="176">
                  <c:v>40.802828354596642</c:v>
                </c:pt>
                <c:pt idx="177">
                  <c:v>30.000006832286932</c:v>
                </c:pt>
                <c:pt idx="178">
                  <c:v>30.000006832286932</c:v>
                </c:pt>
                <c:pt idx="180">
                  <c:v>0</c:v>
                </c:pt>
                <c:pt idx="181">
                  <c:v>10.80282152230971</c:v>
                </c:pt>
                <c:pt idx="182">
                  <c:v>10.80282152230971</c:v>
                </c:pt>
                <c:pt idx="183">
                  <c:v>0</c:v>
                </c:pt>
                <c:pt idx="184">
                  <c:v>0</c:v>
                </c:pt>
                <c:pt idx="186">
                  <c:v>30.000006832286932</c:v>
                </c:pt>
                <c:pt idx="187">
                  <c:v>40.802828354596642</c:v>
                </c:pt>
                <c:pt idx="188">
                  <c:v>40.802828354596642</c:v>
                </c:pt>
                <c:pt idx="189">
                  <c:v>30.000006832286932</c:v>
                </c:pt>
                <c:pt idx="190">
                  <c:v>30.000006832286932</c:v>
                </c:pt>
                <c:pt idx="192">
                  <c:v>0</c:v>
                </c:pt>
                <c:pt idx="193">
                  <c:v>10.80282152230971</c:v>
                </c:pt>
                <c:pt idx="194">
                  <c:v>10.80282152230971</c:v>
                </c:pt>
                <c:pt idx="195">
                  <c:v>0</c:v>
                </c:pt>
                <c:pt idx="196">
                  <c:v>0</c:v>
                </c:pt>
                <c:pt idx="198">
                  <c:v>30.000006832286932</c:v>
                </c:pt>
                <c:pt idx="199">
                  <c:v>40.802828354596642</c:v>
                </c:pt>
                <c:pt idx="200">
                  <c:v>40.802828354596642</c:v>
                </c:pt>
                <c:pt idx="201">
                  <c:v>30.000006832286932</c:v>
                </c:pt>
                <c:pt idx="202">
                  <c:v>30.000006832286932</c:v>
                </c:pt>
                <c:pt idx="204">
                  <c:v>0</c:v>
                </c:pt>
                <c:pt idx="205">
                  <c:v>10.80282152230971</c:v>
                </c:pt>
                <c:pt idx="206">
                  <c:v>10.80282152230971</c:v>
                </c:pt>
                <c:pt idx="207">
                  <c:v>0</c:v>
                </c:pt>
                <c:pt idx="208">
                  <c:v>0</c:v>
                </c:pt>
                <c:pt idx="210">
                  <c:v>30.000006832286932</c:v>
                </c:pt>
                <c:pt idx="211">
                  <c:v>40.802828354596642</c:v>
                </c:pt>
                <c:pt idx="212">
                  <c:v>40.802828354596642</c:v>
                </c:pt>
                <c:pt idx="213">
                  <c:v>30.000006832286932</c:v>
                </c:pt>
                <c:pt idx="214">
                  <c:v>30.000006832286932</c:v>
                </c:pt>
                <c:pt idx="216">
                  <c:v>0</c:v>
                </c:pt>
                <c:pt idx="217">
                  <c:v>10.80282152230971</c:v>
                </c:pt>
                <c:pt idx="218">
                  <c:v>10.80282152230971</c:v>
                </c:pt>
                <c:pt idx="219">
                  <c:v>0</c:v>
                </c:pt>
                <c:pt idx="220">
                  <c:v>0</c:v>
                </c:pt>
                <c:pt idx="222">
                  <c:v>30.000006832286932</c:v>
                </c:pt>
                <c:pt idx="223">
                  <c:v>40.802828354596642</c:v>
                </c:pt>
                <c:pt idx="224">
                  <c:v>40.802828354596642</c:v>
                </c:pt>
                <c:pt idx="225">
                  <c:v>30.000006832286932</c:v>
                </c:pt>
                <c:pt idx="226">
                  <c:v>30.000006832286932</c:v>
                </c:pt>
                <c:pt idx="228">
                  <c:v>0</c:v>
                </c:pt>
                <c:pt idx="229">
                  <c:v>10.80282152230971</c:v>
                </c:pt>
                <c:pt idx="230">
                  <c:v>10.80282152230971</c:v>
                </c:pt>
                <c:pt idx="231">
                  <c:v>0</c:v>
                </c:pt>
                <c:pt idx="232">
                  <c:v>0</c:v>
                </c:pt>
                <c:pt idx="234">
                  <c:v>30.000006832286932</c:v>
                </c:pt>
                <c:pt idx="235">
                  <c:v>40.802828354596642</c:v>
                </c:pt>
                <c:pt idx="236">
                  <c:v>40.802828354596642</c:v>
                </c:pt>
                <c:pt idx="237">
                  <c:v>30.000006832286932</c:v>
                </c:pt>
                <c:pt idx="238">
                  <c:v>30.000006832286932</c:v>
                </c:pt>
                <c:pt idx="240">
                  <c:v>0</c:v>
                </c:pt>
                <c:pt idx="241">
                  <c:v>10.80282152230971</c:v>
                </c:pt>
                <c:pt idx="242">
                  <c:v>10.80282152230971</c:v>
                </c:pt>
                <c:pt idx="243">
                  <c:v>0</c:v>
                </c:pt>
                <c:pt idx="244">
                  <c:v>0</c:v>
                </c:pt>
                <c:pt idx="246">
                  <c:v>30.000006832286932</c:v>
                </c:pt>
                <c:pt idx="247">
                  <c:v>40.802828354596642</c:v>
                </c:pt>
                <c:pt idx="248">
                  <c:v>40.802828354596642</c:v>
                </c:pt>
                <c:pt idx="249">
                  <c:v>30.000006832286932</c:v>
                </c:pt>
                <c:pt idx="250">
                  <c:v>30.000006832286932</c:v>
                </c:pt>
                <c:pt idx="252">
                  <c:v>0</c:v>
                </c:pt>
                <c:pt idx="253">
                  <c:v>10.80282152230971</c:v>
                </c:pt>
                <c:pt idx="254">
                  <c:v>10.80282152230971</c:v>
                </c:pt>
                <c:pt idx="255">
                  <c:v>0</c:v>
                </c:pt>
                <c:pt idx="256">
                  <c:v>0</c:v>
                </c:pt>
                <c:pt idx="258">
                  <c:v>30.000006832286932</c:v>
                </c:pt>
                <c:pt idx="259">
                  <c:v>40.802828354596642</c:v>
                </c:pt>
                <c:pt idx="260">
                  <c:v>40.802828354596642</c:v>
                </c:pt>
                <c:pt idx="261">
                  <c:v>30.000006832286932</c:v>
                </c:pt>
                <c:pt idx="262">
                  <c:v>30.000006832286932</c:v>
                </c:pt>
                <c:pt idx="264">
                  <c:v>0</c:v>
                </c:pt>
                <c:pt idx="265">
                  <c:v>10.80282152230971</c:v>
                </c:pt>
                <c:pt idx="266">
                  <c:v>10.80282152230971</c:v>
                </c:pt>
                <c:pt idx="267">
                  <c:v>0</c:v>
                </c:pt>
                <c:pt idx="268">
                  <c:v>0</c:v>
                </c:pt>
                <c:pt idx="270">
                  <c:v>30.000006832286932</c:v>
                </c:pt>
                <c:pt idx="271">
                  <c:v>40.802828354596642</c:v>
                </c:pt>
                <c:pt idx="272">
                  <c:v>40.802828354596642</c:v>
                </c:pt>
                <c:pt idx="273">
                  <c:v>30.000006832286932</c:v>
                </c:pt>
                <c:pt idx="274">
                  <c:v>30.000006832286932</c:v>
                </c:pt>
                <c:pt idx="276">
                  <c:v>0</c:v>
                </c:pt>
                <c:pt idx="277">
                  <c:v>10.80282152230971</c:v>
                </c:pt>
                <c:pt idx="278">
                  <c:v>10.80282152230971</c:v>
                </c:pt>
                <c:pt idx="279">
                  <c:v>0</c:v>
                </c:pt>
                <c:pt idx="280">
                  <c:v>0</c:v>
                </c:pt>
                <c:pt idx="282">
                  <c:v>30.000006832286932</c:v>
                </c:pt>
                <c:pt idx="283">
                  <c:v>40.802828354596642</c:v>
                </c:pt>
                <c:pt idx="284">
                  <c:v>40.802828354596642</c:v>
                </c:pt>
                <c:pt idx="285">
                  <c:v>30.000006832286932</c:v>
                </c:pt>
                <c:pt idx="286">
                  <c:v>30.000006832286932</c:v>
                </c:pt>
                <c:pt idx="288">
                  <c:v>0</c:v>
                </c:pt>
                <c:pt idx="289">
                  <c:v>10.80282152230971</c:v>
                </c:pt>
                <c:pt idx="290">
                  <c:v>10.80282152230971</c:v>
                </c:pt>
                <c:pt idx="291">
                  <c:v>0</c:v>
                </c:pt>
                <c:pt idx="292">
                  <c:v>0</c:v>
                </c:pt>
                <c:pt idx="294">
                  <c:v>30.000006832286932</c:v>
                </c:pt>
                <c:pt idx="295">
                  <c:v>40.802828354596642</c:v>
                </c:pt>
                <c:pt idx="296">
                  <c:v>40.802828354596642</c:v>
                </c:pt>
                <c:pt idx="297">
                  <c:v>30.000006832286932</c:v>
                </c:pt>
                <c:pt idx="298">
                  <c:v>30.000006832286932</c:v>
                </c:pt>
                <c:pt idx="300">
                  <c:v>0</c:v>
                </c:pt>
                <c:pt idx="301">
                  <c:v>10.80282152230971</c:v>
                </c:pt>
                <c:pt idx="302">
                  <c:v>10.80282152230971</c:v>
                </c:pt>
                <c:pt idx="303">
                  <c:v>0</c:v>
                </c:pt>
                <c:pt idx="304">
                  <c:v>0</c:v>
                </c:pt>
                <c:pt idx="306">
                  <c:v>30.000006832286932</c:v>
                </c:pt>
                <c:pt idx="307">
                  <c:v>40.802828354596642</c:v>
                </c:pt>
                <c:pt idx="308">
                  <c:v>40.802828354596642</c:v>
                </c:pt>
                <c:pt idx="309">
                  <c:v>30.000006832286932</c:v>
                </c:pt>
                <c:pt idx="310">
                  <c:v>30.000006832286932</c:v>
                </c:pt>
                <c:pt idx="312">
                  <c:v>0</c:v>
                </c:pt>
                <c:pt idx="313">
                  <c:v>10.80282152230971</c:v>
                </c:pt>
                <c:pt idx="314">
                  <c:v>10.80282152230971</c:v>
                </c:pt>
                <c:pt idx="315">
                  <c:v>0</c:v>
                </c:pt>
                <c:pt idx="316">
                  <c:v>0</c:v>
                </c:pt>
                <c:pt idx="318">
                  <c:v>30.000006832286932</c:v>
                </c:pt>
                <c:pt idx="319">
                  <c:v>40.802828354596642</c:v>
                </c:pt>
                <c:pt idx="320">
                  <c:v>40.802828354596642</c:v>
                </c:pt>
                <c:pt idx="321">
                  <c:v>30.000006832286932</c:v>
                </c:pt>
                <c:pt idx="322">
                  <c:v>30.000006832286932</c:v>
                </c:pt>
                <c:pt idx="324">
                  <c:v>0</c:v>
                </c:pt>
                <c:pt idx="325">
                  <c:v>10.80282152230971</c:v>
                </c:pt>
                <c:pt idx="326">
                  <c:v>10.80282152230971</c:v>
                </c:pt>
                <c:pt idx="327">
                  <c:v>0</c:v>
                </c:pt>
                <c:pt idx="328">
                  <c:v>0</c:v>
                </c:pt>
                <c:pt idx="330">
                  <c:v>30.000006832286932</c:v>
                </c:pt>
                <c:pt idx="331">
                  <c:v>40.802828354596642</c:v>
                </c:pt>
                <c:pt idx="332">
                  <c:v>40.802828354596642</c:v>
                </c:pt>
                <c:pt idx="333">
                  <c:v>30.000006832286932</c:v>
                </c:pt>
                <c:pt idx="334">
                  <c:v>30.000006832286932</c:v>
                </c:pt>
                <c:pt idx="336">
                  <c:v>0</c:v>
                </c:pt>
                <c:pt idx="337">
                  <c:v>10.80282152230971</c:v>
                </c:pt>
                <c:pt idx="338">
                  <c:v>10.80282152230971</c:v>
                </c:pt>
                <c:pt idx="339">
                  <c:v>0</c:v>
                </c:pt>
                <c:pt idx="340">
                  <c:v>0</c:v>
                </c:pt>
                <c:pt idx="342">
                  <c:v>30.000006832286932</c:v>
                </c:pt>
                <c:pt idx="343">
                  <c:v>40.802828354596642</c:v>
                </c:pt>
                <c:pt idx="344">
                  <c:v>40.802828354596642</c:v>
                </c:pt>
                <c:pt idx="345">
                  <c:v>30.000006832286932</c:v>
                </c:pt>
                <c:pt idx="346">
                  <c:v>30.000006832286932</c:v>
                </c:pt>
                <c:pt idx="348">
                  <c:v>0</c:v>
                </c:pt>
                <c:pt idx="349">
                  <c:v>10.80282152230971</c:v>
                </c:pt>
                <c:pt idx="350">
                  <c:v>10.80282152230971</c:v>
                </c:pt>
                <c:pt idx="351">
                  <c:v>0</c:v>
                </c:pt>
                <c:pt idx="352">
                  <c:v>0</c:v>
                </c:pt>
                <c:pt idx="354">
                  <c:v>30.000006832286932</c:v>
                </c:pt>
                <c:pt idx="355">
                  <c:v>40.802828354596642</c:v>
                </c:pt>
                <c:pt idx="356">
                  <c:v>40.802828354596642</c:v>
                </c:pt>
                <c:pt idx="357">
                  <c:v>30.000006832286932</c:v>
                </c:pt>
                <c:pt idx="358">
                  <c:v>30.000006832286932</c:v>
                </c:pt>
                <c:pt idx="360">
                  <c:v>0</c:v>
                </c:pt>
                <c:pt idx="361">
                  <c:v>10.80282152230971</c:v>
                </c:pt>
                <c:pt idx="362">
                  <c:v>10.80282152230971</c:v>
                </c:pt>
                <c:pt idx="363">
                  <c:v>0</c:v>
                </c:pt>
                <c:pt idx="364">
                  <c:v>0</c:v>
                </c:pt>
                <c:pt idx="366">
                  <c:v>30.000006832286932</c:v>
                </c:pt>
                <c:pt idx="367">
                  <c:v>40.802828354596642</c:v>
                </c:pt>
                <c:pt idx="368">
                  <c:v>40.802828354596642</c:v>
                </c:pt>
                <c:pt idx="369">
                  <c:v>30.000006832286932</c:v>
                </c:pt>
                <c:pt idx="370">
                  <c:v>30.000006832286932</c:v>
                </c:pt>
                <c:pt idx="372">
                  <c:v>0</c:v>
                </c:pt>
                <c:pt idx="373">
                  <c:v>10.80282152230971</c:v>
                </c:pt>
                <c:pt idx="374">
                  <c:v>10.80282152230971</c:v>
                </c:pt>
                <c:pt idx="375">
                  <c:v>0</c:v>
                </c:pt>
                <c:pt idx="376">
                  <c:v>0</c:v>
                </c:pt>
                <c:pt idx="378">
                  <c:v>30.000006832286932</c:v>
                </c:pt>
                <c:pt idx="379">
                  <c:v>40.802828354596642</c:v>
                </c:pt>
                <c:pt idx="380">
                  <c:v>40.802828354596642</c:v>
                </c:pt>
                <c:pt idx="381">
                  <c:v>30.000006832286932</c:v>
                </c:pt>
                <c:pt idx="382">
                  <c:v>30.000006832286932</c:v>
                </c:pt>
                <c:pt idx="384">
                  <c:v>0</c:v>
                </c:pt>
                <c:pt idx="385">
                  <c:v>10.80282152230971</c:v>
                </c:pt>
                <c:pt idx="386">
                  <c:v>10.80282152230971</c:v>
                </c:pt>
                <c:pt idx="387">
                  <c:v>0</c:v>
                </c:pt>
                <c:pt idx="388">
                  <c:v>0</c:v>
                </c:pt>
                <c:pt idx="390">
                  <c:v>30.000006832286932</c:v>
                </c:pt>
                <c:pt idx="391">
                  <c:v>40.802828354596642</c:v>
                </c:pt>
                <c:pt idx="392">
                  <c:v>40.802828354596642</c:v>
                </c:pt>
                <c:pt idx="393">
                  <c:v>30.000006832286932</c:v>
                </c:pt>
                <c:pt idx="394">
                  <c:v>30.000006832286932</c:v>
                </c:pt>
                <c:pt idx="396">
                  <c:v>0</c:v>
                </c:pt>
                <c:pt idx="397">
                  <c:v>10.80282152230971</c:v>
                </c:pt>
                <c:pt idx="398">
                  <c:v>10.80282152230971</c:v>
                </c:pt>
                <c:pt idx="399">
                  <c:v>0</c:v>
                </c:pt>
                <c:pt idx="400">
                  <c:v>0</c:v>
                </c:pt>
                <c:pt idx="402">
                  <c:v>30.000006832286932</c:v>
                </c:pt>
                <c:pt idx="403">
                  <c:v>40.802828354596642</c:v>
                </c:pt>
                <c:pt idx="404">
                  <c:v>40.802828354596642</c:v>
                </c:pt>
                <c:pt idx="405">
                  <c:v>30.000006832286932</c:v>
                </c:pt>
                <c:pt idx="406">
                  <c:v>30.000006832286932</c:v>
                </c:pt>
                <c:pt idx="408">
                  <c:v>0</c:v>
                </c:pt>
                <c:pt idx="409">
                  <c:v>10.80282152230971</c:v>
                </c:pt>
                <c:pt idx="410">
                  <c:v>10.80282152230971</c:v>
                </c:pt>
                <c:pt idx="411">
                  <c:v>0</c:v>
                </c:pt>
                <c:pt idx="412">
                  <c:v>0</c:v>
                </c:pt>
                <c:pt idx="414">
                  <c:v>30.000006832286932</c:v>
                </c:pt>
                <c:pt idx="415">
                  <c:v>40.802828354596642</c:v>
                </c:pt>
                <c:pt idx="416">
                  <c:v>40.802828354596642</c:v>
                </c:pt>
                <c:pt idx="417">
                  <c:v>30.000006832286932</c:v>
                </c:pt>
                <c:pt idx="418">
                  <c:v>30.000006832286932</c:v>
                </c:pt>
                <c:pt idx="420">
                  <c:v>0</c:v>
                </c:pt>
                <c:pt idx="421">
                  <c:v>10.80282152230971</c:v>
                </c:pt>
                <c:pt idx="422">
                  <c:v>10.80282152230971</c:v>
                </c:pt>
                <c:pt idx="423">
                  <c:v>0</c:v>
                </c:pt>
                <c:pt idx="424">
                  <c:v>0</c:v>
                </c:pt>
                <c:pt idx="426">
                  <c:v>30.000006832286932</c:v>
                </c:pt>
                <c:pt idx="427">
                  <c:v>40.802828354596642</c:v>
                </c:pt>
                <c:pt idx="428">
                  <c:v>40.802828354596642</c:v>
                </c:pt>
                <c:pt idx="429">
                  <c:v>30.000006832286932</c:v>
                </c:pt>
                <c:pt idx="430">
                  <c:v>30.000006832286932</c:v>
                </c:pt>
                <c:pt idx="432">
                  <c:v>0</c:v>
                </c:pt>
                <c:pt idx="433">
                  <c:v>10.80282152230971</c:v>
                </c:pt>
                <c:pt idx="434">
                  <c:v>10.80282152230971</c:v>
                </c:pt>
                <c:pt idx="435">
                  <c:v>0</c:v>
                </c:pt>
                <c:pt idx="436">
                  <c:v>0</c:v>
                </c:pt>
                <c:pt idx="438">
                  <c:v>30.000006832286932</c:v>
                </c:pt>
                <c:pt idx="439">
                  <c:v>40.802828354596642</c:v>
                </c:pt>
                <c:pt idx="440">
                  <c:v>40.802828354596642</c:v>
                </c:pt>
                <c:pt idx="441">
                  <c:v>30.000006832286932</c:v>
                </c:pt>
                <c:pt idx="442">
                  <c:v>30.000006832286932</c:v>
                </c:pt>
                <c:pt idx="444">
                  <c:v>0</c:v>
                </c:pt>
                <c:pt idx="445">
                  <c:v>10.80282152230971</c:v>
                </c:pt>
                <c:pt idx="446">
                  <c:v>10.80282152230971</c:v>
                </c:pt>
                <c:pt idx="447">
                  <c:v>0</c:v>
                </c:pt>
                <c:pt idx="448">
                  <c:v>0</c:v>
                </c:pt>
                <c:pt idx="450">
                  <c:v>30.000006832286932</c:v>
                </c:pt>
                <c:pt idx="451">
                  <c:v>40.802828354596642</c:v>
                </c:pt>
                <c:pt idx="452">
                  <c:v>40.802828354596642</c:v>
                </c:pt>
                <c:pt idx="453">
                  <c:v>30.000006832286932</c:v>
                </c:pt>
                <c:pt idx="454">
                  <c:v>30.000006832286932</c:v>
                </c:pt>
                <c:pt idx="456">
                  <c:v>0</c:v>
                </c:pt>
                <c:pt idx="457">
                  <c:v>10.80282152230971</c:v>
                </c:pt>
                <c:pt idx="458">
                  <c:v>10.80282152230971</c:v>
                </c:pt>
                <c:pt idx="459">
                  <c:v>0</c:v>
                </c:pt>
                <c:pt idx="460">
                  <c:v>0</c:v>
                </c:pt>
                <c:pt idx="462">
                  <c:v>30.000006832286932</c:v>
                </c:pt>
                <c:pt idx="463">
                  <c:v>40.802828354596642</c:v>
                </c:pt>
                <c:pt idx="464">
                  <c:v>40.802828354596642</c:v>
                </c:pt>
                <c:pt idx="465">
                  <c:v>30.000006832286932</c:v>
                </c:pt>
                <c:pt idx="466">
                  <c:v>30.000006832286932</c:v>
                </c:pt>
                <c:pt idx="468">
                  <c:v>0</c:v>
                </c:pt>
                <c:pt idx="469">
                  <c:v>10.80282152230971</c:v>
                </c:pt>
                <c:pt idx="470">
                  <c:v>10.80282152230971</c:v>
                </c:pt>
                <c:pt idx="471">
                  <c:v>0</c:v>
                </c:pt>
                <c:pt idx="472">
                  <c:v>0</c:v>
                </c:pt>
                <c:pt idx="474">
                  <c:v>30.000006832286932</c:v>
                </c:pt>
                <c:pt idx="475">
                  <c:v>40.802828354596642</c:v>
                </c:pt>
                <c:pt idx="476">
                  <c:v>40.802828354596642</c:v>
                </c:pt>
                <c:pt idx="477">
                  <c:v>30.000006832286932</c:v>
                </c:pt>
                <c:pt idx="478">
                  <c:v>30.000006832286932</c:v>
                </c:pt>
                <c:pt idx="480">
                  <c:v>0</c:v>
                </c:pt>
                <c:pt idx="481">
                  <c:v>10.80282152230971</c:v>
                </c:pt>
                <c:pt idx="482">
                  <c:v>10.80282152230971</c:v>
                </c:pt>
                <c:pt idx="483">
                  <c:v>0</c:v>
                </c:pt>
                <c:pt idx="484">
                  <c:v>0</c:v>
                </c:pt>
                <c:pt idx="486">
                  <c:v>30.000006832286932</c:v>
                </c:pt>
                <c:pt idx="487">
                  <c:v>40.802828354596642</c:v>
                </c:pt>
                <c:pt idx="488">
                  <c:v>40.802828354596642</c:v>
                </c:pt>
                <c:pt idx="489">
                  <c:v>30.000006832286932</c:v>
                </c:pt>
                <c:pt idx="490">
                  <c:v>30.000006832286932</c:v>
                </c:pt>
                <c:pt idx="492">
                  <c:v>0</c:v>
                </c:pt>
                <c:pt idx="493">
                  <c:v>10.80282152230971</c:v>
                </c:pt>
                <c:pt idx="494">
                  <c:v>10.80282152230971</c:v>
                </c:pt>
                <c:pt idx="495">
                  <c:v>0</c:v>
                </c:pt>
                <c:pt idx="496">
                  <c:v>0</c:v>
                </c:pt>
                <c:pt idx="498">
                  <c:v>30.000006832286932</c:v>
                </c:pt>
                <c:pt idx="499">
                  <c:v>40.802828354596642</c:v>
                </c:pt>
                <c:pt idx="500">
                  <c:v>40.802828354596642</c:v>
                </c:pt>
                <c:pt idx="501">
                  <c:v>30.000006832286932</c:v>
                </c:pt>
                <c:pt idx="502">
                  <c:v>30.000006832286932</c:v>
                </c:pt>
                <c:pt idx="504">
                  <c:v>0</c:v>
                </c:pt>
                <c:pt idx="505">
                  <c:v>10.80282152230971</c:v>
                </c:pt>
                <c:pt idx="506">
                  <c:v>10.80282152230971</c:v>
                </c:pt>
                <c:pt idx="507">
                  <c:v>0</c:v>
                </c:pt>
                <c:pt idx="508">
                  <c:v>0</c:v>
                </c:pt>
                <c:pt idx="510">
                  <c:v>30.000006832286932</c:v>
                </c:pt>
                <c:pt idx="511">
                  <c:v>40.802828354596642</c:v>
                </c:pt>
                <c:pt idx="512">
                  <c:v>40.802828354596642</c:v>
                </c:pt>
                <c:pt idx="513">
                  <c:v>30.000006832286932</c:v>
                </c:pt>
                <c:pt idx="514">
                  <c:v>30.000006832286932</c:v>
                </c:pt>
                <c:pt idx="516">
                  <c:v>0</c:v>
                </c:pt>
                <c:pt idx="517">
                  <c:v>10.80282152230971</c:v>
                </c:pt>
                <c:pt idx="518">
                  <c:v>10.80282152230971</c:v>
                </c:pt>
                <c:pt idx="519">
                  <c:v>0</c:v>
                </c:pt>
                <c:pt idx="520">
                  <c:v>0</c:v>
                </c:pt>
                <c:pt idx="522">
                  <c:v>30.000006832286932</c:v>
                </c:pt>
                <c:pt idx="523">
                  <c:v>40.802828354596642</c:v>
                </c:pt>
                <c:pt idx="524">
                  <c:v>40.802828354596642</c:v>
                </c:pt>
                <c:pt idx="525">
                  <c:v>30.000006832286932</c:v>
                </c:pt>
                <c:pt idx="526">
                  <c:v>30.000006832286932</c:v>
                </c:pt>
                <c:pt idx="528">
                  <c:v>0</c:v>
                </c:pt>
                <c:pt idx="529">
                  <c:v>10.80282152230971</c:v>
                </c:pt>
                <c:pt idx="530">
                  <c:v>10.80282152230971</c:v>
                </c:pt>
                <c:pt idx="531">
                  <c:v>0</c:v>
                </c:pt>
                <c:pt idx="532">
                  <c:v>0</c:v>
                </c:pt>
                <c:pt idx="534">
                  <c:v>30.000006832286932</c:v>
                </c:pt>
                <c:pt idx="535">
                  <c:v>40.802828354596642</c:v>
                </c:pt>
                <c:pt idx="536">
                  <c:v>40.802828354596642</c:v>
                </c:pt>
                <c:pt idx="537">
                  <c:v>30.000006832286932</c:v>
                </c:pt>
                <c:pt idx="538">
                  <c:v>30.000006832286932</c:v>
                </c:pt>
                <c:pt idx="540">
                  <c:v>0</c:v>
                </c:pt>
                <c:pt idx="541">
                  <c:v>10.80282152230971</c:v>
                </c:pt>
                <c:pt idx="542">
                  <c:v>10.80282152230971</c:v>
                </c:pt>
                <c:pt idx="543">
                  <c:v>0</c:v>
                </c:pt>
                <c:pt idx="544">
                  <c:v>0</c:v>
                </c:pt>
                <c:pt idx="546">
                  <c:v>30.000006832286932</c:v>
                </c:pt>
                <c:pt idx="547">
                  <c:v>40.802828354596642</c:v>
                </c:pt>
                <c:pt idx="548">
                  <c:v>40.802828354596642</c:v>
                </c:pt>
                <c:pt idx="549">
                  <c:v>30.000006832286932</c:v>
                </c:pt>
                <c:pt idx="550">
                  <c:v>30.000006832286932</c:v>
                </c:pt>
                <c:pt idx="552">
                  <c:v>0</c:v>
                </c:pt>
                <c:pt idx="553">
                  <c:v>10.80282152230971</c:v>
                </c:pt>
                <c:pt idx="554">
                  <c:v>10.80282152230971</c:v>
                </c:pt>
                <c:pt idx="555">
                  <c:v>0</c:v>
                </c:pt>
                <c:pt idx="556">
                  <c:v>0</c:v>
                </c:pt>
                <c:pt idx="558">
                  <c:v>30.000006832286932</c:v>
                </c:pt>
                <c:pt idx="559">
                  <c:v>40.802828354596642</c:v>
                </c:pt>
                <c:pt idx="560">
                  <c:v>40.802828354596642</c:v>
                </c:pt>
                <c:pt idx="561">
                  <c:v>30.000006832286932</c:v>
                </c:pt>
                <c:pt idx="562">
                  <c:v>30.000006832286932</c:v>
                </c:pt>
                <c:pt idx="564">
                  <c:v>0</c:v>
                </c:pt>
                <c:pt idx="565">
                  <c:v>10.80282152230971</c:v>
                </c:pt>
                <c:pt idx="566">
                  <c:v>10.80282152230971</c:v>
                </c:pt>
                <c:pt idx="567">
                  <c:v>0</c:v>
                </c:pt>
                <c:pt idx="568">
                  <c:v>0</c:v>
                </c:pt>
                <c:pt idx="570">
                  <c:v>30.000006832286932</c:v>
                </c:pt>
                <c:pt idx="571">
                  <c:v>40.802828354596642</c:v>
                </c:pt>
                <c:pt idx="572">
                  <c:v>40.802828354596642</c:v>
                </c:pt>
                <c:pt idx="573">
                  <c:v>30.000006832286932</c:v>
                </c:pt>
                <c:pt idx="574">
                  <c:v>30.000006832286932</c:v>
                </c:pt>
                <c:pt idx="576">
                  <c:v>0</c:v>
                </c:pt>
                <c:pt idx="577">
                  <c:v>10.80282152230971</c:v>
                </c:pt>
                <c:pt idx="578">
                  <c:v>10.80282152230971</c:v>
                </c:pt>
                <c:pt idx="579">
                  <c:v>0</c:v>
                </c:pt>
                <c:pt idx="580">
                  <c:v>0</c:v>
                </c:pt>
                <c:pt idx="582">
                  <c:v>30.000006832286932</c:v>
                </c:pt>
                <c:pt idx="583">
                  <c:v>40.802828354596642</c:v>
                </c:pt>
                <c:pt idx="584">
                  <c:v>40.802828354596642</c:v>
                </c:pt>
                <c:pt idx="585">
                  <c:v>30.000006832286932</c:v>
                </c:pt>
                <c:pt idx="586">
                  <c:v>30.000006832286932</c:v>
                </c:pt>
                <c:pt idx="588">
                  <c:v>0</c:v>
                </c:pt>
                <c:pt idx="589">
                  <c:v>10.80282152230971</c:v>
                </c:pt>
                <c:pt idx="590">
                  <c:v>10.80282152230971</c:v>
                </c:pt>
                <c:pt idx="591">
                  <c:v>0</c:v>
                </c:pt>
                <c:pt idx="592">
                  <c:v>0</c:v>
                </c:pt>
                <c:pt idx="594">
                  <c:v>30.000006832286932</c:v>
                </c:pt>
                <c:pt idx="595">
                  <c:v>40.802828354596642</c:v>
                </c:pt>
                <c:pt idx="596">
                  <c:v>40.802828354596642</c:v>
                </c:pt>
                <c:pt idx="597">
                  <c:v>30.000006832286932</c:v>
                </c:pt>
                <c:pt idx="598">
                  <c:v>30.000006832286932</c:v>
                </c:pt>
                <c:pt idx="600">
                  <c:v>0</c:v>
                </c:pt>
                <c:pt idx="601">
                  <c:v>10.80282152230971</c:v>
                </c:pt>
                <c:pt idx="602">
                  <c:v>10.80282152230971</c:v>
                </c:pt>
                <c:pt idx="603">
                  <c:v>0</c:v>
                </c:pt>
                <c:pt idx="604">
                  <c:v>0</c:v>
                </c:pt>
                <c:pt idx="606">
                  <c:v>30.000006832286932</c:v>
                </c:pt>
                <c:pt idx="607">
                  <c:v>40.802828354596642</c:v>
                </c:pt>
                <c:pt idx="608">
                  <c:v>40.802828354596642</c:v>
                </c:pt>
                <c:pt idx="609">
                  <c:v>30.000006832286932</c:v>
                </c:pt>
                <c:pt idx="610">
                  <c:v>30.000006832286932</c:v>
                </c:pt>
                <c:pt idx="612">
                  <c:v>0</c:v>
                </c:pt>
                <c:pt idx="613">
                  <c:v>10.80282152230971</c:v>
                </c:pt>
                <c:pt idx="614">
                  <c:v>10.80282152230971</c:v>
                </c:pt>
                <c:pt idx="615">
                  <c:v>0</c:v>
                </c:pt>
                <c:pt idx="616">
                  <c:v>0</c:v>
                </c:pt>
                <c:pt idx="618">
                  <c:v>30.000006832286932</c:v>
                </c:pt>
                <c:pt idx="619">
                  <c:v>40.802828354596642</c:v>
                </c:pt>
                <c:pt idx="620">
                  <c:v>40.802828354596642</c:v>
                </c:pt>
                <c:pt idx="621">
                  <c:v>30.000006832286932</c:v>
                </c:pt>
                <c:pt idx="622">
                  <c:v>30.000006832286932</c:v>
                </c:pt>
                <c:pt idx="624">
                  <c:v>0</c:v>
                </c:pt>
                <c:pt idx="625">
                  <c:v>10.80282152230971</c:v>
                </c:pt>
                <c:pt idx="626">
                  <c:v>10.80282152230971</c:v>
                </c:pt>
                <c:pt idx="627">
                  <c:v>0</c:v>
                </c:pt>
                <c:pt idx="628">
                  <c:v>0</c:v>
                </c:pt>
                <c:pt idx="630">
                  <c:v>30.000006832286932</c:v>
                </c:pt>
                <c:pt idx="631">
                  <c:v>40.802828354596642</c:v>
                </c:pt>
                <c:pt idx="632">
                  <c:v>40.802828354596642</c:v>
                </c:pt>
                <c:pt idx="633">
                  <c:v>30.000006832286932</c:v>
                </c:pt>
                <c:pt idx="634">
                  <c:v>30.000006832286932</c:v>
                </c:pt>
                <c:pt idx="636">
                  <c:v>0</c:v>
                </c:pt>
                <c:pt idx="637">
                  <c:v>10.80282152230971</c:v>
                </c:pt>
                <c:pt idx="638">
                  <c:v>10.80282152230971</c:v>
                </c:pt>
                <c:pt idx="639">
                  <c:v>0</c:v>
                </c:pt>
                <c:pt idx="640">
                  <c:v>0</c:v>
                </c:pt>
                <c:pt idx="642">
                  <c:v>30.000006832286932</c:v>
                </c:pt>
                <c:pt idx="643">
                  <c:v>40.802828354596642</c:v>
                </c:pt>
                <c:pt idx="644">
                  <c:v>40.802828354596642</c:v>
                </c:pt>
                <c:pt idx="645">
                  <c:v>30.000006832286932</c:v>
                </c:pt>
                <c:pt idx="646">
                  <c:v>30.000006832286932</c:v>
                </c:pt>
                <c:pt idx="648">
                  <c:v>0</c:v>
                </c:pt>
                <c:pt idx="649">
                  <c:v>10.80282152230971</c:v>
                </c:pt>
                <c:pt idx="650">
                  <c:v>10.80282152230971</c:v>
                </c:pt>
                <c:pt idx="651">
                  <c:v>0</c:v>
                </c:pt>
                <c:pt idx="652">
                  <c:v>0</c:v>
                </c:pt>
                <c:pt idx="654">
                  <c:v>30.000006832286932</c:v>
                </c:pt>
                <c:pt idx="655">
                  <c:v>40.802828354596642</c:v>
                </c:pt>
                <c:pt idx="656">
                  <c:v>40.802828354596642</c:v>
                </c:pt>
                <c:pt idx="657">
                  <c:v>30.000006832286932</c:v>
                </c:pt>
                <c:pt idx="658">
                  <c:v>30.000006832286932</c:v>
                </c:pt>
                <c:pt idx="660">
                  <c:v>0</c:v>
                </c:pt>
                <c:pt idx="661">
                  <c:v>10.80282152230971</c:v>
                </c:pt>
                <c:pt idx="662">
                  <c:v>10.80282152230971</c:v>
                </c:pt>
                <c:pt idx="663">
                  <c:v>0</c:v>
                </c:pt>
                <c:pt idx="664">
                  <c:v>0</c:v>
                </c:pt>
                <c:pt idx="666">
                  <c:v>30.000006832286932</c:v>
                </c:pt>
                <c:pt idx="667">
                  <c:v>40.802828354596642</c:v>
                </c:pt>
                <c:pt idx="668">
                  <c:v>40.802828354596642</c:v>
                </c:pt>
                <c:pt idx="669">
                  <c:v>30.000006832286932</c:v>
                </c:pt>
                <c:pt idx="670">
                  <c:v>30.000006832286932</c:v>
                </c:pt>
                <c:pt idx="672">
                  <c:v>0</c:v>
                </c:pt>
                <c:pt idx="673">
                  <c:v>10.80282152230971</c:v>
                </c:pt>
                <c:pt idx="674">
                  <c:v>10.80282152230971</c:v>
                </c:pt>
                <c:pt idx="675">
                  <c:v>0</c:v>
                </c:pt>
                <c:pt idx="676">
                  <c:v>0</c:v>
                </c:pt>
                <c:pt idx="678">
                  <c:v>30.000006832286932</c:v>
                </c:pt>
                <c:pt idx="679">
                  <c:v>40.802828354596642</c:v>
                </c:pt>
                <c:pt idx="680">
                  <c:v>40.802828354596642</c:v>
                </c:pt>
                <c:pt idx="681">
                  <c:v>30.000006832286932</c:v>
                </c:pt>
                <c:pt idx="682">
                  <c:v>30.000006832286932</c:v>
                </c:pt>
                <c:pt idx="684">
                  <c:v>0</c:v>
                </c:pt>
                <c:pt idx="685">
                  <c:v>10.80282152230971</c:v>
                </c:pt>
                <c:pt idx="686">
                  <c:v>10.80282152230971</c:v>
                </c:pt>
                <c:pt idx="687">
                  <c:v>0</c:v>
                </c:pt>
                <c:pt idx="688">
                  <c:v>0</c:v>
                </c:pt>
                <c:pt idx="690">
                  <c:v>30.000006832286932</c:v>
                </c:pt>
                <c:pt idx="691">
                  <c:v>40.802828354596642</c:v>
                </c:pt>
                <c:pt idx="692">
                  <c:v>40.802828354596642</c:v>
                </c:pt>
                <c:pt idx="693">
                  <c:v>30.000006832286932</c:v>
                </c:pt>
                <c:pt idx="694">
                  <c:v>30.000006832286932</c:v>
                </c:pt>
                <c:pt idx="696">
                  <c:v>0</c:v>
                </c:pt>
                <c:pt idx="697">
                  <c:v>10.80282152230971</c:v>
                </c:pt>
                <c:pt idx="698">
                  <c:v>10.80282152230971</c:v>
                </c:pt>
                <c:pt idx="699">
                  <c:v>0</c:v>
                </c:pt>
                <c:pt idx="700">
                  <c:v>0</c:v>
                </c:pt>
                <c:pt idx="702">
                  <c:v>30.000006832286932</c:v>
                </c:pt>
                <c:pt idx="703">
                  <c:v>40.802828354596642</c:v>
                </c:pt>
                <c:pt idx="704">
                  <c:v>40.802828354596642</c:v>
                </c:pt>
                <c:pt idx="705">
                  <c:v>30.000006832286932</c:v>
                </c:pt>
                <c:pt idx="706">
                  <c:v>30.000006832286932</c:v>
                </c:pt>
                <c:pt idx="708">
                  <c:v>0</c:v>
                </c:pt>
                <c:pt idx="709">
                  <c:v>10.80282152230971</c:v>
                </c:pt>
                <c:pt idx="710">
                  <c:v>10.80282152230971</c:v>
                </c:pt>
                <c:pt idx="711">
                  <c:v>0</c:v>
                </c:pt>
                <c:pt idx="712">
                  <c:v>0</c:v>
                </c:pt>
                <c:pt idx="714">
                  <c:v>30.000006832286932</c:v>
                </c:pt>
                <c:pt idx="715">
                  <c:v>40.802828354596642</c:v>
                </c:pt>
                <c:pt idx="716">
                  <c:v>40.802828354596642</c:v>
                </c:pt>
                <c:pt idx="717">
                  <c:v>30.000006832286932</c:v>
                </c:pt>
                <c:pt idx="718">
                  <c:v>30.000006832286932</c:v>
                </c:pt>
                <c:pt idx="720">
                  <c:v>0</c:v>
                </c:pt>
                <c:pt idx="721">
                  <c:v>10.80282152230971</c:v>
                </c:pt>
                <c:pt idx="722">
                  <c:v>10.80282152230971</c:v>
                </c:pt>
                <c:pt idx="723">
                  <c:v>0</c:v>
                </c:pt>
                <c:pt idx="724">
                  <c:v>0</c:v>
                </c:pt>
                <c:pt idx="726">
                  <c:v>30.000006832286932</c:v>
                </c:pt>
                <c:pt idx="727">
                  <c:v>40.802828354596642</c:v>
                </c:pt>
                <c:pt idx="728">
                  <c:v>40.802828354596642</c:v>
                </c:pt>
                <c:pt idx="729">
                  <c:v>30.000006832286932</c:v>
                </c:pt>
                <c:pt idx="730">
                  <c:v>30.000006832286932</c:v>
                </c:pt>
                <c:pt idx="732">
                  <c:v>0</c:v>
                </c:pt>
                <c:pt idx="733">
                  <c:v>10.80282152230971</c:v>
                </c:pt>
                <c:pt idx="734">
                  <c:v>10.80282152230971</c:v>
                </c:pt>
                <c:pt idx="735">
                  <c:v>0</c:v>
                </c:pt>
                <c:pt idx="736">
                  <c:v>0</c:v>
                </c:pt>
                <c:pt idx="738">
                  <c:v>30.000006832286932</c:v>
                </c:pt>
                <c:pt idx="739">
                  <c:v>40.802828354596642</c:v>
                </c:pt>
                <c:pt idx="740">
                  <c:v>40.802828354596642</c:v>
                </c:pt>
                <c:pt idx="741">
                  <c:v>30.000006832286932</c:v>
                </c:pt>
                <c:pt idx="742">
                  <c:v>30.000006832286932</c:v>
                </c:pt>
                <c:pt idx="744">
                  <c:v>0</c:v>
                </c:pt>
                <c:pt idx="745">
                  <c:v>10.80282152230971</c:v>
                </c:pt>
                <c:pt idx="746">
                  <c:v>10.80282152230971</c:v>
                </c:pt>
                <c:pt idx="747">
                  <c:v>0</c:v>
                </c:pt>
                <c:pt idx="748">
                  <c:v>0</c:v>
                </c:pt>
                <c:pt idx="750">
                  <c:v>30.000006832286932</c:v>
                </c:pt>
                <c:pt idx="751">
                  <c:v>40.802828354596642</c:v>
                </c:pt>
                <c:pt idx="752">
                  <c:v>40.802828354596642</c:v>
                </c:pt>
                <c:pt idx="753">
                  <c:v>30.000006832286932</c:v>
                </c:pt>
                <c:pt idx="754">
                  <c:v>30.000006832286932</c:v>
                </c:pt>
                <c:pt idx="756">
                  <c:v>0</c:v>
                </c:pt>
                <c:pt idx="757">
                  <c:v>10.80282152230971</c:v>
                </c:pt>
                <c:pt idx="758">
                  <c:v>10.80282152230971</c:v>
                </c:pt>
                <c:pt idx="759">
                  <c:v>0</c:v>
                </c:pt>
                <c:pt idx="760">
                  <c:v>0</c:v>
                </c:pt>
                <c:pt idx="762">
                  <c:v>30.000006832286932</c:v>
                </c:pt>
                <c:pt idx="763">
                  <c:v>40.802828354596642</c:v>
                </c:pt>
                <c:pt idx="764">
                  <c:v>40.802828354596642</c:v>
                </c:pt>
                <c:pt idx="765">
                  <c:v>30.000006832286932</c:v>
                </c:pt>
                <c:pt idx="766">
                  <c:v>30.000006832286932</c:v>
                </c:pt>
                <c:pt idx="768">
                  <c:v>0</c:v>
                </c:pt>
                <c:pt idx="769">
                  <c:v>10.80282152230971</c:v>
                </c:pt>
                <c:pt idx="770">
                  <c:v>10.80282152230971</c:v>
                </c:pt>
                <c:pt idx="771">
                  <c:v>0</c:v>
                </c:pt>
                <c:pt idx="772">
                  <c:v>0</c:v>
                </c:pt>
                <c:pt idx="774">
                  <c:v>30.000006832286932</c:v>
                </c:pt>
                <c:pt idx="775">
                  <c:v>40.802828354596642</c:v>
                </c:pt>
                <c:pt idx="776">
                  <c:v>40.802828354596642</c:v>
                </c:pt>
                <c:pt idx="777">
                  <c:v>30.000006832286932</c:v>
                </c:pt>
                <c:pt idx="778">
                  <c:v>30.000006832286932</c:v>
                </c:pt>
                <c:pt idx="780">
                  <c:v>0</c:v>
                </c:pt>
                <c:pt idx="781">
                  <c:v>10.80282152230971</c:v>
                </c:pt>
                <c:pt idx="782">
                  <c:v>10.80282152230971</c:v>
                </c:pt>
                <c:pt idx="783">
                  <c:v>0</c:v>
                </c:pt>
                <c:pt idx="784">
                  <c:v>0</c:v>
                </c:pt>
                <c:pt idx="786">
                  <c:v>30.000006832286932</c:v>
                </c:pt>
                <c:pt idx="787">
                  <c:v>40.802828354596642</c:v>
                </c:pt>
                <c:pt idx="788">
                  <c:v>40.802828354596642</c:v>
                </c:pt>
                <c:pt idx="789">
                  <c:v>30.000006832286932</c:v>
                </c:pt>
                <c:pt idx="790">
                  <c:v>30.000006832286932</c:v>
                </c:pt>
                <c:pt idx="792">
                  <c:v>0</c:v>
                </c:pt>
                <c:pt idx="793">
                  <c:v>10.80282152230971</c:v>
                </c:pt>
                <c:pt idx="794">
                  <c:v>10.80282152230971</c:v>
                </c:pt>
                <c:pt idx="795">
                  <c:v>0</c:v>
                </c:pt>
                <c:pt idx="796">
                  <c:v>0</c:v>
                </c:pt>
                <c:pt idx="798">
                  <c:v>30.000006832286932</c:v>
                </c:pt>
                <c:pt idx="799">
                  <c:v>40.802828354596642</c:v>
                </c:pt>
                <c:pt idx="800">
                  <c:v>40.802828354596642</c:v>
                </c:pt>
                <c:pt idx="801">
                  <c:v>30.000006832286932</c:v>
                </c:pt>
                <c:pt idx="802">
                  <c:v>30.000006832286932</c:v>
                </c:pt>
                <c:pt idx="804">
                  <c:v>0</c:v>
                </c:pt>
                <c:pt idx="805">
                  <c:v>10.80282152230971</c:v>
                </c:pt>
                <c:pt idx="806">
                  <c:v>10.80282152230971</c:v>
                </c:pt>
                <c:pt idx="807">
                  <c:v>0</c:v>
                </c:pt>
                <c:pt idx="808">
                  <c:v>0</c:v>
                </c:pt>
                <c:pt idx="810">
                  <c:v>30.000006832286932</c:v>
                </c:pt>
                <c:pt idx="811">
                  <c:v>40.802828354596642</c:v>
                </c:pt>
                <c:pt idx="812">
                  <c:v>40.802828354596642</c:v>
                </c:pt>
                <c:pt idx="813">
                  <c:v>30.000006832286932</c:v>
                </c:pt>
                <c:pt idx="814">
                  <c:v>30.000006832286932</c:v>
                </c:pt>
                <c:pt idx="816">
                  <c:v>0</c:v>
                </c:pt>
                <c:pt idx="817">
                  <c:v>10.80282152230971</c:v>
                </c:pt>
                <c:pt idx="818">
                  <c:v>10.80282152230971</c:v>
                </c:pt>
                <c:pt idx="819">
                  <c:v>0</c:v>
                </c:pt>
                <c:pt idx="820">
                  <c:v>0</c:v>
                </c:pt>
                <c:pt idx="822">
                  <c:v>30.000006832286932</c:v>
                </c:pt>
                <c:pt idx="823">
                  <c:v>40.802828354596642</c:v>
                </c:pt>
                <c:pt idx="824">
                  <c:v>40.802828354596642</c:v>
                </c:pt>
                <c:pt idx="825">
                  <c:v>30.000006832286932</c:v>
                </c:pt>
                <c:pt idx="826">
                  <c:v>30.000006832286932</c:v>
                </c:pt>
                <c:pt idx="828">
                  <c:v>0</c:v>
                </c:pt>
                <c:pt idx="829">
                  <c:v>10.80282152230971</c:v>
                </c:pt>
                <c:pt idx="830">
                  <c:v>10.80282152230971</c:v>
                </c:pt>
                <c:pt idx="831">
                  <c:v>0</c:v>
                </c:pt>
                <c:pt idx="832">
                  <c:v>0</c:v>
                </c:pt>
                <c:pt idx="834">
                  <c:v>30.000006832286932</c:v>
                </c:pt>
                <c:pt idx="835">
                  <c:v>40.802828354596642</c:v>
                </c:pt>
                <c:pt idx="836">
                  <c:v>40.802828354596642</c:v>
                </c:pt>
                <c:pt idx="837">
                  <c:v>30.000006832286932</c:v>
                </c:pt>
                <c:pt idx="838">
                  <c:v>30.000006832286932</c:v>
                </c:pt>
                <c:pt idx="840">
                  <c:v>0</c:v>
                </c:pt>
                <c:pt idx="841">
                  <c:v>10.80282152230971</c:v>
                </c:pt>
                <c:pt idx="842">
                  <c:v>10.80282152230971</c:v>
                </c:pt>
                <c:pt idx="843">
                  <c:v>0</c:v>
                </c:pt>
                <c:pt idx="844">
                  <c:v>0</c:v>
                </c:pt>
                <c:pt idx="846">
                  <c:v>30.000006832286932</c:v>
                </c:pt>
                <c:pt idx="847">
                  <c:v>40.802828354596642</c:v>
                </c:pt>
                <c:pt idx="848">
                  <c:v>40.802828354596642</c:v>
                </c:pt>
                <c:pt idx="849">
                  <c:v>30.000006832286932</c:v>
                </c:pt>
                <c:pt idx="850">
                  <c:v>30.000006832286932</c:v>
                </c:pt>
                <c:pt idx="852">
                  <c:v>0</c:v>
                </c:pt>
                <c:pt idx="853">
                  <c:v>10.80282152230971</c:v>
                </c:pt>
                <c:pt idx="854">
                  <c:v>10.80282152230971</c:v>
                </c:pt>
                <c:pt idx="855">
                  <c:v>0</c:v>
                </c:pt>
                <c:pt idx="856">
                  <c:v>0</c:v>
                </c:pt>
                <c:pt idx="858">
                  <c:v>30.000006832286932</c:v>
                </c:pt>
                <c:pt idx="859">
                  <c:v>40.802828354596642</c:v>
                </c:pt>
                <c:pt idx="860">
                  <c:v>40.802828354596642</c:v>
                </c:pt>
                <c:pt idx="861">
                  <c:v>30.000006832286932</c:v>
                </c:pt>
                <c:pt idx="862">
                  <c:v>30.000006832286932</c:v>
                </c:pt>
                <c:pt idx="864">
                  <c:v>0</c:v>
                </c:pt>
                <c:pt idx="865">
                  <c:v>10.80282152230971</c:v>
                </c:pt>
                <c:pt idx="866">
                  <c:v>10.80282152230971</c:v>
                </c:pt>
                <c:pt idx="867">
                  <c:v>0</c:v>
                </c:pt>
                <c:pt idx="868">
                  <c:v>0</c:v>
                </c:pt>
                <c:pt idx="870">
                  <c:v>30.000006832286932</c:v>
                </c:pt>
                <c:pt idx="871">
                  <c:v>40.802828354596642</c:v>
                </c:pt>
                <c:pt idx="872">
                  <c:v>40.802828354596642</c:v>
                </c:pt>
                <c:pt idx="873">
                  <c:v>30.000006832286932</c:v>
                </c:pt>
                <c:pt idx="874">
                  <c:v>30.000006832286932</c:v>
                </c:pt>
                <c:pt idx="876">
                  <c:v>0</c:v>
                </c:pt>
                <c:pt idx="877">
                  <c:v>10.80282152230971</c:v>
                </c:pt>
                <c:pt idx="878">
                  <c:v>10.80282152230971</c:v>
                </c:pt>
                <c:pt idx="879">
                  <c:v>0</c:v>
                </c:pt>
                <c:pt idx="880">
                  <c:v>0</c:v>
                </c:pt>
                <c:pt idx="882">
                  <c:v>30.000006832286932</c:v>
                </c:pt>
                <c:pt idx="883">
                  <c:v>40.802828354596642</c:v>
                </c:pt>
                <c:pt idx="884">
                  <c:v>40.802828354596642</c:v>
                </c:pt>
                <c:pt idx="885">
                  <c:v>30.000006832286932</c:v>
                </c:pt>
                <c:pt idx="886">
                  <c:v>30.000006832286932</c:v>
                </c:pt>
                <c:pt idx="888">
                  <c:v>0</c:v>
                </c:pt>
                <c:pt idx="889">
                  <c:v>10.80282152230971</c:v>
                </c:pt>
                <c:pt idx="890">
                  <c:v>10.80282152230971</c:v>
                </c:pt>
                <c:pt idx="891">
                  <c:v>0</c:v>
                </c:pt>
                <c:pt idx="892">
                  <c:v>0</c:v>
                </c:pt>
                <c:pt idx="894">
                  <c:v>30.000006832286932</c:v>
                </c:pt>
                <c:pt idx="895">
                  <c:v>40.802828354596642</c:v>
                </c:pt>
                <c:pt idx="896">
                  <c:v>40.802828354596642</c:v>
                </c:pt>
                <c:pt idx="897">
                  <c:v>30.000006832286932</c:v>
                </c:pt>
                <c:pt idx="898">
                  <c:v>30.000006832286932</c:v>
                </c:pt>
                <c:pt idx="900">
                  <c:v>0</c:v>
                </c:pt>
                <c:pt idx="901">
                  <c:v>10.80282152230971</c:v>
                </c:pt>
                <c:pt idx="902">
                  <c:v>10.80282152230971</c:v>
                </c:pt>
                <c:pt idx="903">
                  <c:v>0</c:v>
                </c:pt>
                <c:pt idx="904">
                  <c:v>0</c:v>
                </c:pt>
                <c:pt idx="906">
                  <c:v>30.000006832286932</c:v>
                </c:pt>
                <c:pt idx="907">
                  <c:v>40.802828354596642</c:v>
                </c:pt>
                <c:pt idx="908">
                  <c:v>40.802828354596642</c:v>
                </c:pt>
                <c:pt idx="909">
                  <c:v>30.000006832286932</c:v>
                </c:pt>
                <c:pt idx="910">
                  <c:v>30.000006832286932</c:v>
                </c:pt>
                <c:pt idx="912">
                  <c:v>0</c:v>
                </c:pt>
                <c:pt idx="913">
                  <c:v>10.80282152230971</c:v>
                </c:pt>
                <c:pt idx="914">
                  <c:v>10.80282152230971</c:v>
                </c:pt>
                <c:pt idx="915">
                  <c:v>0</c:v>
                </c:pt>
                <c:pt idx="916">
                  <c:v>0</c:v>
                </c:pt>
                <c:pt idx="918">
                  <c:v>30.000006832286932</c:v>
                </c:pt>
                <c:pt idx="919">
                  <c:v>40.802828354596642</c:v>
                </c:pt>
                <c:pt idx="920">
                  <c:v>40.802828354596642</c:v>
                </c:pt>
                <c:pt idx="921">
                  <c:v>30.000006832286932</c:v>
                </c:pt>
                <c:pt idx="922">
                  <c:v>30.000006832286932</c:v>
                </c:pt>
                <c:pt idx="924">
                  <c:v>0</c:v>
                </c:pt>
                <c:pt idx="925">
                  <c:v>10.80282152230971</c:v>
                </c:pt>
                <c:pt idx="926">
                  <c:v>10.80282152230971</c:v>
                </c:pt>
                <c:pt idx="927">
                  <c:v>0</c:v>
                </c:pt>
                <c:pt idx="928">
                  <c:v>0</c:v>
                </c:pt>
                <c:pt idx="930">
                  <c:v>30.000006832286932</c:v>
                </c:pt>
                <c:pt idx="931">
                  <c:v>40.802828354596642</c:v>
                </c:pt>
                <c:pt idx="932">
                  <c:v>40.802828354596642</c:v>
                </c:pt>
                <c:pt idx="933">
                  <c:v>30.000006832286932</c:v>
                </c:pt>
                <c:pt idx="934">
                  <c:v>30.000006832286932</c:v>
                </c:pt>
                <c:pt idx="936">
                  <c:v>0</c:v>
                </c:pt>
                <c:pt idx="937">
                  <c:v>10.80282152230971</c:v>
                </c:pt>
                <c:pt idx="938">
                  <c:v>10.80282152230971</c:v>
                </c:pt>
                <c:pt idx="939">
                  <c:v>0</c:v>
                </c:pt>
                <c:pt idx="940">
                  <c:v>0</c:v>
                </c:pt>
                <c:pt idx="942">
                  <c:v>30.000006832286932</c:v>
                </c:pt>
                <c:pt idx="943">
                  <c:v>40.802828354596642</c:v>
                </c:pt>
                <c:pt idx="944">
                  <c:v>40.802828354596642</c:v>
                </c:pt>
                <c:pt idx="945">
                  <c:v>30.000006832286932</c:v>
                </c:pt>
                <c:pt idx="946">
                  <c:v>30.000006832286932</c:v>
                </c:pt>
                <c:pt idx="948">
                  <c:v>0</c:v>
                </c:pt>
                <c:pt idx="949">
                  <c:v>10.80282152230971</c:v>
                </c:pt>
                <c:pt idx="950">
                  <c:v>10.80282152230971</c:v>
                </c:pt>
                <c:pt idx="951">
                  <c:v>0</c:v>
                </c:pt>
                <c:pt idx="952">
                  <c:v>0</c:v>
                </c:pt>
                <c:pt idx="954">
                  <c:v>30.000006832286932</c:v>
                </c:pt>
                <c:pt idx="955">
                  <c:v>40.802828354596642</c:v>
                </c:pt>
                <c:pt idx="956">
                  <c:v>40.802828354596642</c:v>
                </c:pt>
                <c:pt idx="957">
                  <c:v>30.000006832286932</c:v>
                </c:pt>
                <c:pt idx="958">
                  <c:v>30.000006832286932</c:v>
                </c:pt>
                <c:pt idx="960">
                  <c:v>0</c:v>
                </c:pt>
                <c:pt idx="961">
                  <c:v>10.80282152230971</c:v>
                </c:pt>
                <c:pt idx="962">
                  <c:v>10.80282152230971</c:v>
                </c:pt>
                <c:pt idx="963">
                  <c:v>0</c:v>
                </c:pt>
                <c:pt idx="964">
                  <c:v>0</c:v>
                </c:pt>
                <c:pt idx="966">
                  <c:v>30.000006832286932</c:v>
                </c:pt>
                <c:pt idx="967">
                  <c:v>40.802828354596642</c:v>
                </c:pt>
                <c:pt idx="968">
                  <c:v>40.802828354596642</c:v>
                </c:pt>
                <c:pt idx="969">
                  <c:v>30.000006832286932</c:v>
                </c:pt>
                <c:pt idx="970">
                  <c:v>30.000006832286932</c:v>
                </c:pt>
                <c:pt idx="972">
                  <c:v>0</c:v>
                </c:pt>
                <c:pt idx="973">
                  <c:v>10.80282152230971</c:v>
                </c:pt>
                <c:pt idx="974">
                  <c:v>10.80282152230971</c:v>
                </c:pt>
                <c:pt idx="975">
                  <c:v>0</c:v>
                </c:pt>
                <c:pt idx="976">
                  <c:v>0</c:v>
                </c:pt>
                <c:pt idx="978">
                  <c:v>30.000006832286932</c:v>
                </c:pt>
                <c:pt idx="979">
                  <c:v>40.802828354596642</c:v>
                </c:pt>
                <c:pt idx="980">
                  <c:v>40.802828354596642</c:v>
                </c:pt>
                <c:pt idx="981">
                  <c:v>30.000006832286932</c:v>
                </c:pt>
                <c:pt idx="982">
                  <c:v>30.000006832286932</c:v>
                </c:pt>
                <c:pt idx="984">
                  <c:v>0</c:v>
                </c:pt>
                <c:pt idx="985">
                  <c:v>10.80282152230971</c:v>
                </c:pt>
                <c:pt idx="986">
                  <c:v>10.80282152230971</c:v>
                </c:pt>
                <c:pt idx="987">
                  <c:v>0</c:v>
                </c:pt>
                <c:pt idx="988">
                  <c:v>0</c:v>
                </c:pt>
                <c:pt idx="990">
                  <c:v>30.000006832286932</c:v>
                </c:pt>
                <c:pt idx="991">
                  <c:v>40.802828354596642</c:v>
                </c:pt>
                <c:pt idx="992">
                  <c:v>40.802828354596642</c:v>
                </c:pt>
                <c:pt idx="993">
                  <c:v>30.000006832286932</c:v>
                </c:pt>
                <c:pt idx="994">
                  <c:v>30.000006832286932</c:v>
                </c:pt>
                <c:pt idx="996">
                  <c:v>0</c:v>
                </c:pt>
                <c:pt idx="997">
                  <c:v>10.80282152230971</c:v>
                </c:pt>
                <c:pt idx="998">
                  <c:v>10.80282152230971</c:v>
                </c:pt>
                <c:pt idx="999">
                  <c:v>0</c:v>
                </c:pt>
                <c:pt idx="1000">
                  <c:v>0</c:v>
                </c:pt>
                <c:pt idx="1002">
                  <c:v>30.000006832286932</c:v>
                </c:pt>
                <c:pt idx="1003">
                  <c:v>40.802828354596642</c:v>
                </c:pt>
                <c:pt idx="1004">
                  <c:v>40.802828354596642</c:v>
                </c:pt>
                <c:pt idx="1005">
                  <c:v>30.000006832286932</c:v>
                </c:pt>
                <c:pt idx="1006">
                  <c:v>30.000006832286932</c:v>
                </c:pt>
                <c:pt idx="1008">
                  <c:v>0</c:v>
                </c:pt>
                <c:pt idx="1009">
                  <c:v>10.80282152230971</c:v>
                </c:pt>
                <c:pt idx="1010">
                  <c:v>10.80282152230971</c:v>
                </c:pt>
                <c:pt idx="1011">
                  <c:v>0</c:v>
                </c:pt>
                <c:pt idx="1012">
                  <c:v>0</c:v>
                </c:pt>
                <c:pt idx="1014">
                  <c:v>30.000006832286932</c:v>
                </c:pt>
                <c:pt idx="1015">
                  <c:v>40.802828354596642</c:v>
                </c:pt>
                <c:pt idx="1016">
                  <c:v>40.802828354596642</c:v>
                </c:pt>
                <c:pt idx="1017">
                  <c:v>30.000006832286932</c:v>
                </c:pt>
                <c:pt idx="1018">
                  <c:v>30.000006832286932</c:v>
                </c:pt>
                <c:pt idx="1020">
                  <c:v>0</c:v>
                </c:pt>
                <c:pt idx="1021">
                  <c:v>10.80282152230971</c:v>
                </c:pt>
                <c:pt idx="1022">
                  <c:v>10.80282152230971</c:v>
                </c:pt>
                <c:pt idx="1023">
                  <c:v>0</c:v>
                </c:pt>
                <c:pt idx="1024">
                  <c:v>0</c:v>
                </c:pt>
                <c:pt idx="1026">
                  <c:v>30.000006832286932</c:v>
                </c:pt>
                <c:pt idx="1027">
                  <c:v>40.802828354596642</c:v>
                </c:pt>
                <c:pt idx="1028">
                  <c:v>40.802828354596642</c:v>
                </c:pt>
                <c:pt idx="1029">
                  <c:v>30.000006832286932</c:v>
                </c:pt>
                <c:pt idx="1030">
                  <c:v>30.000006832286932</c:v>
                </c:pt>
                <c:pt idx="1032">
                  <c:v>0</c:v>
                </c:pt>
                <c:pt idx="1033">
                  <c:v>10.80282152230971</c:v>
                </c:pt>
                <c:pt idx="1034">
                  <c:v>10.80282152230971</c:v>
                </c:pt>
                <c:pt idx="1035">
                  <c:v>0</c:v>
                </c:pt>
                <c:pt idx="1036">
                  <c:v>0</c:v>
                </c:pt>
                <c:pt idx="1038">
                  <c:v>30.000006832286932</c:v>
                </c:pt>
                <c:pt idx="1039">
                  <c:v>40.802828354596642</c:v>
                </c:pt>
                <c:pt idx="1040">
                  <c:v>40.802828354596642</c:v>
                </c:pt>
                <c:pt idx="1041">
                  <c:v>30.000006832286932</c:v>
                </c:pt>
                <c:pt idx="1042">
                  <c:v>30.000006832286932</c:v>
                </c:pt>
                <c:pt idx="1044">
                  <c:v>0</c:v>
                </c:pt>
                <c:pt idx="1045">
                  <c:v>10.80282152230971</c:v>
                </c:pt>
                <c:pt idx="1046">
                  <c:v>10.80282152230971</c:v>
                </c:pt>
                <c:pt idx="1047">
                  <c:v>0</c:v>
                </c:pt>
                <c:pt idx="1048">
                  <c:v>0</c:v>
                </c:pt>
                <c:pt idx="1050">
                  <c:v>30.000006832286932</c:v>
                </c:pt>
                <c:pt idx="1051">
                  <c:v>40.802828354596642</c:v>
                </c:pt>
                <c:pt idx="1052">
                  <c:v>40.802828354596642</c:v>
                </c:pt>
                <c:pt idx="1053">
                  <c:v>30.000006832286932</c:v>
                </c:pt>
                <c:pt idx="1054">
                  <c:v>30.000006832286932</c:v>
                </c:pt>
                <c:pt idx="1056">
                  <c:v>0</c:v>
                </c:pt>
                <c:pt idx="1057">
                  <c:v>10.80282152230971</c:v>
                </c:pt>
                <c:pt idx="1058">
                  <c:v>10.80282152230971</c:v>
                </c:pt>
                <c:pt idx="1059">
                  <c:v>0</c:v>
                </c:pt>
                <c:pt idx="1060">
                  <c:v>0</c:v>
                </c:pt>
                <c:pt idx="1062">
                  <c:v>30.000006832286932</c:v>
                </c:pt>
                <c:pt idx="1063">
                  <c:v>40.802828354596642</c:v>
                </c:pt>
                <c:pt idx="1064">
                  <c:v>40.802828354596642</c:v>
                </c:pt>
                <c:pt idx="1065">
                  <c:v>30.000006832286932</c:v>
                </c:pt>
                <c:pt idx="1066">
                  <c:v>30.000006832286932</c:v>
                </c:pt>
                <c:pt idx="1068">
                  <c:v>0</c:v>
                </c:pt>
                <c:pt idx="1069">
                  <c:v>10.80282152230971</c:v>
                </c:pt>
                <c:pt idx="1070">
                  <c:v>10.80282152230971</c:v>
                </c:pt>
                <c:pt idx="1071">
                  <c:v>0</c:v>
                </c:pt>
                <c:pt idx="1072">
                  <c:v>0</c:v>
                </c:pt>
                <c:pt idx="1074">
                  <c:v>30.000006832286932</c:v>
                </c:pt>
                <c:pt idx="1075">
                  <c:v>40.802828354596642</c:v>
                </c:pt>
                <c:pt idx="1076">
                  <c:v>40.802828354596642</c:v>
                </c:pt>
                <c:pt idx="1077">
                  <c:v>30.000006832286932</c:v>
                </c:pt>
                <c:pt idx="1078">
                  <c:v>30.000006832286932</c:v>
                </c:pt>
                <c:pt idx="1080">
                  <c:v>0</c:v>
                </c:pt>
                <c:pt idx="1081">
                  <c:v>10.80282152230971</c:v>
                </c:pt>
                <c:pt idx="1082">
                  <c:v>10.80282152230971</c:v>
                </c:pt>
                <c:pt idx="1083">
                  <c:v>0</c:v>
                </c:pt>
                <c:pt idx="1084">
                  <c:v>0</c:v>
                </c:pt>
                <c:pt idx="1086">
                  <c:v>30.000006832286932</c:v>
                </c:pt>
                <c:pt idx="1087">
                  <c:v>40.802828354596642</c:v>
                </c:pt>
                <c:pt idx="1088">
                  <c:v>40.802828354596642</c:v>
                </c:pt>
                <c:pt idx="1089">
                  <c:v>30.000006832286932</c:v>
                </c:pt>
                <c:pt idx="1090">
                  <c:v>30.000006832286932</c:v>
                </c:pt>
                <c:pt idx="1092">
                  <c:v>0</c:v>
                </c:pt>
                <c:pt idx="1093">
                  <c:v>10.80282152230971</c:v>
                </c:pt>
                <c:pt idx="1094">
                  <c:v>10.80282152230971</c:v>
                </c:pt>
                <c:pt idx="1095">
                  <c:v>0</c:v>
                </c:pt>
                <c:pt idx="1096">
                  <c:v>0</c:v>
                </c:pt>
                <c:pt idx="1098">
                  <c:v>30.000006832286932</c:v>
                </c:pt>
                <c:pt idx="1099">
                  <c:v>40.802828354596642</c:v>
                </c:pt>
                <c:pt idx="1100">
                  <c:v>40.802828354596642</c:v>
                </c:pt>
                <c:pt idx="1101">
                  <c:v>30.000006832286932</c:v>
                </c:pt>
                <c:pt idx="1102">
                  <c:v>30.000006832286932</c:v>
                </c:pt>
                <c:pt idx="1104">
                  <c:v>0</c:v>
                </c:pt>
                <c:pt idx="1105">
                  <c:v>10.80282152230971</c:v>
                </c:pt>
                <c:pt idx="1106">
                  <c:v>10.80282152230971</c:v>
                </c:pt>
                <c:pt idx="1107">
                  <c:v>0</c:v>
                </c:pt>
                <c:pt idx="1108">
                  <c:v>0</c:v>
                </c:pt>
                <c:pt idx="1110">
                  <c:v>30.000006832286932</c:v>
                </c:pt>
                <c:pt idx="1111">
                  <c:v>40.802828354596642</c:v>
                </c:pt>
                <c:pt idx="1112">
                  <c:v>40.802828354596642</c:v>
                </c:pt>
                <c:pt idx="1113">
                  <c:v>30.000006832286932</c:v>
                </c:pt>
                <c:pt idx="1114">
                  <c:v>30.000006832286932</c:v>
                </c:pt>
                <c:pt idx="1116">
                  <c:v>0</c:v>
                </c:pt>
                <c:pt idx="1117">
                  <c:v>10.80282152230971</c:v>
                </c:pt>
                <c:pt idx="1118">
                  <c:v>10.80282152230971</c:v>
                </c:pt>
                <c:pt idx="1119">
                  <c:v>0</c:v>
                </c:pt>
                <c:pt idx="1120">
                  <c:v>0</c:v>
                </c:pt>
                <c:pt idx="1122">
                  <c:v>30.000006832286932</c:v>
                </c:pt>
                <c:pt idx="1123">
                  <c:v>40.802828354596642</c:v>
                </c:pt>
                <c:pt idx="1124">
                  <c:v>40.802828354596642</c:v>
                </c:pt>
                <c:pt idx="1125">
                  <c:v>30.000006832286932</c:v>
                </c:pt>
                <c:pt idx="1126">
                  <c:v>30.000006832286932</c:v>
                </c:pt>
                <c:pt idx="1128">
                  <c:v>0</c:v>
                </c:pt>
                <c:pt idx="1129">
                  <c:v>10.80282152230971</c:v>
                </c:pt>
                <c:pt idx="1130">
                  <c:v>10.80282152230971</c:v>
                </c:pt>
                <c:pt idx="1131">
                  <c:v>0</c:v>
                </c:pt>
                <c:pt idx="1132">
                  <c:v>0</c:v>
                </c:pt>
                <c:pt idx="1134">
                  <c:v>30.000006832286932</c:v>
                </c:pt>
                <c:pt idx="1135">
                  <c:v>40.802828354596642</c:v>
                </c:pt>
                <c:pt idx="1136">
                  <c:v>40.802828354596642</c:v>
                </c:pt>
                <c:pt idx="1137">
                  <c:v>30.000006832286932</c:v>
                </c:pt>
                <c:pt idx="1138">
                  <c:v>30.000006832286932</c:v>
                </c:pt>
                <c:pt idx="1140">
                  <c:v>0</c:v>
                </c:pt>
                <c:pt idx="1141">
                  <c:v>10.80282152230971</c:v>
                </c:pt>
                <c:pt idx="1142">
                  <c:v>10.80282152230971</c:v>
                </c:pt>
                <c:pt idx="1143">
                  <c:v>0</c:v>
                </c:pt>
                <c:pt idx="1144">
                  <c:v>0</c:v>
                </c:pt>
                <c:pt idx="1146">
                  <c:v>30.000006832286932</c:v>
                </c:pt>
                <c:pt idx="1147">
                  <c:v>40.802828354596642</c:v>
                </c:pt>
                <c:pt idx="1148">
                  <c:v>40.802828354596642</c:v>
                </c:pt>
                <c:pt idx="1149">
                  <c:v>30.000006832286932</c:v>
                </c:pt>
                <c:pt idx="1150">
                  <c:v>30.000006832286932</c:v>
                </c:pt>
                <c:pt idx="1152">
                  <c:v>0</c:v>
                </c:pt>
                <c:pt idx="1153">
                  <c:v>10.80282152230971</c:v>
                </c:pt>
                <c:pt idx="1154">
                  <c:v>10.80282152230971</c:v>
                </c:pt>
                <c:pt idx="1155">
                  <c:v>0</c:v>
                </c:pt>
                <c:pt idx="1156">
                  <c:v>0</c:v>
                </c:pt>
                <c:pt idx="1158">
                  <c:v>30.000006832286932</c:v>
                </c:pt>
                <c:pt idx="1159">
                  <c:v>40.802828354596642</c:v>
                </c:pt>
                <c:pt idx="1160">
                  <c:v>40.802828354596642</c:v>
                </c:pt>
                <c:pt idx="1161">
                  <c:v>30.000006832286932</c:v>
                </c:pt>
                <c:pt idx="1162">
                  <c:v>30.000006832286932</c:v>
                </c:pt>
                <c:pt idx="1164">
                  <c:v>0</c:v>
                </c:pt>
                <c:pt idx="1165">
                  <c:v>10.80282152230971</c:v>
                </c:pt>
                <c:pt idx="1166">
                  <c:v>10.80282152230971</c:v>
                </c:pt>
                <c:pt idx="1167">
                  <c:v>0</c:v>
                </c:pt>
                <c:pt idx="1168">
                  <c:v>0</c:v>
                </c:pt>
                <c:pt idx="1170">
                  <c:v>30.000006832286932</c:v>
                </c:pt>
                <c:pt idx="1171">
                  <c:v>40.802828354596642</c:v>
                </c:pt>
                <c:pt idx="1172">
                  <c:v>40.802828354596642</c:v>
                </c:pt>
                <c:pt idx="1173">
                  <c:v>30.000006832286932</c:v>
                </c:pt>
                <c:pt idx="1174">
                  <c:v>30.000006832286932</c:v>
                </c:pt>
                <c:pt idx="1176">
                  <c:v>0</c:v>
                </c:pt>
                <c:pt idx="1177">
                  <c:v>10.80282152230971</c:v>
                </c:pt>
                <c:pt idx="1178">
                  <c:v>10.80282152230971</c:v>
                </c:pt>
                <c:pt idx="1179">
                  <c:v>0</c:v>
                </c:pt>
                <c:pt idx="1180">
                  <c:v>0</c:v>
                </c:pt>
                <c:pt idx="1182">
                  <c:v>30.000006832286932</c:v>
                </c:pt>
                <c:pt idx="1183">
                  <c:v>40.802828354596642</c:v>
                </c:pt>
                <c:pt idx="1184">
                  <c:v>40.802828354596642</c:v>
                </c:pt>
                <c:pt idx="1185">
                  <c:v>30.000006832286932</c:v>
                </c:pt>
                <c:pt idx="1186">
                  <c:v>30.000006832286932</c:v>
                </c:pt>
                <c:pt idx="1188">
                  <c:v>0</c:v>
                </c:pt>
                <c:pt idx="1189">
                  <c:v>10.80282152230971</c:v>
                </c:pt>
                <c:pt idx="1190">
                  <c:v>10.80282152230971</c:v>
                </c:pt>
                <c:pt idx="1191">
                  <c:v>0</c:v>
                </c:pt>
                <c:pt idx="1192">
                  <c:v>0</c:v>
                </c:pt>
                <c:pt idx="1194">
                  <c:v>30.000006832286932</c:v>
                </c:pt>
                <c:pt idx="1195">
                  <c:v>40.802828354596642</c:v>
                </c:pt>
                <c:pt idx="1196">
                  <c:v>40.802828354596642</c:v>
                </c:pt>
                <c:pt idx="1197">
                  <c:v>30.000006832286932</c:v>
                </c:pt>
                <c:pt idx="1198">
                  <c:v>30.000006832286932</c:v>
                </c:pt>
                <c:pt idx="1200">
                  <c:v>0</c:v>
                </c:pt>
                <c:pt idx="1201">
                  <c:v>10.80282152230971</c:v>
                </c:pt>
                <c:pt idx="1202">
                  <c:v>10.80282152230971</c:v>
                </c:pt>
                <c:pt idx="1203">
                  <c:v>0</c:v>
                </c:pt>
                <c:pt idx="1204">
                  <c:v>0</c:v>
                </c:pt>
                <c:pt idx="1206">
                  <c:v>30.000006832286932</c:v>
                </c:pt>
                <c:pt idx="1207">
                  <c:v>40.802828354596642</c:v>
                </c:pt>
                <c:pt idx="1208">
                  <c:v>40.802828354596642</c:v>
                </c:pt>
                <c:pt idx="1209">
                  <c:v>30.000006832286932</c:v>
                </c:pt>
                <c:pt idx="1210">
                  <c:v>30.000006832286932</c:v>
                </c:pt>
                <c:pt idx="1212">
                  <c:v>0</c:v>
                </c:pt>
                <c:pt idx="1213">
                  <c:v>10.80282152230971</c:v>
                </c:pt>
                <c:pt idx="1214">
                  <c:v>10.80282152230971</c:v>
                </c:pt>
                <c:pt idx="1215">
                  <c:v>0</c:v>
                </c:pt>
                <c:pt idx="1216">
                  <c:v>0</c:v>
                </c:pt>
                <c:pt idx="1218">
                  <c:v>30.000006832286932</c:v>
                </c:pt>
                <c:pt idx="1219">
                  <c:v>40.802828354596642</c:v>
                </c:pt>
                <c:pt idx="1220">
                  <c:v>40.802828354596642</c:v>
                </c:pt>
                <c:pt idx="1221">
                  <c:v>30.000006832286932</c:v>
                </c:pt>
                <c:pt idx="1222">
                  <c:v>30.000006832286932</c:v>
                </c:pt>
                <c:pt idx="1224">
                  <c:v>0</c:v>
                </c:pt>
                <c:pt idx="1225">
                  <c:v>10.80282152230971</c:v>
                </c:pt>
                <c:pt idx="1226">
                  <c:v>10.80282152230971</c:v>
                </c:pt>
                <c:pt idx="1227">
                  <c:v>0</c:v>
                </c:pt>
                <c:pt idx="1228">
                  <c:v>0</c:v>
                </c:pt>
                <c:pt idx="1230">
                  <c:v>30.000006832286932</c:v>
                </c:pt>
                <c:pt idx="1231">
                  <c:v>40.802828354596642</c:v>
                </c:pt>
                <c:pt idx="1232">
                  <c:v>40.802828354596642</c:v>
                </c:pt>
                <c:pt idx="1233">
                  <c:v>30.000006832286932</c:v>
                </c:pt>
                <c:pt idx="1234">
                  <c:v>30.000006832286932</c:v>
                </c:pt>
                <c:pt idx="1236">
                  <c:v>0</c:v>
                </c:pt>
                <c:pt idx="1237">
                  <c:v>10.80282152230971</c:v>
                </c:pt>
                <c:pt idx="1238">
                  <c:v>10.80282152230971</c:v>
                </c:pt>
                <c:pt idx="1239">
                  <c:v>0</c:v>
                </c:pt>
                <c:pt idx="1240">
                  <c:v>0</c:v>
                </c:pt>
                <c:pt idx="1242">
                  <c:v>30.000006832286932</c:v>
                </c:pt>
                <c:pt idx="1243">
                  <c:v>40.802828354596642</c:v>
                </c:pt>
                <c:pt idx="1244">
                  <c:v>40.802828354596642</c:v>
                </c:pt>
                <c:pt idx="1245">
                  <c:v>30.000006832286932</c:v>
                </c:pt>
                <c:pt idx="1246">
                  <c:v>30.000006832286932</c:v>
                </c:pt>
                <c:pt idx="1248">
                  <c:v>0</c:v>
                </c:pt>
                <c:pt idx="1249">
                  <c:v>10.80282152230971</c:v>
                </c:pt>
                <c:pt idx="1250">
                  <c:v>10.80282152230971</c:v>
                </c:pt>
                <c:pt idx="1251">
                  <c:v>0</c:v>
                </c:pt>
                <c:pt idx="1252">
                  <c:v>0</c:v>
                </c:pt>
                <c:pt idx="1254">
                  <c:v>30.000006832286932</c:v>
                </c:pt>
                <c:pt idx="1255">
                  <c:v>40.802828354596642</c:v>
                </c:pt>
                <c:pt idx="1256">
                  <c:v>40.802828354596642</c:v>
                </c:pt>
                <c:pt idx="1257">
                  <c:v>30.000006832286932</c:v>
                </c:pt>
                <c:pt idx="1258">
                  <c:v>30.000006832286932</c:v>
                </c:pt>
                <c:pt idx="1260">
                  <c:v>0</c:v>
                </c:pt>
                <c:pt idx="1261">
                  <c:v>10.80282152230971</c:v>
                </c:pt>
                <c:pt idx="1262">
                  <c:v>10.80282152230971</c:v>
                </c:pt>
                <c:pt idx="1263">
                  <c:v>0</c:v>
                </c:pt>
                <c:pt idx="1264">
                  <c:v>0</c:v>
                </c:pt>
                <c:pt idx="1266">
                  <c:v>30.000006832286932</c:v>
                </c:pt>
                <c:pt idx="1267">
                  <c:v>40.802828354596642</c:v>
                </c:pt>
                <c:pt idx="1268">
                  <c:v>40.802828354596642</c:v>
                </c:pt>
                <c:pt idx="1269">
                  <c:v>30.000006832286932</c:v>
                </c:pt>
                <c:pt idx="1270">
                  <c:v>30.000006832286932</c:v>
                </c:pt>
                <c:pt idx="1272">
                  <c:v>0</c:v>
                </c:pt>
                <c:pt idx="1273">
                  <c:v>10.80282152230971</c:v>
                </c:pt>
                <c:pt idx="1274">
                  <c:v>10.80282152230971</c:v>
                </c:pt>
                <c:pt idx="1275">
                  <c:v>0</c:v>
                </c:pt>
                <c:pt idx="1276">
                  <c:v>0</c:v>
                </c:pt>
                <c:pt idx="1278">
                  <c:v>30.000006832286932</c:v>
                </c:pt>
                <c:pt idx="1279">
                  <c:v>40.802828354596642</c:v>
                </c:pt>
                <c:pt idx="1280">
                  <c:v>40.802828354596642</c:v>
                </c:pt>
                <c:pt idx="1281">
                  <c:v>30.000006832286932</c:v>
                </c:pt>
                <c:pt idx="1282">
                  <c:v>30.000006832286932</c:v>
                </c:pt>
                <c:pt idx="1284">
                  <c:v>0</c:v>
                </c:pt>
                <c:pt idx="1285">
                  <c:v>10.80282152230971</c:v>
                </c:pt>
                <c:pt idx="1286">
                  <c:v>10.80282152230971</c:v>
                </c:pt>
                <c:pt idx="1287">
                  <c:v>0</c:v>
                </c:pt>
                <c:pt idx="1288">
                  <c:v>0</c:v>
                </c:pt>
                <c:pt idx="1290">
                  <c:v>30.000006832286932</c:v>
                </c:pt>
                <c:pt idx="1291">
                  <c:v>40.802828354596642</c:v>
                </c:pt>
                <c:pt idx="1292">
                  <c:v>40.802828354596642</c:v>
                </c:pt>
                <c:pt idx="1293">
                  <c:v>30.000006832286932</c:v>
                </c:pt>
                <c:pt idx="1294">
                  <c:v>30.000006832286932</c:v>
                </c:pt>
                <c:pt idx="1296">
                  <c:v>0</c:v>
                </c:pt>
                <c:pt idx="1297">
                  <c:v>10.80282152230971</c:v>
                </c:pt>
                <c:pt idx="1298">
                  <c:v>10.80282152230971</c:v>
                </c:pt>
                <c:pt idx="1299">
                  <c:v>0</c:v>
                </c:pt>
                <c:pt idx="1300">
                  <c:v>0</c:v>
                </c:pt>
                <c:pt idx="1302">
                  <c:v>30.000006832286932</c:v>
                </c:pt>
                <c:pt idx="1303">
                  <c:v>40.802828354596642</c:v>
                </c:pt>
                <c:pt idx="1304">
                  <c:v>40.802828354596642</c:v>
                </c:pt>
                <c:pt idx="1305">
                  <c:v>30.000006832286932</c:v>
                </c:pt>
                <c:pt idx="1306">
                  <c:v>30.000006832286932</c:v>
                </c:pt>
                <c:pt idx="1308">
                  <c:v>0</c:v>
                </c:pt>
                <c:pt idx="1309">
                  <c:v>10.80282152230971</c:v>
                </c:pt>
                <c:pt idx="1310">
                  <c:v>10.80282152230971</c:v>
                </c:pt>
                <c:pt idx="1311">
                  <c:v>0</c:v>
                </c:pt>
                <c:pt idx="1312">
                  <c:v>0</c:v>
                </c:pt>
                <c:pt idx="1314">
                  <c:v>30.000006832286932</c:v>
                </c:pt>
                <c:pt idx="1315">
                  <c:v>40.802828354596642</c:v>
                </c:pt>
                <c:pt idx="1316">
                  <c:v>40.802828354596642</c:v>
                </c:pt>
                <c:pt idx="1317">
                  <c:v>30.000006832286932</c:v>
                </c:pt>
                <c:pt idx="1318">
                  <c:v>30.000006832286932</c:v>
                </c:pt>
                <c:pt idx="1320">
                  <c:v>0</c:v>
                </c:pt>
                <c:pt idx="1321">
                  <c:v>10.80282152230971</c:v>
                </c:pt>
                <c:pt idx="1322">
                  <c:v>10.80282152230971</c:v>
                </c:pt>
                <c:pt idx="1323">
                  <c:v>0</c:v>
                </c:pt>
                <c:pt idx="1324">
                  <c:v>0</c:v>
                </c:pt>
                <c:pt idx="1326">
                  <c:v>30.000006832286932</c:v>
                </c:pt>
                <c:pt idx="1327">
                  <c:v>40.802828354596642</c:v>
                </c:pt>
                <c:pt idx="1328">
                  <c:v>40.802828354596642</c:v>
                </c:pt>
                <c:pt idx="1329">
                  <c:v>30.000006832286932</c:v>
                </c:pt>
                <c:pt idx="1330">
                  <c:v>30.000006832286932</c:v>
                </c:pt>
                <c:pt idx="1332">
                  <c:v>0</c:v>
                </c:pt>
                <c:pt idx="1333">
                  <c:v>10.80282152230971</c:v>
                </c:pt>
                <c:pt idx="1334">
                  <c:v>10.80282152230971</c:v>
                </c:pt>
                <c:pt idx="1335">
                  <c:v>0</c:v>
                </c:pt>
                <c:pt idx="1336">
                  <c:v>0</c:v>
                </c:pt>
                <c:pt idx="1338">
                  <c:v>30.000006832286932</c:v>
                </c:pt>
                <c:pt idx="1339">
                  <c:v>40.802828354596642</c:v>
                </c:pt>
                <c:pt idx="1340">
                  <c:v>40.802828354596642</c:v>
                </c:pt>
                <c:pt idx="1341">
                  <c:v>30.000006832286932</c:v>
                </c:pt>
                <c:pt idx="1342">
                  <c:v>30.000006832286932</c:v>
                </c:pt>
                <c:pt idx="1344">
                  <c:v>0</c:v>
                </c:pt>
                <c:pt idx="1345">
                  <c:v>10.80282152230971</c:v>
                </c:pt>
                <c:pt idx="1346">
                  <c:v>10.80282152230971</c:v>
                </c:pt>
                <c:pt idx="1347">
                  <c:v>0</c:v>
                </c:pt>
                <c:pt idx="1348">
                  <c:v>0</c:v>
                </c:pt>
                <c:pt idx="1350">
                  <c:v>30.000006832286932</c:v>
                </c:pt>
                <c:pt idx="1351">
                  <c:v>40.802828354596642</c:v>
                </c:pt>
                <c:pt idx="1352">
                  <c:v>40.802828354596642</c:v>
                </c:pt>
                <c:pt idx="1353">
                  <c:v>30.000006832286932</c:v>
                </c:pt>
                <c:pt idx="1354">
                  <c:v>30.000006832286932</c:v>
                </c:pt>
                <c:pt idx="1356">
                  <c:v>0</c:v>
                </c:pt>
                <c:pt idx="1357">
                  <c:v>10.80282152230971</c:v>
                </c:pt>
                <c:pt idx="1358">
                  <c:v>10.80282152230971</c:v>
                </c:pt>
                <c:pt idx="1359">
                  <c:v>0</c:v>
                </c:pt>
                <c:pt idx="1360">
                  <c:v>0</c:v>
                </c:pt>
                <c:pt idx="1362">
                  <c:v>30.000006832286932</c:v>
                </c:pt>
                <c:pt idx="1363">
                  <c:v>40.802828354596642</c:v>
                </c:pt>
                <c:pt idx="1364">
                  <c:v>40.802828354596642</c:v>
                </c:pt>
                <c:pt idx="1365">
                  <c:v>30.000006832286932</c:v>
                </c:pt>
                <c:pt idx="1366">
                  <c:v>30.000006832286932</c:v>
                </c:pt>
                <c:pt idx="1368">
                  <c:v>0</c:v>
                </c:pt>
                <c:pt idx="1369">
                  <c:v>10.80282152230971</c:v>
                </c:pt>
                <c:pt idx="1370">
                  <c:v>10.80282152230971</c:v>
                </c:pt>
                <c:pt idx="1371">
                  <c:v>0</c:v>
                </c:pt>
                <c:pt idx="1372">
                  <c:v>0</c:v>
                </c:pt>
                <c:pt idx="1374">
                  <c:v>30.000006832286932</c:v>
                </c:pt>
                <c:pt idx="1375">
                  <c:v>40.802828354596642</c:v>
                </c:pt>
                <c:pt idx="1376">
                  <c:v>40.802828354596642</c:v>
                </c:pt>
                <c:pt idx="1377">
                  <c:v>30.000006832286932</c:v>
                </c:pt>
                <c:pt idx="1378">
                  <c:v>30.000006832286932</c:v>
                </c:pt>
                <c:pt idx="1380">
                  <c:v>0</c:v>
                </c:pt>
                <c:pt idx="1381">
                  <c:v>10.80282152230971</c:v>
                </c:pt>
                <c:pt idx="1382">
                  <c:v>10.80282152230971</c:v>
                </c:pt>
                <c:pt idx="1383">
                  <c:v>0</c:v>
                </c:pt>
                <c:pt idx="1384">
                  <c:v>0</c:v>
                </c:pt>
                <c:pt idx="1386">
                  <c:v>30.000006832286932</c:v>
                </c:pt>
                <c:pt idx="1387">
                  <c:v>40.802828354596642</c:v>
                </c:pt>
                <c:pt idx="1388">
                  <c:v>40.802828354596642</c:v>
                </c:pt>
                <c:pt idx="1389">
                  <c:v>30.000006832286932</c:v>
                </c:pt>
                <c:pt idx="1390">
                  <c:v>30.000006832286932</c:v>
                </c:pt>
                <c:pt idx="1392">
                  <c:v>0</c:v>
                </c:pt>
                <c:pt idx="1393">
                  <c:v>10.80282152230971</c:v>
                </c:pt>
                <c:pt idx="1394">
                  <c:v>10.80282152230971</c:v>
                </c:pt>
                <c:pt idx="1395">
                  <c:v>0</c:v>
                </c:pt>
                <c:pt idx="1396">
                  <c:v>0</c:v>
                </c:pt>
                <c:pt idx="1398">
                  <c:v>30.000006832286932</c:v>
                </c:pt>
                <c:pt idx="1399">
                  <c:v>40.802828354596642</c:v>
                </c:pt>
                <c:pt idx="1400">
                  <c:v>40.802828354596642</c:v>
                </c:pt>
                <c:pt idx="1401">
                  <c:v>30.000006832286932</c:v>
                </c:pt>
                <c:pt idx="1402">
                  <c:v>30.000006832286932</c:v>
                </c:pt>
                <c:pt idx="1404">
                  <c:v>0</c:v>
                </c:pt>
                <c:pt idx="1405">
                  <c:v>10.80282152230971</c:v>
                </c:pt>
                <c:pt idx="1406">
                  <c:v>10.80282152230971</c:v>
                </c:pt>
                <c:pt idx="1407">
                  <c:v>0</c:v>
                </c:pt>
                <c:pt idx="1408">
                  <c:v>0</c:v>
                </c:pt>
                <c:pt idx="1410">
                  <c:v>30.000006832286932</c:v>
                </c:pt>
                <c:pt idx="1411">
                  <c:v>40.802828354596642</c:v>
                </c:pt>
                <c:pt idx="1412">
                  <c:v>40.802828354596642</c:v>
                </c:pt>
                <c:pt idx="1413">
                  <c:v>30.000006832286932</c:v>
                </c:pt>
                <c:pt idx="1414">
                  <c:v>30.000006832286932</c:v>
                </c:pt>
                <c:pt idx="1416">
                  <c:v>0</c:v>
                </c:pt>
                <c:pt idx="1417">
                  <c:v>10.80282152230971</c:v>
                </c:pt>
                <c:pt idx="1418">
                  <c:v>10.80282152230971</c:v>
                </c:pt>
                <c:pt idx="1419">
                  <c:v>0</c:v>
                </c:pt>
                <c:pt idx="1420">
                  <c:v>0</c:v>
                </c:pt>
                <c:pt idx="1422">
                  <c:v>30.000006832286932</c:v>
                </c:pt>
                <c:pt idx="1423">
                  <c:v>40.802828354596642</c:v>
                </c:pt>
                <c:pt idx="1424">
                  <c:v>40.802828354596642</c:v>
                </c:pt>
                <c:pt idx="1425">
                  <c:v>30.000006832286932</c:v>
                </c:pt>
                <c:pt idx="1426">
                  <c:v>30.000006832286932</c:v>
                </c:pt>
                <c:pt idx="1428">
                  <c:v>0</c:v>
                </c:pt>
                <c:pt idx="1429">
                  <c:v>10.80282152230971</c:v>
                </c:pt>
                <c:pt idx="1430">
                  <c:v>10.80282152230971</c:v>
                </c:pt>
                <c:pt idx="1431">
                  <c:v>0</c:v>
                </c:pt>
                <c:pt idx="1432">
                  <c:v>0</c:v>
                </c:pt>
                <c:pt idx="1434">
                  <c:v>30.000006832286932</c:v>
                </c:pt>
                <c:pt idx="1435">
                  <c:v>40.802828354596642</c:v>
                </c:pt>
                <c:pt idx="1436">
                  <c:v>40.802828354596642</c:v>
                </c:pt>
                <c:pt idx="1437">
                  <c:v>30.000006832286932</c:v>
                </c:pt>
                <c:pt idx="1438">
                  <c:v>30.000006832286932</c:v>
                </c:pt>
                <c:pt idx="1440">
                  <c:v>0</c:v>
                </c:pt>
                <c:pt idx="1441">
                  <c:v>10.80282152230971</c:v>
                </c:pt>
                <c:pt idx="1442">
                  <c:v>10.80282152230971</c:v>
                </c:pt>
                <c:pt idx="1443">
                  <c:v>0</c:v>
                </c:pt>
                <c:pt idx="1444">
                  <c:v>0</c:v>
                </c:pt>
                <c:pt idx="1446">
                  <c:v>30.000006832286932</c:v>
                </c:pt>
                <c:pt idx="1447">
                  <c:v>40.802828354596642</c:v>
                </c:pt>
                <c:pt idx="1448">
                  <c:v>40.802828354596642</c:v>
                </c:pt>
                <c:pt idx="1449">
                  <c:v>30.000006832286932</c:v>
                </c:pt>
                <c:pt idx="1450">
                  <c:v>30.000006832286932</c:v>
                </c:pt>
                <c:pt idx="1452">
                  <c:v>0</c:v>
                </c:pt>
                <c:pt idx="1453">
                  <c:v>10.80282152230971</c:v>
                </c:pt>
                <c:pt idx="1454">
                  <c:v>10.80282152230971</c:v>
                </c:pt>
                <c:pt idx="1455">
                  <c:v>0</c:v>
                </c:pt>
                <c:pt idx="1456">
                  <c:v>0</c:v>
                </c:pt>
                <c:pt idx="1458">
                  <c:v>30.000006832286932</c:v>
                </c:pt>
                <c:pt idx="1459">
                  <c:v>40.802828354596642</c:v>
                </c:pt>
                <c:pt idx="1460">
                  <c:v>40.802828354596642</c:v>
                </c:pt>
                <c:pt idx="1461">
                  <c:v>30.000006832286932</c:v>
                </c:pt>
                <c:pt idx="1462">
                  <c:v>30.000006832286932</c:v>
                </c:pt>
                <c:pt idx="1464">
                  <c:v>0</c:v>
                </c:pt>
                <c:pt idx="1465">
                  <c:v>10.80282152230971</c:v>
                </c:pt>
                <c:pt idx="1466">
                  <c:v>10.80282152230971</c:v>
                </c:pt>
                <c:pt idx="1467">
                  <c:v>0</c:v>
                </c:pt>
                <c:pt idx="1468">
                  <c:v>0</c:v>
                </c:pt>
                <c:pt idx="1470">
                  <c:v>30.000006832286932</c:v>
                </c:pt>
                <c:pt idx="1471">
                  <c:v>40.802828354596642</c:v>
                </c:pt>
                <c:pt idx="1472">
                  <c:v>40.802828354596642</c:v>
                </c:pt>
                <c:pt idx="1473">
                  <c:v>30.000006832286932</c:v>
                </c:pt>
                <c:pt idx="1474">
                  <c:v>30.000006832286932</c:v>
                </c:pt>
                <c:pt idx="1476">
                  <c:v>0</c:v>
                </c:pt>
                <c:pt idx="1477">
                  <c:v>10.80282152230971</c:v>
                </c:pt>
                <c:pt idx="1478">
                  <c:v>10.80282152230971</c:v>
                </c:pt>
                <c:pt idx="1479">
                  <c:v>0</c:v>
                </c:pt>
                <c:pt idx="1480">
                  <c:v>0</c:v>
                </c:pt>
                <c:pt idx="1482">
                  <c:v>30.000006832286932</c:v>
                </c:pt>
                <c:pt idx="1483">
                  <c:v>40.802828354596642</c:v>
                </c:pt>
                <c:pt idx="1484">
                  <c:v>40.802828354596642</c:v>
                </c:pt>
                <c:pt idx="1485">
                  <c:v>30.000006832286932</c:v>
                </c:pt>
                <c:pt idx="1486">
                  <c:v>30.000006832286932</c:v>
                </c:pt>
                <c:pt idx="1488">
                  <c:v>0</c:v>
                </c:pt>
                <c:pt idx="1489">
                  <c:v>10.80282152230971</c:v>
                </c:pt>
                <c:pt idx="1490">
                  <c:v>10.80282152230971</c:v>
                </c:pt>
                <c:pt idx="1491">
                  <c:v>0</c:v>
                </c:pt>
                <c:pt idx="1492">
                  <c:v>0</c:v>
                </c:pt>
                <c:pt idx="1494">
                  <c:v>30.000006832286932</c:v>
                </c:pt>
                <c:pt idx="1495">
                  <c:v>40.802828354596642</c:v>
                </c:pt>
                <c:pt idx="1496">
                  <c:v>40.802828354596642</c:v>
                </c:pt>
                <c:pt idx="1497">
                  <c:v>30.000006832286932</c:v>
                </c:pt>
                <c:pt idx="1498">
                  <c:v>30.000006832286932</c:v>
                </c:pt>
                <c:pt idx="1500">
                  <c:v>0</c:v>
                </c:pt>
                <c:pt idx="1501">
                  <c:v>10.80282152230971</c:v>
                </c:pt>
                <c:pt idx="1502">
                  <c:v>10.80282152230971</c:v>
                </c:pt>
                <c:pt idx="1503">
                  <c:v>0</c:v>
                </c:pt>
                <c:pt idx="1504">
                  <c:v>0</c:v>
                </c:pt>
                <c:pt idx="1506">
                  <c:v>30.000006832286932</c:v>
                </c:pt>
                <c:pt idx="1507">
                  <c:v>40.802828354596642</c:v>
                </c:pt>
                <c:pt idx="1508">
                  <c:v>40.802828354596642</c:v>
                </c:pt>
                <c:pt idx="1509">
                  <c:v>30.000006832286932</c:v>
                </c:pt>
                <c:pt idx="1510">
                  <c:v>30.000006832286932</c:v>
                </c:pt>
                <c:pt idx="1512">
                  <c:v>0</c:v>
                </c:pt>
                <c:pt idx="1513">
                  <c:v>10.80282152230971</c:v>
                </c:pt>
                <c:pt idx="1514">
                  <c:v>10.80282152230971</c:v>
                </c:pt>
                <c:pt idx="1515">
                  <c:v>0</c:v>
                </c:pt>
                <c:pt idx="1516">
                  <c:v>0</c:v>
                </c:pt>
                <c:pt idx="1518">
                  <c:v>30.000006832286932</c:v>
                </c:pt>
                <c:pt idx="1519">
                  <c:v>40.802828354596642</c:v>
                </c:pt>
                <c:pt idx="1520">
                  <c:v>40.802828354596642</c:v>
                </c:pt>
                <c:pt idx="1521">
                  <c:v>30.000006832286932</c:v>
                </c:pt>
                <c:pt idx="1522">
                  <c:v>30.000006832286932</c:v>
                </c:pt>
                <c:pt idx="1524">
                  <c:v>0</c:v>
                </c:pt>
                <c:pt idx="1525">
                  <c:v>10.80282152230971</c:v>
                </c:pt>
                <c:pt idx="1526">
                  <c:v>10.80282152230971</c:v>
                </c:pt>
                <c:pt idx="1527">
                  <c:v>0</c:v>
                </c:pt>
                <c:pt idx="1528">
                  <c:v>0</c:v>
                </c:pt>
                <c:pt idx="1530">
                  <c:v>30.000006832286932</c:v>
                </c:pt>
                <c:pt idx="1531">
                  <c:v>40.802828354596642</c:v>
                </c:pt>
                <c:pt idx="1532">
                  <c:v>40.802828354596642</c:v>
                </c:pt>
                <c:pt idx="1533">
                  <c:v>30.000006832286932</c:v>
                </c:pt>
                <c:pt idx="1534">
                  <c:v>30.000006832286932</c:v>
                </c:pt>
                <c:pt idx="1536">
                  <c:v>0</c:v>
                </c:pt>
                <c:pt idx="1537">
                  <c:v>10.80282152230971</c:v>
                </c:pt>
                <c:pt idx="1538">
                  <c:v>10.80282152230971</c:v>
                </c:pt>
                <c:pt idx="1539">
                  <c:v>0</c:v>
                </c:pt>
                <c:pt idx="1540">
                  <c:v>0</c:v>
                </c:pt>
                <c:pt idx="1542">
                  <c:v>30.000006832286932</c:v>
                </c:pt>
                <c:pt idx="1543">
                  <c:v>40.802828354596642</c:v>
                </c:pt>
                <c:pt idx="1544">
                  <c:v>40.802828354596642</c:v>
                </c:pt>
                <c:pt idx="1545">
                  <c:v>30.000006832286932</c:v>
                </c:pt>
                <c:pt idx="1546">
                  <c:v>30.000006832286932</c:v>
                </c:pt>
                <c:pt idx="1548">
                  <c:v>0</c:v>
                </c:pt>
                <c:pt idx="1549">
                  <c:v>10.80282152230971</c:v>
                </c:pt>
                <c:pt idx="1550">
                  <c:v>10.80282152230971</c:v>
                </c:pt>
                <c:pt idx="1551">
                  <c:v>0</c:v>
                </c:pt>
                <c:pt idx="1552">
                  <c:v>0</c:v>
                </c:pt>
                <c:pt idx="1554">
                  <c:v>30.000006832286932</c:v>
                </c:pt>
                <c:pt idx="1555">
                  <c:v>40.802828354596642</c:v>
                </c:pt>
                <c:pt idx="1556">
                  <c:v>40.802828354596642</c:v>
                </c:pt>
                <c:pt idx="1557">
                  <c:v>30.000006832286932</c:v>
                </c:pt>
                <c:pt idx="1558">
                  <c:v>30.000006832286932</c:v>
                </c:pt>
                <c:pt idx="1560">
                  <c:v>0</c:v>
                </c:pt>
                <c:pt idx="1561">
                  <c:v>10.80282152230971</c:v>
                </c:pt>
                <c:pt idx="1562">
                  <c:v>10.80282152230971</c:v>
                </c:pt>
                <c:pt idx="1563">
                  <c:v>0</c:v>
                </c:pt>
                <c:pt idx="1564">
                  <c:v>0</c:v>
                </c:pt>
                <c:pt idx="1566">
                  <c:v>30.000006832286932</c:v>
                </c:pt>
                <c:pt idx="1567">
                  <c:v>40.802828354596642</c:v>
                </c:pt>
                <c:pt idx="1568">
                  <c:v>40.802828354596642</c:v>
                </c:pt>
                <c:pt idx="1569">
                  <c:v>30.000006832286932</c:v>
                </c:pt>
                <c:pt idx="1570">
                  <c:v>30.000006832286932</c:v>
                </c:pt>
                <c:pt idx="1572">
                  <c:v>0</c:v>
                </c:pt>
                <c:pt idx="1573">
                  <c:v>10.80282152230971</c:v>
                </c:pt>
                <c:pt idx="1574">
                  <c:v>10.80282152230971</c:v>
                </c:pt>
                <c:pt idx="1575">
                  <c:v>0</c:v>
                </c:pt>
                <c:pt idx="1576">
                  <c:v>0</c:v>
                </c:pt>
                <c:pt idx="1578">
                  <c:v>30.000006832286932</c:v>
                </c:pt>
                <c:pt idx="1579">
                  <c:v>40.802828354596642</c:v>
                </c:pt>
                <c:pt idx="1580">
                  <c:v>40.802828354596642</c:v>
                </c:pt>
                <c:pt idx="1581">
                  <c:v>30.000006832286932</c:v>
                </c:pt>
                <c:pt idx="1582">
                  <c:v>30.000006832286932</c:v>
                </c:pt>
                <c:pt idx="1584">
                  <c:v>0</c:v>
                </c:pt>
                <c:pt idx="1585">
                  <c:v>10.80282152230971</c:v>
                </c:pt>
                <c:pt idx="1586">
                  <c:v>10.80282152230971</c:v>
                </c:pt>
                <c:pt idx="1587">
                  <c:v>0</c:v>
                </c:pt>
                <c:pt idx="1588">
                  <c:v>0</c:v>
                </c:pt>
                <c:pt idx="1590">
                  <c:v>30.000006832286932</c:v>
                </c:pt>
                <c:pt idx="1591">
                  <c:v>40.802828354596642</c:v>
                </c:pt>
                <c:pt idx="1592">
                  <c:v>40.802828354596642</c:v>
                </c:pt>
                <c:pt idx="1593">
                  <c:v>30.000006832286932</c:v>
                </c:pt>
                <c:pt idx="1594">
                  <c:v>30.000006832286932</c:v>
                </c:pt>
                <c:pt idx="1596">
                  <c:v>0</c:v>
                </c:pt>
                <c:pt idx="1597">
                  <c:v>10.80282152230971</c:v>
                </c:pt>
                <c:pt idx="1598">
                  <c:v>10.80282152230971</c:v>
                </c:pt>
                <c:pt idx="1599">
                  <c:v>0</c:v>
                </c:pt>
                <c:pt idx="1600">
                  <c:v>0</c:v>
                </c:pt>
                <c:pt idx="1602">
                  <c:v>30.000006832286932</c:v>
                </c:pt>
                <c:pt idx="1603">
                  <c:v>40.802828354596642</c:v>
                </c:pt>
                <c:pt idx="1604">
                  <c:v>40.802828354596642</c:v>
                </c:pt>
                <c:pt idx="1605">
                  <c:v>30.000006832286932</c:v>
                </c:pt>
                <c:pt idx="1606">
                  <c:v>30.000006832286932</c:v>
                </c:pt>
                <c:pt idx="1608">
                  <c:v>0</c:v>
                </c:pt>
                <c:pt idx="1609">
                  <c:v>10.80282152230971</c:v>
                </c:pt>
                <c:pt idx="1610">
                  <c:v>10.80282152230971</c:v>
                </c:pt>
                <c:pt idx="1611">
                  <c:v>0</c:v>
                </c:pt>
                <c:pt idx="1612">
                  <c:v>0</c:v>
                </c:pt>
                <c:pt idx="1614">
                  <c:v>30.000006832286932</c:v>
                </c:pt>
                <c:pt idx="1615">
                  <c:v>40.802828354596642</c:v>
                </c:pt>
                <c:pt idx="1616">
                  <c:v>40.802828354596642</c:v>
                </c:pt>
                <c:pt idx="1617">
                  <c:v>30.000006832286932</c:v>
                </c:pt>
                <c:pt idx="1618">
                  <c:v>30.000006832286932</c:v>
                </c:pt>
                <c:pt idx="1620">
                  <c:v>0</c:v>
                </c:pt>
                <c:pt idx="1621">
                  <c:v>10.80282152230971</c:v>
                </c:pt>
                <c:pt idx="1622">
                  <c:v>10.80282152230971</c:v>
                </c:pt>
                <c:pt idx="1623">
                  <c:v>0</c:v>
                </c:pt>
                <c:pt idx="1624">
                  <c:v>0</c:v>
                </c:pt>
                <c:pt idx="1626">
                  <c:v>30.000006832286932</c:v>
                </c:pt>
                <c:pt idx="1627">
                  <c:v>40.802828354596642</c:v>
                </c:pt>
                <c:pt idx="1628">
                  <c:v>40.802828354596642</c:v>
                </c:pt>
                <c:pt idx="1629">
                  <c:v>30.000006832286932</c:v>
                </c:pt>
                <c:pt idx="1630">
                  <c:v>30.000006832286932</c:v>
                </c:pt>
                <c:pt idx="1632">
                  <c:v>0</c:v>
                </c:pt>
                <c:pt idx="1633">
                  <c:v>10.80282152230971</c:v>
                </c:pt>
                <c:pt idx="1634">
                  <c:v>10.80282152230971</c:v>
                </c:pt>
                <c:pt idx="1635">
                  <c:v>0</c:v>
                </c:pt>
                <c:pt idx="1636">
                  <c:v>0</c:v>
                </c:pt>
                <c:pt idx="1638">
                  <c:v>30.000006832286932</c:v>
                </c:pt>
                <c:pt idx="1639">
                  <c:v>40.802828354596642</c:v>
                </c:pt>
                <c:pt idx="1640">
                  <c:v>40.802828354596642</c:v>
                </c:pt>
                <c:pt idx="1641">
                  <c:v>30.000006832286932</c:v>
                </c:pt>
                <c:pt idx="1642">
                  <c:v>30.000006832286932</c:v>
                </c:pt>
                <c:pt idx="1644">
                  <c:v>0</c:v>
                </c:pt>
                <c:pt idx="1645">
                  <c:v>10.80282152230971</c:v>
                </c:pt>
                <c:pt idx="1646">
                  <c:v>10.80282152230971</c:v>
                </c:pt>
                <c:pt idx="1647">
                  <c:v>0</c:v>
                </c:pt>
                <c:pt idx="1648">
                  <c:v>0</c:v>
                </c:pt>
                <c:pt idx="1650">
                  <c:v>30.000006832286932</c:v>
                </c:pt>
                <c:pt idx="1651">
                  <c:v>40.802828354596642</c:v>
                </c:pt>
                <c:pt idx="1652">
                  <c:v>40.802828354596642</c:v>
                </c:pt>
                <c:pt idx="1653">
                  <c:v>30.000006832286932</c:v>
                </c:pt>
                <c:pt idx="1654">
                  <c:v>30.000006832286932</c:v>
                </c:pt>
                <c:pt idx="1656">
                  <c:v>0</c:v>
                </c:pt>
                <c:pt idx="1657">
                  <c:v>10.80282152230971</c:v>
                </c:pt>
                <c:pt idx="1658">
                  <c:v>10.80282152230971</c:v>
                </c:pt>
                <c:pt idx="1659">
                  <c:v>0</c:v>
                </c:pt>
                <c:pt idx="1660">
                  <c:v>0</c:v>
                </c:pt>
                <c:pt idx="1662">
                  <c:v>30.000006832286932</c:v>
                </c:pt>
                <c:pt idx="1663">
                  <c:v>40.802828354596642</c:v>
                </c:pt>
                <c:pt idx="1664">
                  <c:v>40.802828354596642</c:v>
                </c:pt>
                <c:pt idx="1665">
                  <c:v>30.000006832286932</c:v>
                </c:pt>
                <c:pt idx="1666">
                  <c:v>30.000006832286932</c:v>
                </c:pt>
                <c:pt idx="1668">
                  <c:v>0</c:v>
                </c:pt>
                <c:pt idx="1669">
                  <c:v>10.80282152230971</c:v>
                </c:pt>
                <c:pt idx="1670">
                  <c:v>10.80282152230971</c:v>
                </c:pt>
                <c:pt idx="1671">
                  <c:v>0</c:v>
                </c:pt>
                <c:pt idx="1672">
                  <c:v>0</c:v>
                </c:pt>
                <c:pt idx="1674">
                  <c:v>30.000006832286932</c:v>
                </c:pt>
                <c:pt idx="1675">
                  <c:v>40.802828354596642</c:v>
                </c:pt>
                <c:pt idx="1676">
                  <c:v>40.802828354596642</c:v>
                </c:pt>
                <c:pt idx="1677">
                  <c:v>30.000006832286932</c:v>
                </c:pt>
                <c:pt idx="1678">
                  <c:v>30.000006832286932</c:v>
                </c:pt>
                <c:pt idx="1680">
                  <c:v>0</c:v>
                </c:pt>
                <c:pt idx="1681">
                  <c:v>10.80282152230971</c:v>
                </c:pt>
                <c:pt idx="1682">
                  <c:v>10.80282152230971</c:v>
                </c:pt>
                <c:pt idx="1683">
                  <c:v>0</c:v>
                </c:pt>
                <c:pt idx="1684">
                  <c:v>0</c:v>
                </c:pt>
                <c:pt idx="1686">
                  <c:v>30.000006832286932</c:v>
                </c:pt>
                <c:pt idx="1687">
                  <c:v>40.802828354596642</c:v>
                </c:pt>
                <c:pt idx="1688">
                  <c:v>40.802828354596642</c:v>
                </c:pt>
                <c:pt idx="1689">
                  <c:v>30.000006832286932</c:v>
                </c:pt>
                <c:pt idx="1690">
                  <c:v>30.000006832286932</c:v>
                </c:pt>
                <c:pt idx="1692">
                  <c:v>0</c:v>
                </c:pt>
                <c:pt idx="1693">
                  <c:v>10.80282152230971</c:v>
                </c:pt>
                <c:pt idx="1694">
                  <c:v>10.80282152230971</c:v>
                </c:pt>
                <c:pt idx="1695">
                  <c:v>0</c:v>
                </c:pt>
                <c:pt idx="1696">
                  <c:v>0</c:v>
                </c:pt>
                <c:pt idx="1698">
                  <c:v>30.000006832286932</c:v>
                </c:pt>
                <c:pt idx="1699">
                  <c:v>40.802828354596642</c:v>
                </c:pt>
                <c:pt idx="1700">
                  <c:v>40.802828354596642</c:v>
                </c:pt>
                <c:pt idx="1701">
                  <c:v>30.000006832286932</c:v>
                </c:pt>
                <c:pt idx="1702">
                  <c:v>30.000006832286932</c:v>
                </c:pt>
                <c:pt idx="1704">
                  <c:v>0</c:v>
                </c:pt>
                <c:pt idx="1705">
                  <c:v>10.80282152230971</c:v>
                </c:pt>
                <c:pt idx="1706">
                  <c:v>10.80282152230971</c:v>
                </c:pt>
                <c:pt idx="1707">
                  <c:v>0</c:v>
                </c:pt>
                <c:pt idx="1708">
                  <c:v>0</c:v>
                </c:pt>
                <c:pt idx="1710">
                  <c:v>30.000006832286932</c:v>
                </c:pt>
                <c:pt idx="1711">
                  <c:v>40.802828354596642</c:v>
                </c:pt>
                <c:pt idx="1712">
                  <c:v>40.802828354596642</c:v>
                </c:pt>
                <c:pt idx="1713">
                  <c:v>30.000006832286932</c:v>
                </c:pt>
                <c:pt idx="1714">
                  <c:v>30.000006832286932</c:v>
                </c:pt>
                <c:pt idx="1716">
                  <c:v>0</c:v>
                </c:pt>
                <c:pt idx="1717">
                  <c:v>10.80282152230971</c:v>
                </c:pt>
                <c:pt idx="1718">
                  <c:v>10.80282152230971</c:v>
                </c:pt>
                <c:pt idx="1719">
                  <c:v>0</c:v>
                </c:pt>
                <c:pt idx="1720">
                  <c:v>0</c:v>
                </c:pt>
                <c:pt idx="1722">
                  <c:v>30.000006832286932</c:v>
                </c:pt>
                <c:pt idx="1723">
                  <c:v>40.802828354596642</c:v>
                </c:pt>
                <c:pt idx="1724">
                  <c:v>40.802828354596642</c:v>
                </c:pt>
                <c:pt idx="1725">
                  <c:v>30.000006832286932</c:v>
                </c:pt>
                <c:pt idx="1726">
                  <c:v>30.000006832286932</c:v>
                </c:pt>
                <c:pt idx="1728">
                  <c:v>0</c:v>
                </c:pt>
                <c:pt idx="1729">
                  <c:v>10.80282152230971</c:v>
                </c:pt>
                <c:pt idx="1730">
                  <c:v>10.80282152230971</c:v>
                </c:pt>
                <c:pt idx="1731">
                  <c:v>0</c:v>
                </c:pt>
                <c:pt idx="1732">
                  <c:v>0</c:v>
                </c:pt>
                <c:pt idx="1734">
                  <c:v>30.000006832286932</c:v>
                </c:pt>
                <c:pt idx="1735">
                  <c:v>40.802828354596642</c:v>
                </c:pt>
                <c:pt idx="1736">
                  <c:v>40.802828354596642</c:v>
                </c:pt>
                <c:pt idx="1737">
                  <c:v>30.000006832286932</c:v>
                </c:pt>
                <c:pt idx="1738">
                  <c:v>30.000006832286932</c:v>
                </c:pt>
                <c:pt idx="1740">
                  <c:v>0</c:v>
                </c:pt>
                <c:pt idx="1741">
                  <c:v>10.80282152230971</c:v>
                </c:pt>
                <c:pt idx="1742">
                  <c:v>10.80282152230971</c:v>
                </c:pt>
                <c:pt idx="1743">
                  <c:v>0</c:v>
                </c:pt>
                <c:pt idx="1744">
                  <c:v>0</c:v>
                </c:pt>
                <c:pt idx="1746">
                  <c:v>30.000006832286932</c:v>
                </c:pt>
                <c:pt idx="1747">
                  <c:v>40.802828354596642</c:v>
                </c:pt>
                <c:pt idx="1748">
                  <c:v>40.802828354596642</c:v>
                </c:pt>
                <c:pt idx="1749">
                  <c:v>30.000006832286932</c:v>
                </c:pt>
                <c:pt idx="1750">
                  <c:v>30.000006832286932</c:v>
                </c:pt>
                <c:pt idx="1752">
                  <c:v>0</c:v>
                </c:pt>
                <c:pt idx="1753">
                  <c:v>10.80282152230971</c:v>
                </c:pt>
                <c:pt idx="1754">
                  <c:v>10.80282152230971</c:v>
                </c:pt>
                <c:pt idx="1755">
                  <c:v>0</c:v>
                </c:pt>
                <c:pt idx="1756">
                  <c:v>0</c:v>
                </c:pt>
                <c:pt idx="1758">
                  <c:v>30.000006832286932</c:v>
                </c:pt>
                <c:pt idx="1759">
                  <c:v>40.802828354596642</c:v>
                </c:pt>
                <c:pt idx="1760">
                  <c:v>40.802828354596642</c:v>
                </c:pt>
                <c:pt idx="1761">
                  <c:v>30.000006832286932</c:v>
                </c:pt>
                <c:pt idx="1762">
                  <c:v>30.000006832286932</c:v>
                </c:pt>
                <c:pt idx="1764">
                  <c:v>0</c:v>
                </c:pt>
                <c:pt idx="1765">
                  <c:v>10.80282152230971</c:v>
                </c:pt>
                <c:pt idx="1766">
                  <c:v>10.80282152230971</c:v>
                </c:pt>
                <c:pt idx="1767">
                  <c:v>0</c:v>
                </c:pt>
                <c:pt idx="1768">
                  <c:v>0</c:v>
                </c:pt>
                <c:pt idx="1770">
                  <c:v>30.000006832286932</c:v>
                </c:pt>
                <c:pt idx="1771">
                  <c:v>40.802828354596642</c:v>
                </c:pt>
                <c:pt idx="1772">
                  <c:v>40.802828354596642</c:v>
                </c:pt>
                <c:pt idx="1773">
                  <c:v>30.000006832286932</c:v>
                </c:pt>
                <c:pt idx="1774">
                  <c:v>30.000006832286932</c:v>
                </c:pt>
                <c:pt idx="1776">
                  <c:v>0</c:v>
                </c:pt>
                <c:pt idx="1777">
                  <c:v>10.80282152230971</c:v>
                </c:pt>
                <c:pt idx="1778">
                  <c:v>10.80282152230971</c:v>
                </c:pt>
                <c:pt idx="1779">
                  <c:v>0</c:v>
                </c:pt>
                <c:pt idx="1780">
                  <c:v>0</c:v>
                </c:pt>
                <c:pt idx="1782">
                  <c:v>30.000006832286932</c:v>
                </c:pt>
                <c:pt idx="1783">
                  <c:v>40.802828354596642</c:v>
                </c:pt>
                <c:pt idx="1784">
                  <c:v>40.802828354596642</c:v>
                </c:pt>
                <c:pt idx="1785">
                  <c:v>30.000006832286932</c:v>
                </c:pt>
                <c:pt idx="1786">
                  <c:v>30.000006832286932</c:v>
                </c:pt>
                <c:pt idx="1788">
                  <c:v>0</c:v>
                </c:pt>
                <c:pt idx="1789">
                  <c:v>10.80282152230971</c:v>
                </c:pt>
                <c:pt idx="1790">
                  <c:v>10.80282152230971</c:v>
                </c:pt>
                <c:pt idx="1791">
                  <c:v>0</c:v>
                </c:pt>
                <c:pt idx="1792">
                  <c:v>0</c:v>
                </c:pt>
                <c:pt idx="1794">
                  <c:v>30.000006832286932</c:v>
                </c:pt>
                <c:pt idx="1795">
                  <c:v>40.802828354596642</c:v>
                </c:pt>
                <c:pt idx="1796">
                  <c:v>40.802828354596642</c:v>
                </c:pt>
                <c:pt idx="1797">
                  <c:v>30.000006832286932</c:v>
                </c:pt>
                <c:pt idx="1798">
                  <c:v>30.000006832286932</c:v>
                </c:pt>
                <c:pt idx="1800">
                  <c:v>0</c:v>
                </c:pt>
                <c:pt idx="1801">
                  <c:v>10.80282152230971</c:v>
                </c:pt>
                <c:pt idx="1802">
                  <c:v>10.80282152230971</c:v>
                </c:pt>
                <c:pt idx="1803">
                  <c:v>0</c:v>
                </c:pt>
                <c:pt idx="1804">
                  <c:v>0</c:v>
                </c:pt>
                <c:pt idx="1806">
                  <c:v>30.000006832286932</c:v>
                </c:pt>
                <c:pt idx="1807">
                  <c:v>40.802828354596642</c:v>
                </c:pt>
                <c:pt idx="1808">
                  <c:v>40.802828354596642</c:v>
                </c:pt>
                <c:pt idx="1809">
                  <c:v>30.000006832286932</c:v>
                </c:pt>
                <c:pt idx="1810">
                  <c:v>30.000006832286932</c:v>
                </c:pt>
                <c:pt idx="1812">
                  <c:v>0</c:v>
                </c:pt>
                <c:pt idx="1813">
                  <c:v>10.80282152230971</c:v>
                </c:pt>
                <c:pt idx="1814">
                  <c:v>10.80282152230971</c:v>
                </c:pt>
                <c:pt idx="1815">
                  <c:v>0</c:v>
                </c:pt>
                <c:pt idx="1816">
                  <c:v>0</c:v>
                </c:pt>
                <c:pt idx="1818">
                  <c:v>30.000006832286932</c:v>
                </c:pt>
                <c:pt idx="1819">
                  <c:v>40.802828354596642</c:v>
                </c:pt>
                <c:pt idx="1820">
                  <c:v>40.802828354596642</c:v>
                </c:pt>
                <c:pt idx="1821">
                  <c:v>30.000006832286932</c:v>
                </c:pt>
                <c:pt idx="1822">
                  <c:v>30.000006832286932</c:v>
                </c:pt>
                <c:pt idx="1824">
                  <c:v>0</c:v>
                </c:pt>
                <c:pt idx="1825">
                  <c:v>10.80282152230971</c:v>
                </c:pt>
                <c:pt idx="1826">
                  <c:v>10.80282152230971</c:v>
                </c:pt>
                <c:pt idx="1827">
                  <c:v>0</c:v>
                </c:pt>
                <c:pt idx="1828">
                  <c:v>0</c:v>
                </c:pt>
                <c:pt idx="1830">
                  <c:v>30.000006832286932</c:v>
                </c:pt>
                <c:pt idx="1831">
                  <c:v>40.802828354596642</c:v>
                </c:pt>
                <c:pt idx="1832">
                  <c:v>40.802828354596642</c:v>
                </c:pt>
                <c:pt idx="1833">
                  <c:v>30.000006832286932</c:v>
                </c:pt>
                <c:pt idx="1834">
                  <c:v>30.000006832286932</c:v>
                </c:pt>
                <c:pt idx="1836">
                  <c:v>0</c:v>
                </c:pt>
                <c:pt idx="1837">
                  <c:v>10.80282152230971</c:v>
                </c:pt>
                <c:pt idx="1838">
                  <c:v>10.80282152230971</c:v>
                </c:pt>
                <c:pt idx="1839">
                  <c:v>0</c:v>
                </c:pt>
                <c:pt idx="1840">
                  <c:v>0</c:v>
                </c:pt>
                <c:pt idx="1842">
                  <c:v>30.000006832286932</c:v>
                </c:pt>
                <c:pt idx="1843">
                  <c:v>40.802828354596642</c:v>
                </c:pt>
                <c:pt idx="1844">
                  <c:v>40.802828354596642</c:v>
                </c:pt>
                <c:pt idx="1845">
                  <c:v>30.000006832286932</c:v>
                </c:pt>
                <c:pt idx="1846">
                  <c:v>30.000006832286932</c:v>
                </c:pt>
                <c:pt idx="1848">
                  <c:v>0</c:v>
                </c:pt>
                <c:pt idx="1849">
                  <c:v>10.80282152230971</c:v>
                </c:pt>
                <c:pt idx="1850">
                  <c:v>10.80282152230971</c:v>
                </c:pt>
                <c:pt idx="1851">
                  <c:v>0</c:v>
                </c:pt>
                <c:pt idx="1852">
                  <c:v>0</c:v>
                </c:pt>
                <c:pt idx="1854">
                  <c:v>30.000006832286932</c:v>
                </c:pt>
                <c:pt idx="1855">
                  <c:v>40.802828354596642</c:v>
                </c:pt>
                <c:pt idx="1856">
                  <c:v>40.802828354596642</c:v>
                </c:pt>
                <c:pt idx="1857">
                  <c:v>30.000006832286932</c:v>
                </c:pt>
                <c:pt idx="1858">
                  <c:v>30.000006832286932</c:v>
                </c:pt>
                <c:pt idx="1860">
                  <c:v>0</c:v>
                </c:pt>
                <c:pt idx="1861">
                  <c:v>10.80282152230971</c:v>
                </c:pt>
                <c:pt idx="1862">
                  <c:v>10.80282152230971</c:v>
                </c:pt>
                <c:pt idx="1863">
                  <c:v>0</c:v>
                </c:pt>
                <c:pt idx="1864">
                  <c:v>0</c:v>
                </c:pt>
                <c:pt idx="1866">
                  <c:v>30.000006832286932</c:v>
                </c:pt>
                <c:pt idx="1867">
                  <c:v>40.802828354596642</c:v>
                </c:pt>
                <c:pt idx="1868">
                  <c:v>40.802828354596642</c:v>
                </c:pt>
                <c:pt idx="1869">
                  <c:v>30.000006832286932</c:v>
                </c:pt>
                <c:pt idx="1870">
                  <c:v>30.000006832286932</c:v>
                </c:pt>
                <c:pt idx="1872">
                  <c:v>0</c:v>
                </c:pt>
                <c:pt idx="1873">
                  <c:v>10.80282152230971</c:v>
                </c:pt>
                <c:pt idx="1874">
                  <c:v>10.80282152230971</c:v>
                </c:pt>
                <c:pt idx="1875">
                  <c:v>0</c:v>
                </c:pt>
                <c:pt idx="1876">
                  <c:v>0</c:v>
                </c:pt>
                <c:pt idx="1878">
                  <c:v>30.000006832286932</c:v>
                </c:pt>
                <c:pt idx="1879">
                  <c:v>40.802828354596642</c:v>
                </c:pt>
                <c:pt idx="1880">
                  <c:v>40.802828354596642</c:v>
                </c:pt>
                <c:pt idx="1881">
                  <c:v>30.000006832286932</c:v>
                </c:pt>
                <c:pt idx="1882">
                  <c:v>30.000006832286932</c:v>
                </c:pt>
                <c:pt idx="1884">
                  <c:v>0</c:v>
                </c:pt>
                <c:pt idx="1885">
                  <c:v>10.80282152230971</c:v>
                </c:pt>
                <c:pt idx="1886">
                  <c:v>10.80282152230971</c:v>
                </c:pt>
                <c:pt idx="1887">
                  <c:v>0</c:v>
                </c:pt>
                <c:pt idx="1888">
                  <c:v>0</c:v>
                </c:pt>
                <c:pt idx="1890">
                  <c:v>30.000006832286932</c:v>
                </c:pt>
                <c:pt idx="1891">
                  <c:v>40.802828354596642</c:v>
                </c:pt>
                <c:pt idx="1892">
                  <c:v>40.802828354596642</c:v>
                </c:pt>
                <c:pt idx="1893">
                  <c:v>30.000006832286932</c:v>
                </c:pt>
                <c:pt idx="1894">
                  <c:v>30.000006832286932</c:v>
                </c:pt>
                <c:pt idx="1896">
                  <c:v>0</c:v>
                </c:pt>
                <c:pt idx="1897">
                  <c:v>10.80282152230971</c:v>
                </c:pt>
                <c:pt idx="1898">
                  <c:v>10.80282152230971</c:v>
                </c:pt>
                <c:pt idx="1899">
                  <c:v>0</c:v>
                </c:pt>
                <c:pt idx="1900">
                  <c:v>0</c:v>
                </c:pt>
                <c:pt idx="1902">
                  <c:v>30.000006832286932</c:v>
                </c:pt>
                <c:pt idx="1903">
                  <c:v>40.802828354596642</c:v>
                </c:pt>
                <c:pt idx="1904">
                  <c:v>40.802828354596642</c:v>
                </c:pt>
                <c:pt idx="1905">
                  <c:v>30.000006832286932</c:v>
                </c:pt>
                <c:pt idx="1906">
                  <c:v>30.000006832286932</c:v>
                </c:pt>
                <c:pt idx="1908">
                  <c:v>0</c:v>
                </c:pt>
                <c:pt idx="1909">
                  <c:v>10.80282152230971</c:v>
                </c:pt>
                <c:pt idx="1910">
                  <c:v>10.80282152230971</c:v>
                </c:pt>
                <c:pt idx="1911">
                  <c:v>0</c:v>
                </c:pt>
                <c:pt idx="1912">
                  <c:v>0</c:v>
                </c:pt>
                <c:pt idx="1914">
                  <c:v>30.000006832286932</c:v>
                </c:pt>
                <c:pt idx="1915">
                  <c:v>40.802828354596642</c:v>
                </c:pt>
                <c:pt idx="1916">
                  <c:v>40.802828354596642</c:v>
                </c:pt>
                <c:pt idx="1917">
                  <c:v>30.000006832286932</c:v>
                </c:pt>
                <c:pt idx="1918">
                  <c:v>30.000006832286932</c:v>
                </c:pt>
                <c:pt idx="1920">
                  <c:v>0</c:v>
                </c:pt>
                <c:pt idx="1921">
                  <c:v>10.80282152230971</c:v>
                </c:pt>
                <c:pt idx="1922">
                  <c:v>10.80282152230971</c:v>
                </c:pt>
                <c:pt idx="1923">
                  <c:v>0</c:v>
                </c:pt>
                <c:pt idx="1924">
                  <c:v>0</c:v>
                </c:pt>
                <c:pt idx="1926">
                  <c:v>30.000006832286932</c:v>
                </c:pt>
                <c:pt idx="1927">
                  <c:v>40.802828354596642</c:v>
                </c:pt>
                <c:pt idx="1928">
                  <c:v>40.802828354596642</c:v>
                </c:pt>
                <c:pt idx="1929">
                  <c:v>30.000006832286932</c:v>
                </c:pt>
                <c:pt idx="1930">
                  <c:v>30.000006832286932</c:v>
                </c:pt>
                <c:pt idx="1932">
                  <c:v>0</c:v>
                </c:pt>
                <c:pt idx="1933">
                  <c:v>10.80282152230971</c:v>
                </c:pt>
                <c:pt idx="1934">
                  <c:v>10.80282152230971</c:v>
                </c:pt>
                <c:pt idx="1935">
                  <c:v>0</c:v>
                </c:pt>
                <c:pt idx="1936">
                  <c:v>0</c:v>
                </c:pt>
                <c:pt idx="1938">
                  <c:v>30.000006832286932</c:v>
                </c:pt>
                <c:pt idx="1939">
                  <c:v>40.802828354596642</c:v>
                </c:pt>
                <c:pt idx="1940">
                  <c:v>40.802828354596642</c:v>
                </c:pt>
                <c:pt idx="1941">
                  <c:v>30.000006832286932</c:v>
                </c:pt>
                <c:pt idx="1942">
                  <c:v>30.000006832286932</c:v>
                </c:pt>
                <c:pt idx="1944">
                  <c:v>0</c:v>
                </c:pt>
                <c:pt idx="1945">
                  <c:v>10.80282152230971</c:v>
                </c:pt>
                <c:pt idx="1946">
                  <c:v>10.80282152230971</c:v>
                </c:pt>
                <c:pt idx="1947">
                  <c:v>0</c:v>
                </c:pt>
                <c:pt idx="1948">
                  <c:v>0</c:v>
                </c:pt>
                <c:pt idx="1950">
                  <c:v>30.000006832286932</c:v>
                </c:pt>
                <c:pt idx="1951">
                  <c:v>40.802828354596642</c:v>
                </c:pt>
                <c:pt idx="1952">
                  <c:v>40.802828354596642</c:v>
                </c:pt>
                <c:pt idx="1953">
                  <c:v>30.000006832286932</c:v>
                </c:pt>
                <c:pt idx="1954">
                  <c:v>30.000006832286932</c:v>
                </c:pt>
                <c:pt idx="1956">
                  <c:v>0</c:v>
                </c:pt>
                <c:pt idx="1957">
                  <c:v>10.80282152230971</c:v>
                </c:pt>
                <c:pt idx="1958">
                  <c:v>10.80282152230971</c:v>
                </c:pt>
                <c:pt idx="1959">
                  <c:v>0</c:v>
                </c:pt>
                <c:pt idx="1960">
                  <c:v>0</c:v>
                </c:pt>
                <c:pt idx="1962">
                  <c:v>30.000006832286932</c:v>
                </c:pt>
                <c:pt idx="1963">
                  <c:v>40.802828354596642</c:v>
                </c:pt>
                <c:pt idx="1964">
                  <c:v>40.802828354596642</c:v>
                </c:pt>
                <c:pt idx="1965">
                  <c:v>30.000006832286932</c:v>
                </c:pt>
                <c:pt idx="1966">
                  <c:v>30.000006832286932</c:v>
                </c:pt>
                <c:pt idx="1968">
                  <c:v>0</c:v>
                </c:pt>
                <c:pt idx="1969">
                  <c:v>10.80282152230971</c:v>
                </c:pt>
                <c:pt idx="1970">
                  <c:v>10.80282152230971</c:v>
                </c:pt>
                <c:pt idx="1971">
                  <c:v>0</c:v>
                </c:pt>
                <c:pt idx="1972">
                  <c:v>0</c:v>
                </c:pt>
                <c:pt idx="1974">
                  <c:v>30.000006832286932</c:v>
                </c:pt>
                <c:pt idx="1975">
                  <c:v>40.802828354596642</c:v>
                </c:pt>
                <c:pt idx="1976">
                  <c:v>40.802828354596642</c:v>
                </c:pt>
                <c:pt idx="1977">
                  <c:v>30.000006832286932</c:v>
                </c:pt>
                <c:pt idx="1978">
                  <c:v>30.000006832286932</c:v>
                </c:pt>
                <c:pt idx="1980">
                  <c:v>0</c:v>
                </c:pt>
                <c:pt idx="1981">
                  <c:v>10.80282152230971</c:v>
                </c:pt>
                <c:pt idx="1982">
                  <c:v>10.80282152230971</c:v>
                </c:pt>
                <c:pt idx="1983">
                  <c:v>0</c:v>
                </c:pt>
                <c:pt idx="1984">
                  <c:v>0</c:v>
                </c:pt>
                <c:pt idx="1986">
                  <c:v>30.000006832286932</c:v>
                </c:pt>
                <c:pt idx="1987">
                  <c:v>40.802828354596642</c:v>
                </c:pt>
                <c:pt idx="1988">
                  <c:v>40.802828354596642</c:v>
                </c:pt>
                <c:pt idx="1989">
                  <c:v>30.000006832286932</c:v>
                </c:pt>
                <c:pt idx="1990">
                  <c:v>30.000006832286932</c:v>
                </c:pt>
                <c:pt idx="1992">
                  <c:v>0</c:v>
                </c:pt>
                <c:pt idx="1993">
                  <c:v>10.80282152230971</c:v>
                </c:pt>
                <c:pt idx="1994">
                  <c:v>10.80282152230971</c:v>
                </c:pt>
                <c:pt idx="1995">
                  <c:v>0</c:v>
                </c:pt>
                <c:pt idx="1996">
                  <c:v>0</c:v>
                </c:pt>
                <c:pt idx="1998">
                  <c:v>30.000006832286932</c:v>
                </c:pt>
                <c:pt idx="1999">
                  <c:v>40.802828354596642</c:v>
                </c:pt>
                <c:pt idx="2000">
                  <c:v>40.802828354596642</c:v>
                </c:pt>
                <c:pt idx="2001">
                  <c:v>30.000006832286932</c:v>
                </c:pt>
                <c:pt idx="2002">
                  <c:v>30.000006832286932</c:v>
                </c:pt>
                <c:pt idx="2004">
                  <c:v>0</c:v>
                </c:pt>
                <c:pt idx="2005">
                  <c:v>10.80282152230971</c:v>
                </c:pt>
                <c:pt idx="2006">
                  <c:v>10.80282152230971</c:v>
                </c:pt>
                <c:pt idx="2007">
                  <c:v>0</c:v>
                </c:pt>
                <c:pt idx="2008">
                  <c:v>0</c:v>
                </c:pt>
                <c:pt idx="2010">
                  <c:v>30.000006832286932</c:v>
                </c:pt>
                <c:pt idx="2011">
                  <c:v>40.802828354596642</c:v>
                </c:pt>
                <c:pt idx="2012">
                  <c:v>40.802828354596642</c:v>
                </c:pt>
                <c:pt idx="2013">
                  <c:v>30.000006832286932</c:v>
                </c:pt>
                <c:pt idx="2014">
                  <c:v>30.000006832286932</c:v>
                </c:pt>
                <c:pt idx="2016">
                  <c:v>0</c:v>
                </c:pt>
                <c:pt idx="2017">
                  <c:v>10.80282152230971</c:v>
                </c:pt>
                <c:pt idx="2018">
                  <c:v>10.80282152230971</c:v>
                </c:pt>
                <c:pt idx="2019">
                  <c:v>0</c:v>
                </c:pt>
                <c:pt idx="2020">
                  <c:v>0</c:v>
                </c:pt>
                <c:pt idx="2022">
                  <c:v>30.000006832286932</c:v>
                </c:pt>
                <c:pt idx="2023">
                  <c:v>40.802828354596642</c:v>
                </c:pt>
                <c:pt idx="2024">
                  <c:v>40.802828354596642</c:v>
                </c:pt>
                <c:pt idx="2025">
                  <c:v>30.000006832286932</c:v>
                </c:pt>
                <c:pt idx="2026">
                  <c:v>30.000006832286932</c:v>
                </c:pt>
                <c:pt idx="2028">
                  <c:v>0</c:v>
                </c:pt>
                <c:pt idx="2029">
                  <c:v>10.80282152230971</c:v>
                </c:pt>
                <c:pt idx="2030">
                  <c:v>10.80282152230971</c:v>
                </c:pt>
                <c:pt idx="2031">
                  <c:v>0</c:v>
                </c:pt>
                <c:pt idx="2032">
                  <c:v>0</c:v>
                </c:pt>
                <c:pt idx="2034">
                  <c:v>30.000006832286932</c:v>
                </c:pt>
                <c:pt idx="2035">
                  <c:v>40.802828354596642</c:v>
                </c:pt>
                <c:pt idx="2036">
                  <c:v>40.802828354596642</c:v>
                </c:pt>
                <c:pt idx="2037">
                  <c:v>30.000006832286932</c:v>
                </c:pt>
                <c:pt idx="2038">
                  <c:v>30.000006832286932</c:v>
                </c:pt>
                <c:pt idx="2040">
                  <c:v>0</c:v>
                </c:pt>
                <c:pt idx="2041">
                  <c:v>10.80282152230971</c:v>
                </c:pt>
                <c:pt idx="2042">
                  <c:v>10.80282152230971</c:v>
                </c:pt>
                <c:pt idx="2043">
                  <c:v>0</c:v>
                </c:pt>
                <c:pt idx="2044">
                  <c:v>0</c:v>
                </c:pt>
                <c:pt idx="2046">
                  <c:v>30.000006832286932</c:v>
                </c:pt>
                <c:pt idx="2047">
                  <c:v>40.802828354596642</c:v>
                </c:pt>
                <c:pt idx="2048">
                  <c:v>40.802828354596642</c:v>
                </c:pt>
                <c:pt idx="2049">
                  <c:v>30.000006832286932</c:v>
                </c:pt>
                <c:pt idx="2050">
                  <c:v>30.000006832286932</c:v>
                </c:pt>
                <c:pt idx="2052">
                  <c:v>0</c:v>
                </c:pt>
                <c:pt idx="2053">
                  <c:v>10.80282152230971</c:v>
                </c:pt>
                <c:pt idx="2054">
                  <c:v>10.80282152230971</c:v>
                </c:pt>
                <c:pt idx="2055">
                  <c:v>0</c:v>
                </c:pt>
                <c:pt idx="2056">
                  <c:v>0</c:v>
                </c:pt>
                <c:pt idx="2058">
                  <c:v>30.000006832286932</c:v>
                </c:pt>
                <c:pt idx="2059">
                  <c:v>40.802828354596642</c:v>
                </c:pt>
                <c:pt idx="2060">
                  <c:v>40.802828354596642</c:v>
                </c:pt>
                <c:pt idx="2061">
                  <c:v>30.000006832286932</c:v>
                </c:pt>
                <c:pt idx="2062">
                  <c:v>30.000006832286932</c:v>
                </c:pt>
                <c:pt idx="2064">
                  <c:v>0</c:v>
                </c:pt>
                <c:pt idx="2065">
                  <c:v>10.80282152230971</c:v>
                </c:pt>
                <c:pt idx="2066">
                  <c:v>10.80282152230971</c:v>
                </c:pt>
                <c:pt idx="2067">
                  <c:v>0</c:v>
                </c:pt>
                <c:pt idx="2068">
                  <c:v>0</c:v>
                </c:pt>
                <c:pt idx="2070">
                  <c:v>30.000006832286932</c:v>
                </c:pt>
                <c:pt idx="2071">
                  <c:v>40.802828354596642</c:v>
                </c:pt>
                <c:pt idx="2072">
                  <c:v>40.802828354596642</c:v>
                </c:pt>
                <c:pt idx="2073">
                  <c:v>30.000006832286932</c:v>
                </c:pt>
                <c:pt idx="2074">
                  <c:v>30.000006832286932</c:v>
                </c:pt>
                <c:pt idx="2076">
                  <c:v>0</c:v>
                </c:pt>
                <c:pt idx="2077">
                  <c:v>10.80282152230971</c:v>
                </c:pt>
                <c:pt idx="2078">
                  <c:v>10.80282152230971</c:v>
                </c:pt>
                <c:pt idx="2079">
                  <c:v>0</c:v>
                </c:pt>
                <c:pt idx="2080">
                  <c:v>0</c:v>
                </c:pt>
                <c:pt idx="2082">
                  <c:v>30.000006832286932</c:v>
                </c:pt>
                <c:pt idx="2083">
                  <c:v>40.802828354596642</c:v>
                </c:pt>
                <c:pt idx="2084">
                  <c:v>40.802828354596642</c:v>
                </c:pt>
                <c:pt idx="2085">
                  <c:v>30.000006832286932</c:v>
                </c:pt>
                <c:pt idx="2086">
                  <c:v>30.000006832286932</c:v>
                </c:pt>
                <c:pt idx="2088">
                  <c:v>0</c:v>
                </c:pt>
                <c:pt idx="2089">
                  <c:v>10.80282152230971</c:v>
                </c:pt>
                <c:pt idx="2090">
                  <c:v>10.80282152230971</c:v>
                </c:pt>
                <c:pt idx="2091">
                  <c:v>0</c:v>
                </c:pt>
                <c:pt idx="2092">
                  <c:v>0</c:v>
                </c:pt>
                <c:pt idx="2094">
                  <c:v>30.000006832286932</c:v>
                </c:pt>
                <c:pt idx="2095">
                  <c:v>40.802828354596642</c:v>
                </c:pt>
                <c:pt idx="2096">
                  <c:v>40.802828354596642</c:v>
                </c:pt>
                <c:pt idx="2097">
                  <c:v>30.000006832286932</c:v>
                </c:pt>
                <c:pt idx="2098">
                  <c:v>30.000006832286932</c:v>
                </c:pt>
                <c:pt idx="2100">
                  <c:v>0</c:v>
                </c:pt>
                <c:pt idx="2101">
                  <c:v>10.80282152230971</c:v>
                </c:pt>
                <c:pt idx="2102">
                  <c:v>10.80282152230971</c:v>
                </c:pt>
                <c:pt idx="2103">
                  <c:v>0</c:v>
                </c:pt>
                <c:pt idx="2104">
                  <c:v>0</c:v>
                </c:pt>
                <c:pt idx="2106">
                  <c:v>30.000006832286932</c:v>
                </c:pt>
                <c:pt idx="2107">
                  <c:v>40.802828354596642</c:v>
                </c:pt>
                <c:pt idx="2108">
                  <c:v>40.802828354596642</c:v>
                </c:pt>
                <c:pt idx="2109">
                  <c:v>30.000006832286932</c:v>
                </c:pt>
                <c:pt idx="2110">
                  <c:v>30.000006832286932</c:v>
                </c:pt>
                <c:pt idx="2112">
                  <c:v>0</c:v>
                </c:pt>
                <c:pt idx="2113">
                  <c:v>10.80282152230971</c:v>
                </c:pt>
                <c:pt idx="2114">
                  <c:v>10.80282152230971</c:v>
                </c:pt>
                <c:pt idx="2115">
                  <c:v>0</c:v>
                </c:pt>
                <c:pt idx="2116">
                  <c:v>0</c:v>
                </c:pt>
                <c:pt idx="2118">
                  <c:v>30.000006832286932</c:v>
                </c:pt>
                <c:pt idx="2119">
                  <c:v>40.802828354596642</c:v>
                </c:pt>
                <c:pt idx="2120">
                  <c:v>40.802828354596642</c:v>
                </c:pt>
                <c:pt idx="2121">
                  <c:v>30.000006832286932</c:v>
                </c:pt>
                <c:pt idx="2122">
                  <c:v>30.000006832286932</c:v>
                </c:pt>
                <c:pt idx="2124">
                  <c:v>0</c:v>
                </c:pt>
                <c:pt idx="2125">
                  <c:v>10.80282152230971</c:v>
                </c:pt>
                <c:pt idx="2126">
                  <c:v>10.80282152230971</c:v>
                </c:pt>
                <c:pt idx="2127">
                  <c:v>0</c:v>
                </c:pt>
                <c:pt idx="2128">
                  <c:v>0</c:v>
                </c:pt>
                <c:pt idx="2130">
                  <c:v>30.000006832286932</c:v>
                </c:pt>
                <c:pt idx="2131">
                  <c:v>40.802828354596642</c:v>
                </c:pt>
                <c:pt idx="2132">
                  <c:v>40.802828354596642</c:v>
                </c:pt>
                <c:pt idx="2133">
                  <c:v>30.000006832286932</c:v>
                </c:pt>
                <c:pt idx="2134">
                  <c:v>30.000006832286932</c:v>
                </c:pt>
                <c:pt idx="2136">
                  <c:v>0</c:v>
                </c:pt>
                <c:pt idx="2137">
                  <c:v>10.80282152230971</c:v>
                </c:pt>
                <c:pt idx="2138">
                  <c:v>10.80282152230971</c:v>
                </c:pt>
                <c:pt idx="2139">
                  <c:v>0</c:v>
                </c:pt>
                <c:pt idx="2140">
                  <c:v>0</c:v>
                </c:pt>
                <c:pt idx="2142">
                  <c:v>30.000006832286932</c:v>
                </c:pt>
                <c:pt idx="2143">
                  <c:v>40.802828354596642</c:v>
                </c:pt>
                <c:pt idx="2144">
                  <c:v>40.802828354596642</c:v>
                </c:pt>
                <c:pt idx="2145">
                  <c:v>30.000006832286932</c:v>
                </c:pt>
                <c:pt idx="2146">
                  <c:v>30.000006832286932</c:v>
                </c:pt>
                <c:pt idx="2148">
                  <c:v>0</c:v>
                </c:pt>
                <c:pt idx="2149">
                  <c:v>10.80282152230971</c:v>
                </c:pt>
                <c:pt idx="2150">
                  <c:v>10.80282152230971</c:v>
                </c:pt>
                <c:pt idx="2151">
                  <c:v>0</c:v>
                </c:pt>
                <c:pt idx="2152">
                  <c:v>0</c:v>
                </c:pt>
                <c:pt idx="2154">
                  <c:v>30.000006832286932</c:v>
                </c:pt>
                <c:pt idx="2155">
                  <c:v>40.802828354596642</c:v>
                </c:pt>
                <c:pt idx="2156">
                  <c:v>40.802828354596642</c:v>
                </c:pt>
                <c:pt idx="2157">
                  <c:v>30.000006832286932</c:v>
                </c:pt>
                <c:pt idx="2158">
                  <c:v>30.000006832286932</c:v>
                </c:pt>
              </c:numCache>
            </c:numRef>
          </c:xVal>
          <c:yVal>
            <c:numRef>
              <c:f>Shadow!$AA$3:$AA$2162</c:f>
              <c:numCache>
                <c:formatCode>0</c:formatCode>
                <c:ptCount val="2160"/>
                <c:pt idx="0">
                  <c:v>7.401410761154855</c:v>
                </c:pt>
                <c:pt idx="1">
                  <c:v>7.401410761154855</c:v>
                </c:pt>
                <c:pt idx="2">
                  <c:v>7.401410761154855</c:v>
                </c:pt>
                <c:pt idx="3">
                  <c:v>7.401410761154855</c:v>
                </c:pt>
                <c:pt idx="4">
                  <c:v>7.401410761154855</c:v>
                </c:pt>
                <c:pt idx="6">
                  <c:v>7.401410761154855</c:v>
                </c:pt>
                <c:pt idx="7">
                  <c:v>7.401410761154855</c:v>
                </c:pt>
                <c:pt idx="8">
                  <c:v>7.401410761154855</c:v>
                </c:pt>
                <c:pt idx="9">
                  <c:v>7.401410761154855</c:v>
                </c:pt>
                <c:pt idx="10">
                  <c:v>7.401410761154855</c:v>
                </c:pt>
                <c:pt idx="12">
                  <c:v>7.401410761154855</c:v>
                </c:pt>
                <c:pt idx="13">
                  <c:v>7.401410761154855</c:v>
                </c:pt>
                <c:pt idx="14">
                  <c:v>7.401410761154855</c:v>
                </c:pt>
                <c:pt idx="15">
                  <c:v>7.401410761154855</c:v>
                </c:pt>
                <c:pt idx="16">
                  <c:v>7.401410761154855</c:v>
                </c:pt>
                <c:pt idx="18">
                  <c:v>7.401410761154855</c:v>
                </c:pt>
                <c:pt idx="19">
                  <c:v>7.401410761154855</c:v>
                </c:pt>
                <c:pt idx="20">
                  <c:v>7.401410761154855</c:v>
                </c:pt>
                <c:pt idx="21">
                  <c:v>7.401410761154855</c:v>
                </c:pt>
                <c:pt idx="22">
                  <c:v>7.401410761154855</c:v>
                </c:pt>
                <c:pt idx="24">
                  <c:v>7.401410761154855</c:v>
                </c:pt>
                <c:pt idx="25">
                  <c:v>7.401410761154855</c:v>
                </c:pt>
                <c:pt idx="26">
                  <c:v>7.401410761154855</c:v>
                </c:pt>
                <c:pt idx="27">
                  <c:v>7.401410761154855</c:v>
                </c:pt>
                <c:pt idx="28">
                  <c:v>7.401410761154855</c:v>
                </c:pt>
                <c:pt idx="30">
                  <c:v>7.401410761154855</c:v>
                </c:pt>
                <c:pt idx="31">
                  <c:v>7.401410761154855</c:v>
                </c:pt>
                <c:pt idx="32">
                  <c:v>7.401410761154855</c:v>
                </c:pt>
                <c:pt idx="33">
                  <c:v>7.401410761154855</c:v>
                </c:pt>
                <c:pt idx="34">
                  <c:v>7.401410761154855</c:v>
                </c:pt>
                <c:pt idx="36">
                  <c:v>7.401410761154855</c:v>
                </c:pt>
                <c:pt idx="37">
                  <c:v>7.401410761154855</c:v>
                </c:pt>
                <c:pt idx="38">
                  <c:v>7.401410761154855</c:v>
                </c:pt>
                <c:pt idx="39">
                  <c:v>7.401410761154855</c:v>
                </c:pt>
                <c:pt idx="40">
                  <c:v>7.401410761154855</c:v>
                </c:pt>
                <c:pt idx="42">
                  <c:v>7.401410761154855</c:v>
                </c:pt>
                <c:pt idx="43">
                  <c:v>7.401410761154855</c:v>
                </c:pt>
                <c:pt idx="44">
                  <c:v>7.401410761154855</c:v>
                </c:pt>
                <c:pt idx="45">
                  <c:v>7.401410761154855</c:v>
                </c:pt>
                <c:pt idx="46">
                  <c:v>7.401410761154855</c:v>
                </c:pt>
                <c:pt idx="48">
                  <c:v>7.401410761154855</c:v>
                </c:pt>
                <c:pt idx="49">
                  <c:v>7.401410761154855</c:v>
                </c:pt>
                <c:pt idx="50">
                  <c:v>7.401410761154855</c:v>
                </c:pt>
                <c:pt idx="51">
                  <c:v>7.401410761154855</c:v>
                </c:pt>
                <c:pt idx="52">
                  <c:v>7.401410761154855</c:v>
                </c:pt>
                <c:pt idx="54">
                  <c:v>7.401410761154855</c:v>
                </c:pt>
                <c:pt idx="55">
                  <c:v>7.401410761154855</c:v>
                </c:pt>
                <c:pt idx="56">
                  <c:v>7.401410761154855</c:v>
                </c:pt>
                <c:pt idx="57">
                  <c:v>7.401410761154855</c:v>
                </c:pt>
                <c:pt idx="58">
                  <c:v>7.401410761154855</c:v>
                </c:pt>
                <c:pt idx="60">
                  <c:v>7.401410761154855</c:v>
                </c:pt>
                <c:pt idx="61">
                  <c:v>7.401410761154855</c:v>
                </c:pt>
                <c:pt idx="62">
                  <c:v>7.401410761154855</c:v>
                </c:pt>
                <c:pt idx="63">
                  <c:v>7.401410761154855</c:v>
                </c:pt>
                <c:pt idx="64">
                  <c:v>7.401410761154855</c:v>
                </c:pt>
                <c:pt idx="66">
                  <c:v>7.401410761154855</c:v>
                </c:pt>
                <c:pt idx="67">
                  <c:v>7.401410761154855</c:v>
                </c:pt>
                <c:pt idx="68">
                  <c:v>7.401410761154855</c:v>
                </c:pt>
                <c:pt idx="69">
                  <c:v>7.401410761154855</c:v>
                </c:pt>
                <c:pt idx="70">
                  <c:v>7.401410761154855</c:v>
                </c:pt>
                <c:pt idx="72">
                  <c:v>7.401410761154855</c:v>
                </c:pt>
                <c:pt idx="73">
                  <c:v>7.401410761154855</c:v>
                </c:pt>
                <c:pt idx="74">
                  <c:v>7.401410761154855</c:v>
                </c:pt>
                <c:pt idx="75">
                  <c:v>7.401410761154855</c:v>
                </c:pt>
                <c:pt idx="76">
                  <c:v>7.401410761154855</c:v>
                </c:pt>
                <c:pt idx="78">
                  <c:v>7.401410761154855</c:v>
                </c:pt>
                <c:pt idx="79">
                  <c:v>7.401410761154855</c:v>
                </c:pt>
                <c:pt idx="80">
                  <c:v>7.401410761154855</c:v>
                </c:pt>
                <c:pt idx="81">
                  <c:v>7.401410761154855</c:v>
                </c:pt>
                <c:pt idx="82">
                  <c:v>7.401410761154855</c:v>
                </c:pt>
                <c:pt idx="84">
                  <c:v>7.401410761154855</c:v>
                </c:pt>
                <c:pt idx="85">
                  <c:v>7.401410761154855</c:v>
                </c:pt>
                <c:pt idx="86">
                  <c:v>7.401410761154855</c:v>
                </c:pt>
                <c:pt idx="87">
                  <c:v>7.401410761154855</c:v>
                </c:pt>
                <c:pt idx="88">
                  <c:v>7.401410761154855</c:v>
                </c:pt>
                <c:pt idx="90">
                  <c:v>7.401410761154855</c:v>
                </c:pt>
                <c:pt idx="91">
                  <c:v>7.401410761154855</c:v>
                </c:pt>
                <c:pt idx="92">
                  <c:v>7.401410761154855</c:v>
                </c:pt>
                <c:pt idx="93">
                  <c:v>7.401410761154855</c:v>
                </c:pt>
                <c:pt idx="94">
                  <c:v>7.401410761154855</c:v>
                </c:pt>
                <c:pt idx="96">
                  <c:v>7.401410761154855</c:v>
                </c:pt>
                <c:pt idx="97">
                  <c:v>7.401410761154855</c:v>
                </c:pt>
                <c:pt idx="98">
                  <c:v>7.401410761154855</c:v>
                </c:pt>
                <c:pt idx="99">
                  <c:v>7.401410761154855</c:v>
                </c:pt>
                <c:pt idx="100">
                  <c:v>7.401410761154855</c:v>
                </c:pt>
                <c:pt idx="102">
                  <c:v>7.401410761154855</c:v>
                </c:pt>
                <c:pt idx="103">
                  <c:v>7.401410761154855</c:v>
                </c:pt>
                <c:pt idx="104">
                  <c:v>7.401410761154855</c:v>
                </c:pt>
                <c:pt idx="105">
                  <c:v>7.401410761154855</c:v>
                </c:pt>
                <c:pt idx="106">
                  <c:v>7.401410761154855</c:v>
                </c:pt>
                <c:pt idx="108">
                  <c:v>7.401410761154855</c:v>
                </c:pt>
                <c:pt idx="109">
                  <c:v>7.401410761154855</c:v>
                </c:pt>
                <c:pt idx="110">
                  <c:v>7.401410761154855</c:v>
                </c:pt>
                <c:pt idx="111">
                  <c:v>7.401410761154855</c:v>
                </c:pt>
                <c:pt idx="112">
                  <c:v>7.401410761154855</c:v>
                </c:pt>
                <c:pt idx="114">
                  <c:v>7.401410761154855</c:v>
                </c:pt>
                <c:pt idx="115">
                  <c:v>7.401410761154855</c:v>
                </c:pt>
                <c:pt idx="116">
                  <c:v>7.401410761154855</c:v>
                </c:pt>
                <c:pt idx="117">
                  <c:v>7.401410761154855</c:v>
                </c:pt>
                <c:pt idx="118">
                  <c:v>7.401410761154855</c:v>
                </c:pt>
                <c:pt idx="120">
                  <c:v>7.401410761154855</c:v>
                </c:pt>
                <c:pt idx="121">
                  <c:v>7.401410761154855</c:v>
                </c:pt>
                <c:pt idx="122">
                  <c:v>7.401410761154855</c:v>
                </c:pt>
                <c:pt idx="123">
                  <c:v>7.401410761154855</c:v>
                </c:pt>
                <c:pt idx="124">
                  <c:v>7.401410761154855</c:v>
                </c:pt>
                <c:pt idx="126">
                  <c:v>7.401410761154855</c:v>
                </c:pt>
                <c:pt idx="127">
                  <c:v>7.401410761154855</c:v>
                </c:pt>
                <c:pt idx="128">
                  <c:v>7.401410761154855</c:v>
                </c:pt>
                <c:pt idx="129">
                  <c:v>7.401410761154855</c:v>
                </c:pt>
                <c:pt idx="130">
                  <c:v>7.401410761154855</c:v>
                </c:pt>
                <c:pt idx="132">
                  <c:v>7.401410761154855</c:v>
                </c:pt>
                <c:pt idx="133">
                  <c:v>7.401410761154855</c:v>
                </c:pt>
                <c:pt idx="134">
                  <c:v>7.401410761154855</c:v>
                </c:pt>
                <c:pt idx="135">
                  <c:v>7.401410761154855</c:v>
                </c:pt>
                <c:pt idx="136">
                  <c:v>7.401410761154855</c:v>
                </c:pt>
                <c:pt idx="138">
                  <c:v>7.401410761154855</c:v>
                </c:pt>
                <c:pt idx="139">
                  <c:v>7.401410761154855</c:v>
                </c:pt>
                <c:pt idx="140">
                  <c:v>7.401410761154855</c:v>
                </c:pt>
                <c:pt idx="141">
                  <c:v>7.401410761154855</c:v>
                </c:pt>
                <c:pt idx="142">
                  <c:v>7.401410761154855</c:v>
                </c:pt>
                <c:pt idx="144">
                  <c:v>7.401410761154855</c:v>
                </c:pt>
                <c:pt idx="145">
                  <c:v>7.401410761154855</c:v>
                </c:pt>
                <c:pt idx="146">
                  <c:v>7.401410761154855</c:v>
                </c:pt>
                <c:pt idx="147">
                  <c:v>7.401410761154855</c:v>
                </c:pt>
                <c:pt idx="148">
                  <c:v>7.401410761154855</c:v>
                </c:pt>
                <c:pt idx="150">
                  <c:v>7.401410761154855</c:v>
                </c:pt>
                <c:pt idx="151">
                  <c:v>7.401410761154855</c:v>
                </c:pt>
                <c:pt idx="152">
                  <c:v>7.401410761154855</c:v>
                </c:pt>
                <c:pt idx="153">
                  <c:v>7.401410761154855</c:v>
                </c:pt>
                <c:pt idx="154">
                  <c:v>7.401410761154855</c:v>
                </c:pt>
                <c:pt idx="156">
                  <c:v>7.401410761154855</c:v>
                </c:pt>
                <c:pt idx="157">
                  <c:v>7.401410761154855</c:v>
                </c:pt>
                <c:pt idx="158">
                  <c:v>7.401410761154855</c:v>
                </c:pt>
                <c:pt idx="159">
                  <c:v>7.401410761154855</c:v>
                </c:pt>
                <c:pt idx="160">
                  <c:v>7.401410761154855</c:v>
                </c:pt>
                <c:pt idx="162">
                  <c:v>7.401410761154855</c:v>
                </c:pt>
                <c:pt idx="163">
                  <c:v>7.401410761154855</c:v>
                </c:pt>
                <c:pt idx="164">
                  <c:v>7.401410761154855</c:v>
                </c:pt>
                <c:pt idx="165">
                  <c:v>7.401410761154855</c:v>
                </c:pt>
                <c:pt idx="166">
                  <c:v>7.401410761154855</c:v>
                </c:pt>
                <c:pt idx="168">
                  <c:v>7.401410761154855</c:v>
                </c:pt>
                <c:pt idx="169">
                  <c:v>7.401410761154855</c:v>
                </c:pt>
                <c:pt idx="170">
                  <c:v>7.401410761154855</c:v>
                </c:pt>
                <c:pt idx="171">
                  <c:v>7.401410761154855</c:v>
                </c:pt>
                <c:pt idx="172">
                  <c:v>7.401410761154855</c:v>
                </c:pt>
                <c:pt idx="174">
                  <c:v>7.401410761154855</c:v>
                </c:pt>
                <c:pt idx="175">
                  <c:v>7.401410761154855</c:v>
                </c:pt>
                <c:pt idx="176">
                  <c:v>7.401410761154855</c:v>
                </c:pt>
                <c:pt idx="177">
                  <c:v>7.401410761154855</c:v>
                </c:pt>
                <c:pt idx="178">
                  <c:v>7.401410761154855</c:v>
                </c:pt>
                <c:pt idx="180">
                  <c:v>7.401410761154855</c:v>
                </c:pt>
                <c:pt idx="181">
                  <c:v>7.401410761154855</c:v>
                </c:pt>
                <c:pt idx="182">
                  <c:v>7.401410761154855</c:v>
                </c:pt>
                <c:pt idx="183">
                  <c:v>7.401410761154855</c:v>
                </c:pt>
                <c:pt idx="184">
                  <c:v>7.401410761154855</c:v>
                </c:pt>
                <c:pt idx="186">
                  <c:v>7.401410761154855</c:v>
                </c:pt>
                <c:pt idx="187">
                  <c:v>7.401410761154855</c:v>
                </c:pt>
                <c:pt idx="188">
                  <c:v>7.401410761154855</c:v>
                </c:pt>
                <c:pt idx="189">
                  <c:v>7.401410761154855</c:v>
                </c:pt>
                <c:pt idx="190">
                  <c:v>7.401410761154855</c:v>
                </c:pt>
                <c:pt idx="192">
                  <c:v>7.401410761154855</c:v>
                </c:pt>
                <c:pt idx="193">
                  <c:v>7.401410761154855</c:v>
                </c:pt>
                <c:pt idx="194">
                  <c:v>7.401410761154855</c:v>
                </c:pt>
                <c:pt idx="195">
                  <c:v>7.401410761154855</c:v>
                </c:pt>
                <c:pt idx="196">
                  <c:v>7.401410761154855</c:v>
                </c:pt>
                <c:pt idx="198">
                  <c:v>7.401410761154855</c:v>
                </c:pt>
                <c:pt idx="199">
                  <c:v>7.401410761154855</c:v>
                </c:pt>
                <c:pt idx="200">
                  <c:v>7.401410761154855</c:v>
                </c:pt>
                <c:pt idx="201">
                  <c:v>7.401410761154855</c:v>
                </c:pt>
                <c:pt idx="202">
                  <c:v>7.401410761154855</c:v>
                </c:pt>
                <c:pt idx="204">
                  <c:v>7.401410761154855</c:v>
                </c:pt>
                <c:pt idx="205">
                  <c:v>7.401410761154855</c:v>
                </c:pt>
                <c:pt idx="206">
                  <c:v>7.401410761154855</c:v>
                </c:pt>
                <c:pt idx="207">
                  <c:v>7.401410761154855</c:v>
                </c:pt>
                <c:pt idx="208">
                  <c:v>7.401410761154855</c:v>
                </c:pt>
                <c:pt idx="210">
                  <c:v>7.401410761154855</c:v>
                </c:pt>
                <c:pt idx="211">
                  <c:v>7.401410761154855</c:v>
                </c:pt>
                <c:pt idx="212">
                  <c:v>7.401410761154855</c:v>
                </c:pt>
                <c:pt idx="213">
                  <c:v>7.401410761154855</c:v>
                </c:pt>
                <c:pt idx="214">
                  <c:v>7.401410761154855</c:v>
                </c:pt>
                <c:pt idx="216">
                  <c:v>7.401410761154855</c:v>
                </c:pt>
                <c:pt idx="217">
                  <c:v>7.401410761154855</c:v>
                </c:pt>
                <c:pt idx="218">
                  <c:v>7.401410761154855</c:v>
                </c:pt>
                <c:pt idx="219">
                  <c:v>7.401410761154855</c:v>
                </c:pt>
                <c:pt idx="220">
                  <c:v>7.401410761154855</c:v>
                </c:pt>
                <c:pt idx="222">
                  <c:v>7.401410761154855</c:v>
                </c:pt>
                <c:pt idx="223">
                  <c:v>7.401410761154855</c:v>
                </c:pt>
                <c:pt idx="224">
                  <c:v>7.401410761154855</c:v>
                </c:pt>
                <c:pt idx="225">
                  <c:v>7.401410761154855</c:v>
                </c:pt>
                <c:pt idx="226">
                  <c:v>7.401410761154855</c:v>
                </c:pt>
                <c:pt idx="228">
                  <c:v>7.401410761154855</c:v>
                </c:pt>
                <c:pt idx="229">
                  <c:v>7.401410761154855</c:v>
                </c:pt>
                <c:pt idx="230">
                  <c:v>7.401410761154855</c:v>
                </c:pt>
                <c:pt idx="231">
                  <c:v>7.401410761154855</c:v>
                </c:pt>
                <c:pt idx="232">
                  <c:v>7.401410761154855</c:v>
                </c:pt>
                <c:pt idx="234">
                  <c:v>7.401410761154855</c:v>
                </c:pt>
                <c:pt idx="235">
                  <c:v>7.401410761154855</c:v>
                </c:pt>
                <c:pt idx="236">
                  <c:v>7.401410761154855</c:v>
                </c:pt>
                <c:pt idx="237">
                  <c:v>7.401410761154855</c:v>
                </c:pt>
                <c:pt idx="238">
                  <c:v>7.401410761154855</c:v>
                </c:pt>
                <c:pt idx="240">
                  <c:v>7.401410761154855</c:v>
                </c:pt>
                <c:pt idx="241">
                  <c:v>7.401410761154855</c:v>
                </c:pt>
                <c:pt idx="242">
                  <c:v>7.401410761154855</c:v>
                </c:pt>
                <c:pt idx="243">
                  <c:v>7.401410761154855</c:v>
                </c:pt>
                <c:pt idx="244">
                  <c:v>7.401410761154855</c:v>
                </c:pt>
                <c:pt idx="246">
                  <c:v>7.401410761154855</c:v>
                </c:pt>
                <c:pt idx="247">
                  <c:v>7.401410761154855</c:v>
                </c:pt>
                <c:pt idx="248">
                  <c:v>7.401410761154855</c:v>
                </c:pt>
                <c:pt idx="249">
                  <c:v>7.401410761154855</c:v>
                </c:pt>
                <c:pt idx="250">
                  <c:v>7.401410761154855</c:v>
                </c:pt>
                <c:pt idx="252">
                  <c:v>7.401410761154855</c:v>
                </c:pt>
                <c:pt idx="253">
                  <c:v>7.401410761154855</c:v>
                </c:pt>
                <c:pt idx="254">
                  <c:v>7.401410761154855</c:v>
                </c:pt>
                <c:pt idx="255">
                  <c:v>7.401410761154855</c:v>
                </c:pt>
                <c:pt idx="256">
                  <c:v>7.401410761154855</c:v>
                </c:pt>
                <c:pt idx="258">
                  <c:v>7.401410761154855</c:v>
                </c:pt>
                <c:pt idx="259">
                  <c:v>7.401410761154855</c:v>
                </c:pt>
                <c:pt idx="260">
                  <c:v>7.401410761154855</c:v>
                </c:pt>
                <c:pt idx="261">
                  <c:v>7.401410761154855</c:v>
                </c:pt>
                <c:pt idx="262">
                  <c:v>7.401410761154855</c:v>
                </c:pt>
                <c:pt idx="264">
                  <c:v>7.401410761154855</c:v>
                </c:pt>
                <c:pt idx="265">
                  <c:v>7.401410761154855</c:v>
                </c:pt>
                <c:pt idx="266">
                  <c:v>7.401410761154855</c:v>
                </c:pt>
                <c:pt idx="267">
                  <c:v>7.401410761154855</c:v>
                </c:pt>
                <c:pt idx="268">
                  <c:v>7.401410761154855</c:v>
                </c:pt>
                <c:pt idx="270">
                  <c:v>7.401410761154855</c:v>
                </c:pt>
                <c:pt idx="271">
                  <c:v>7.401410761154855</c:v>
                </c:pt>
                <c:pt idx="272">
                  <c:v>7.401410761154855</c:v>
                </c:pt>
                <c:pt idx="273">
                  <c:v>7.401410761154855</c:v>
                </c:pt>
                <c:pt idx="274">
                  <c:v>7.401410761154855</c:v>
                </c:pt>
                <c:pt idx="276">
                  <c:v>7.401410761154855</c:v>
                </c:pt>
                <c:pt idx="277">
                  <c:v>7.401410761154855</c:v>
                </c:pt>
                <c:pt idx="278">
                  <c:v>7.401410761154855</c:v>
                </c:pt>
                <c:pt idx="279">
                  <c:v>7.401410761154855</c:v>
                </c:pt>
                <c:pt idx="280">
                  <c:v>7.401410761154855</c:v>
                </c:pt>
                <c:pt idx="282">
                  <c:v>7.401410761154855</c:v>
                </c:pt>
                <c:pt idx="283">
                  <c:v>7.401410761154855</c:v>
                </c:pt>
                <c:pt idx="284">
                  <c:v>7.401410761154855</c:v>
                </c:pt>
                <c:pt idx="285">
                  <c:v>7.401410761154855</c:v>
                </c:pt>
                <c:pt idx="286">
                  <c:v>7.401410761154855</c:v>
                </c:pt>
                <c:pt idx="288">
                  <c:v>7.401410761154855</c:v>
                </c:pt>
                <c:pt idx="289">
                  <c:v>7.401410761154855</c:v>
                </c:pt>
                <c:pt idx="290">
                  <c:v>7.401410761154855</c:v>
                </c:pt>
                <c:pt idx="291">
                  <c:v>7.401410761154855</c:v>
                </c:pt>
                <c:pt idx="292">
                  <c:v>7.401410761154855</c:v>
                </c:pt>
                <c:pt idx="294">
                  <c:v>7.401410761154855</c:v>
                </c:pt>
                <c:pt idx="295">
                  <c:v>7.401410761154855</c:v>
                </c:pt>
                <c:pt idx="296">
                  <c:v>7.401410761154855</c:v>
                </c:pt>
                <c:pt idx="297">
                  <c:v>7.401410761154855</c:v>
                </c:pt>
                <c:pt idx="298">
                  <c:v>7.401410761154855</c:v>
                </c:pt>
                <c:pt idx="300">
                  <c:v>7.401410761154855</c:v>
                </c:pt>
                <c:pt idx="301">
                  <c:v>7.401410761154855</c:v>
                </c:pt>
                <c:pt idx="302">
                  <c:v>7.401410761154855</c:v>
                </c:pt>
                <c:pt idx="303">
                  <c:v>7.401410761154855</c:v>
                </c:pt>
                <c:pt idx="304">
                  <c:v>7.401410761154855</c:v>
                </c:pt>
                <c:pt idx="306">
                  <c:v>7.401410761154855</c:v>
                </c:pt>
                <c:pt idx="307">
                  <c:v>7.401410761154855</c:v>
                </c:pt>
                <c:pt idx="308">
                  <c:v>7.401410761154855</c:v>
                </c:pt>
                <c:pt idx="309">
                  <c:v>7.401410761154855</c:v>
                </c:pt>
                <c:pt idx="310">
                  <c:v>7.401410761154855</c:v>
                </c:pt>
                <c:pt idx="312">
                  <c:v>7.401410761154855</c:v>
                </c:pt>
                <c:pt idx="313">
                  <c:v>7.401410761154855</c:v>
                </c:pt>
                <c:pt idx="314">
                  <c:v>7.401410761154855</c:v>
                </c:pt>
                <c:pt idx="315">
                  <c:v>7.401410761154855</c:v>
                </c:pt>
                <c:pt idx="316">
                  <c:v>7.401410761154855</c:v>
                </c:pt>
                <c:pt idx="318">
                  <c:v>7.401410761154855</c:v>
                </c:pt>
                <c:pt idx="319">
                  <c:v>7.401410761154855</c:v>
                </c:pt>
                <c:pt idx="320">
                  <c:v>7.401410761154855</c:v>
                </c:pt>
                <c:pt idx="321">
                  <c:v>7.401410761154855</c:v>
                </c:pt>
                <c:pt idx="322">
                  <c:v>7.401410761154855</c:v>
                </c:pt>
                <c:pt idx="324">
                  <c:v>7.401410761154855</c:v>
                </c:pt>
                <c:pt idx="325">
                  <c:v>7.401410761154855</c:v>
                </c:pt>
                <c:pt idx="326">
                  <c:v>7.401410761154855</c:v>
                </c:pt>
                <c:pt idx="327">
                  <c:v>7.401410761154855</c:v>
                </c:pt>
                <c:pt idx="328">
                  <c:v>7.401410761154855</c:v>
                </c:pt>
                <c:pt idx="330">
                  <c:v>7.401410761154855</c:v>
                </c:pt>
                <c:pt idx="331">
                  <c:v>7.401410761154855</c:v>
                </c:pt>
                <c:pt idx="332">
                  <c:v>7.401410761154855</c:v>
                </c:pt>
                <c:pt idx="333">
                  <c:v>7.401410761154855</c:v>
                </c:pt>
                <c:pt idx="334">
                  <c:v>7.401410761154855</c:v>
                </c:pt>
                <c:pt idx="336">
                  <c:v>7.401410761154855</c:v>
                </c:pt>
                <c:pt idx="337">
                  <c:v>7.401410761154855</c:v>
                </c:pt>
                <c:pt idx="338">
                  <c:v>7.401410761154855</c:v>
                </c:pt>
                <c:pt idx="339">
                  <c:v>7.401410761154855</c:v>
                </c:pt>
                <c:pt idx="340">
                  <c:v>7.401410761154855</c:v>
                </c:pt>
                <c:pt idx="342">
                  <c:v>7.401410761154855</c:v>
                </c:pt>
                <c:pt idx="343">
                  <c:v>7.401410761154855</c:v>
                </c:pt>
                <c:pt idx="344">
                  <c:v>7.401410761154855</c:v>
                </c:pt>
                <c:pt idx="345">
                  <c:v>7.401410761154855</c:v>
                </c:pt>
                <c:pt idx="346">
                  <c:v>7.401410761154855</c:v>
                </c:pt>
                <c:pt idx="348">
                  <c:v>7.401410761154855</c:v>
                </c:pt>
                <c:pt idx="349">
                  <c:v>7.401410761154855</c:v>
                </c:pt>
                <c:pt idx="350">
                  <c:v>7.401410761154855</c:v>
                </c:pt>
                <c:pt idx="351">
                  <c:v>7.401410761154855</c:v>
                </c:pt>
                <c:pt idx="352">
                  <c:v>7.401410761154855</c:v>
                </c:pt>
                <c:pt idx="354">
                  <c:v>7.401410761154855</c:v>
                </c:pt>
                <c:pt idx="355">
                  <c:v>7.401410761154855</c:v>
                </c:pt>
                <c:pt idx="356">
                  <c:v>7.401410761154855</c:v>
                </c:pt>
                <c:pt idx="357">
                  <c:v>7.401410761154855</c:v>
                </c:pt>
                <c:pt idx="358">
                  <c:v>7.401410761154855</c:v>
                </c:pt>
                <c:pt idx="360">
                  <c:v>7.401410761154855</c:v>
                </c:pt>
                <c:pt idx="361">
                  <c:v>7.401410761154855</c:v>
                </c:pt>
                <c:pt idx="362">
                  <c:v>7.401410761154855</c:v>
                </c:pt>
                <c:pt idx="363">
                  <c:v>7.401410761154855</c:v>
                </c:pt>
                <c:pt idx="364">
                  <c:v>7.401410761154855</c:v>
                </c:pt>
                <c:pt idx="366">
                  <c:v>7.401410761154855</c:v>
                </c:pt>
                <c:pt idx="367">
                  <c:v>7.401410761154855</c:v>
                </c:pt>
                <c:pt idx="368">
                  <c:v>7.401410761154855</c:v>
                </c:pt>
                <c:pt idx="369">
                  <c:v>7.401410761154855</c:v>
                </c:pt>
                <c:pt idx="370">
                  <c:v>7.401410761154855</c:v>
                </c:pt>
                <c:pt idx="372">
                  <c:v>7.401410761154855</c:v>
                </c:pt>
                <c:pt idx="373">
                  <c:v>7.401410761154855</c:v>
                </c:pt>
                <c:pt idx="374">
                  <c:v>7.401410761154855</c:v>
                </c:pt>
                <c:pt idx="375">
                  <c:v>7.401410761154855</c:v>
                </c:pt>
                <c:pt idx="376">
                  <c:v>7.401410761154855</c:v>
                </c:pt>
                <c:pt idx="378">
                  <c:v>7.401410761154855</c:v>
                </c:pt>
                <c:pt idx="379">
                  <c:v>7.401410761154855</c:v>
                </c:pt>
                <c:pt idx="380">
                  <c:v>7.401410761154855</c:v>
                </c:pt>
                <c:pt idx="381">
                  <c:v>7.401410761154855</c:v>
                </c:pt>
                <c:pt idx="382">
                  <c:v>7.401410761154855</c:v>
                </c:pt>
                <c:pt idx="384">
                  <c:v>7.401410761154855</c:v>
                </c:pt>
                <c:pt idx="385">
                  <c:v>7.401410761154855</c:v>
                </c:pt>
                <c:pt idx="386">
                  <c:v>7.401410761154855</c:v>
                </c:pt>
                <c:pt idx="387">
                  <c:v>7.401410761154855</c:v>
                </c:pt>
                <c:pt idx="388">
                  <c:v>7.401410761154855</c:v>
                </c:pt>
                <c:pt idx="390">
                  <c:v>7.401410761154855</c:v>
                </c:pt>
                <c:pt idx="391">
                  <c:v>7.401410761154855</c:v>
                </c:pt>
                <c:pt idx="392">
                  <c:v>7.401410761154855</c:v>
                </c:pt>
                <c:pt idx="393">
                  <c:v>7.401410761154855</c:v>
                </c:pt>
                <c:pt idx="394">
                  <c:v>7.401410761154855</c:v>
                </c:pt>
                <c:pt idx="396">
                  <c:v>7.401410761154855</c:v>
                </c:pt>
                <c:pt idx="397">
                  <c:v>7.401410761154855</c:v>
                </c:pt>
                <c:pt idx="398">
                  <c:v>7.401410761154855</c:v>
                </c:pt>
                <c:pt idx="399">
                  <c:v>7.401410761154855</c:v>
                </c:pt>
                <c:pt idx="400">
                  <c:v>7.401410761154855</c:v>
                </c:pt>
                <c:pt idx="402">
                  <c:v>7.401410761154855</c:v>
                </c:pt>
                <c:pt idx="403">
                  <c:v>7.401410761154855</c:v>
                </c:pt>
                <c:pt idx="404">
                  <c:v>7.401410761154855</c:v>
                </c:pt>
                <c:pt idx="405">
                  <c:v>7.401410761154855</c:v>
                </c:pt>
                <c:pt idx="406">
                  <c:v>7.401410761154855</c:v>
                </c:pt>
                <c:pt idx="408">
                  <c:v>7.401410761154855</c:v>
                </c:pt>
                <c:pt idx="409">
                  <c:v>7.401410761154855</c:v>
                </c:pt>
                <c:pt idx="410">
                  <c:v>7.401410761154855</c:v>
                </c:pt>
                <c:pt idx="411">
                  <c:v>7.401410761154855</c:v>
                </c:pt>
                <c:pt idx="412">
                  <c:v>7.401410761154855</c:v>
                </c:pt>
                <c:pt idx="414">
                  <c:v>7.401410761154855</c:v>
                </c:pt>
                <c:pt idx="415">
                  <c:v>7.401410761154855</c:v>
                </c:pt>
                <c:pt idx="416">
                  <c:v>7.401410761154855</c:v>
                </c:pt>
                <c:pt idx="417">
                  <c:v>7.401410761154855</c:v>
                </c:pt>
                <c:pt idx="418">
                  <c:v>7.401410761154855</c:v>
                </c:pt>
                <c:pt idx="420">
                  <c:v>7.401410761154855</c:v>
                </c:pt>
                <c:pt idx="421">
                  <c:v>7.401410761154855</c:v>
                </c:pt>
                <c:pt idx="422">
                  <c:v>7.401410761154855</c:v>
                </c:pt>
                <c:pt idx="423">
                  <c:v>7.401410761154855</c:v>
                </c:pt>
                <c:pt idx="424">
                  <c:v>7.401410761154855</c:v>
                </c:pt>
                <c:pt idx="426">
                  <c:v>7.401410761154855</c:v>
                </c:pt>
                <c:pt idx="427">
                  <c:v>7.401410761154855</c:v>
                </c:pt>
                <c:pt idx="428">
                  <c:v>7.401410761154855</c:v>
                </c:pt>
                <c:pt idx="429">
                  <c:v>7.401410761154855</c:v>
                </c:pt>
                <c:pt idx="430">
                  <c:v>7.401410761154855</c:v>
                </c:pt>
                <c:pt idx="432">
                  <c:v>7.401410761154855</c:v>
                </c:pt>
                <c:pt idx="433">
                  <c:v>7.401410761154855</c:v>
                </c:pt>
                <c:pt idx="434">
                  <c:v>7.401410761154855</c:v>
                </c:pt>
                <c:pt idx="435">
                  <c:v>7.401410761154855</c:v>
                </c:pt>
                <c:pt idx="436">
                  <c:v>7.401410761154855</c:v>
                </c:pt>
                <c:pt idx="438">
                  <c:v>7.401410761154855</c:v>
                </c:pt>
                <c:pt idx="439">
                  <c:v>7.401410761154855</c:v>
                </c:pt>
                <c:pt idx="440">
                  <c:v>7.401410761154855</c:v>
                </c:pt>
                <c:pt idx="441">
                  <c:v>7.401410761154855</c:v>
                </c:pt>
                <c:pt idx="442">
                  <c:v>7.401410761154855</c:v>
                </c:pt>
                <c:pt idx="444">
                  <c:v>7.401410761154855</c:v>
                </c:pt>
                <c:pt idx="445">
                  <c:v>7.401410761154855</c:v>
                </c:pt>
                <c:pt idx="446">
                  <c:v>7.401410761154855</c:v>
                </c:pt>
                <c:pt idx="447">
                  <c:v>7.401410761154855</c:v>
                </c:pt>
                <c:pt idx="448">
                  <c:v>7.401410761154855</c:v>
                </c:pt>
                <c:pt idx="450">
                  <c:v>7.401410761154855</c:v>
                </c:pt>
                <c:pt idx="451">
                  <c:v>7.401410761154855</c:v>
                </c:pt>
                <c:pt idx="452">
                  <c:v>7.401410761154855</c:v>
                </c:pt>
                <c:pt idx="453">
                  <c:v>7.401410761154855</c:v>
                </c:pt>
                <c:pt idx="454">
                  <c:v>7.401410761154855</c:v>
                </c:pt>
                <c:pt idx="456">
                  <c:v>7.401410761154855</c:v>
                </c:pt>
                <c:pt idx="457">
                  <c:v>7.401410761154855</c:v>
                </c:pt>
                <c:pt idx="458">
                  <c:v>7.401410761154855</c:v>
                </c:pt>
                <c:pt idx="459">
                  <c:v>7.401410761154855</c:v>
                </c:pt>
                <c:pt idx="460">
                  <c:v>7.401410761154855</c:v>
                </c:pt>
                <c:pt idx="462">
                  <c:v>7.401410761154855</c:v>
                </c:pt>
                <c:pt idx="463">
                  <c:v>7.401410761154855</c:v>
                </c:pt>
                <c:pt idx="464">
                  <c:v>7.401410761154855</c:v>
                </c:pt>
                <c:pt idx="465">
                  <c:v>7.401410761154855</c:v>
                </c:pt>
                <c:pt idx="466">
                  <c:v>7.401410761154855</c:v>
                </c:pt>
                <c:pt idx="468">
                  <c:v>7.401410761154855</c:v>
                </c:pt>
                <c:pt idx="469">
                  <c:v>7.401410761154855</c:v>
                </c:pt>
                <c:pt idx="470">
                  <c:v>7.401410761154855</c:v>
                </c:pt>
                <c:pt idx="471">
                  <c:v>7.401410761154855</c:v>
                </c:pt>
                <c:pt idx="472">
                  <c:v>7.401410761154855</c:v>
                </c:pt>
                <c:pt idx="474">
                  <c:v>7.401410761154855</c:v>
                </c:pt>
                <c:pt idx="475">
                  <c:v>7.401410761154855</c:v>
                </c:pt>
                <c:pt idx="476">
                  <c:v>7.401410761154855</c:v>
                </c:pt>
                <c:pt idx="477">
                  <c:v>7.401410761154855</c:v>
                </c:pt>
                <c:pt idx="478">
                  <c:v>7.401410761154855</c:v>
                </c:pt>
                <c:pt idx="480">
                  <c:v>7.401410761154855</c:v>
                </c:pt>
                <c:pt idx="481">
                  <c:v>7.401410761154855</c:v>
                </c:pt>
                <c:pt idx="482">
                  <c:v>7.401410761154855</c:v>
                </c:pt>
                <c:pt idx="483">
                  <c:v>7.401410761154855</c:v>
                </c:pt>
                <c:pt idx="484">
                  <c:v>7.401410761154855</c:v>
                </c:pt>
                <c:pt idx="486">
                  <c:v>7.401410761154855</c:v>
                </c:pt>
                <c:pt idx="487">
                  <c:v>7.401410761154855</c:v>
                </c:pt>
                <c:pt idx="488">
                  <c:v>7.401410761154855</c:v>
                </c:pt>
                <c:pt idx="489">
                  <c:v>7.401410761154855</c:v>
                </c:pt>
                <c:pt idx="490">
                  <c:v>7.401410761154855</c:v>
                </c:pt>
                <c:pt idx="492">
                  <c:v>7.401410761154855</c:v>
                </c:pt>
                <c:pt idx="493">
                  <c:v>7.401410761154855</c:v>
                </c:pt>
                <c:pt idx="494">
                  <c:v>7.401410761154855</c:v>
                </c:pt>
                <c:pt idx="495">
                  <c:v>7.401410761154855</c:v>
                </c:pt>
                <c:pt idx="496">
                  <c:v>7.401410761154855</c:v>
                </c:pt>
                <c:pt idx="498">
                  <c:v>7.401410761154855</c:v>
                </c:pt>
                <c:pt idx="499">
                  <c:v>7.401410761154855</c:v>
                </c:pt>
                <c:pt idx="500">
                  <c:v>7.401410761154855</c:v>
                </c:pt>
                <c:pt idx="501">
                  <c:v>7.401410761154855</c:v>
                </c:pt>
                <c:pt idx="502">
                  <c:v>7.401410761154855</c:v>
                </c:pt>
                <c:pt idx="504">
                  <c:v>7.401410761154855</c:v>
                </c:pt>
                <c:pt idx="505">
                  <c:v>7.401410761154855</c:v>
                </c:pt>
                <c:pt idx="506">
                  <c:v>7.401410761154855</c:v>
                </c:pt>
                <c:pt idx="507">
                  <c:v>7.401410761154855</c:v>
                </c:pt>
                <c:pt idx="508">
                  <c:v>7.401410761154855</c:v>
                </c:pt>
                <c:pt idx="510">
                  <c:v>7.401410761154855</c:v>
                </c:pt>
                <c:pt idx="511">
                  <c:v>7.401410761154855</c:v>
                </c:pt>
                <c:pt idx="512">
                  <c:v>7.401410761154855</c:v>
                </c:pt>
                <c:pt idx="513">
                  <c:v>7.401410761154855</c:v>
                </c:pt>
                <c:pt idx="514">
                  <c:v>7.401410761154855</c:v>
                </c:pt>
                <c:pt idx="516">
                  <c:v>7.401410761154855</c:v>
                </c:pt>
                <c:pt idx="517">
                  <c:v>7.401410761154855</c:v>
                </c:pt>
                <c:pt idx="518">
                  <c:v>7.401410761154855</c:v>
                </c:pt>
                <c:pt idx="519">
                  <c:v>7.401410761154855</c:v>
                </c:pt>
                <c:pt idx="520">
                  <c:v>7.401410761154855</c:v>
                </c:pt>
                <c:pt idx="522">
                  <c:v>7.401410761154855</c:v>
                </c:pt>
                <c:pt idx="523">
                  <c:v>7.401410761154855</c:v>
                </c:pt>
                <c:pt idx="524">
                  <c:v>7.401410761154855</c:v>
                </c:pt>
                <c:pt idx="525">
                  <c:v>7.401410761154855</c:v>
                </c:pt>
                <c:pt idx="526">
                  <c:v>7.401410761154855</c:v>
                </c:pt>
                <c:pt idx="528">
                  <c:v>7.401410761154855</c:v>
                </c:pt>
                <c:pt idx="529">
                  <c:v>7.401410761154855</c:v>
                </c:pt>
                <c:pt idx="530">
                  <c:v>7.401410761154855</c:v>
                </c:pt>
                <c:pt idx="531">
                  <c:v>7.401410761154855</c:v>
                </c:pt>
                <c:pt idx="532">
                  <c:v>7.401410761154855</c:v>
                </c:pt>
                <c:pt idx="534">
                  <c:v>7.401410761154855</c:v>
                </c:pt>
                <c:pt idx="535">
                  <c:v>7.401410761154855</c:v>
                </c:pt>
                <c:pt idx="536">
                  <c:v>7.401410761154855</c:v>
                </c:pt>
                <c:pt idx="537">
                  <c:v>7.401410761154855</c:v>
                </c:pt>
                <c:pt idx="538">
                  <c:v>7.401410761154855</c:v>
                </c:pt>
                <c:pt idx="540">
                  <c:v>7.401410761154855</c:v>
                </c:pt>
                <c:pt idx="541">
                  <c:v>7.401410761154855</c:v>
                </c:pt>
                <c:pt idx="542">
                  <c:v>7.401410761154855</c:v>
                </c:pt>
                <c:pt idx="543">
                  <c:v>7.401410761154855</c:v>
                </c:pt>
                <c:pt idx="544">
                  <c:v>7.401410761154855</c:v>
                </c:pt>
                <c:pt idx="546">
                  <c:v>7.401410761154855</c:v>
                </c:pt>
                <c:pt idx="547">
                  <c:v>7.401410761154855</c:v>
                </c:pt>
                <c:pt idx="548">
                  <c:v>7.401410761154855</c:v>
                </c:pt>
                <c:pt idx="549">
                  <c:v>7.401410761154855</c:v>
                </c:pt>
                <c:pt idx="550">
                  <c:v>7.401410761154855</c:v>
                </c:pt>
                <c:pt idx="552">
                  <c:v>7.401410761154855</c:v>
                </c:pt>
                <c:pt idx="553">
                  <c:v>7.401410761154855</c:v>
                </c:pt>
                <c:pt idx="554">
                  <c:v>7.401410761154855</c:v>
                </c:pt>
                <c:pt idx="555">
                  <c:v>7.401410761154855</c:v>
                </c:pt>
                <c:pt idx="556">
                  <c:v>7.401410761154855</c:v>
                </c:pt>
                <c:pt idx="558">
                  <c:v>7.401410761154855</c:v>
                </c:pt>
                <c:pt idx="559">
                  <c:v>7.401410761154855</c:v>
                </c:pt>
                <c:pt idx="560">
                  <c:v>7.401410761154855</c:v>
                </c:pt>
                <c:pt idx="561">
                  <c:v>7.401410761154855</c:v>
                </c:pt>
                <c:pt idx="562">
                  <c:v>7.401410761154855</c:v>
                </c:pt>
                <c:pt idx="564">
                  <c:v>7.401410761154855</c:v>
                </c:pt>
                <c:pt idx="565">
                  <c:v>7.401410761154855</c:v>
                </c:pt>
                <c:pt idx="566">
                  <c:v>7.401410761154855</c:v>
                </c:pt>
                <c:pt idx="567">
                  <c:v>7.401410761154855</c:v>
                </c:pt>
                <c:pt idx="568">
                  <c:v>7.401410761154855</c:v>
                </c:pt>
                <c:pt idx="570">
                  <c:v>7.401410761154855</c:v>
                </c:pt>
                <c:pt idx="571">
                  <c:v>7.401410761154855</c:v>
                </c:pt>
                <c:pt idx="572">
                  <c:v>7.401410761154855</c:v>
                </c:pt>
                <c:pt idx="573">
                  <c:v>7.401410761154855</c:v>
                </c:pt>
                <c:pt idx="574">
                  <c:v>7.401410761154855</c:v>
                </c:pt>
                <c:pt idx="576">
                  <c:v>7.401410761154855</c:v>
                </c:pt>
                <c:pt idx="577">
                  <c:v>7.401410761154855</c:v>
                </c:pt>
                <c:pt idx="578">
                  <c:v>7.401410761154855</c:v>
                </c:pt>
                <c:pt idx="579">
                  <c:v>7.401410761154855</c:v>
                </c:pt>
                <c:pt idx="580">
                  <c:v>7.401410761154855</c:v>
                </c:pt>
                <c:pt idx="582">
                  <c:v>7.401410761154855</c:v>
                </c:pt>
                <c:pt idx="583">
                  <c:v>7.401410761154855</c:v>
                </c:pt>
                <c:pt idx="584">
                  <c:v>7.401410761154855</c:v>
                </c:pt>
                <c:pt idx="585">
                  <c:v>7.401410761154855</c:v>
                </c:pt>
                <c:pt idx="586">
                  <c:v>7.401410761154855</c:v>
                </c:pt>
                <c:pt idx="588">
                  <c:v>7.401410761154855</c:v>
                </c:pt>
                <c:pt idx="589">
                  <c:v>7.401410761154855</c:v>
                </c:pt>
                <c:pt idx="590">
                  <c:v>7.401410761154855</c:v>
                </c:pt>
                <c:pt idx="591">
                  <c:v>7.401410761154855</c:v>
                </c:pt>
                <c:pt idx="592">
                  <c:v>7.401410761154855</c:v>
                </c:pt>
                <c:pt idx="594">
                  <c:v>7.401410761154855</c:v>
                </c:pt>
                <c:pt idx="595">
                  <c:v>7.401410761154855</c:v>
                </c:pt>
                <c:pt idx="596">
                  <c:v>7.401410761154855</c:v>
                </c:pt>
                <c:pt idx="597">
                  <c:v>7.401410761154855</c:v>
                </c:pt>
                <c:pt idx="598">
                  <c:v>7.401410761154855</c:v>
                </c:pt>
                <c:pt idx="600">
                  <c:v>7.401410761154855</c:v>
                </c:pt>
                <c:pt idx="601">
                  <c:v>7.401410761154855</c:v>
                </c:pt>
                <c:pt idx="602">
                  <c:v>7.401410761154855</c:v>
                </c:pt>
                <c:pt idx="603">
                  <c:v>7.401410761154855</c:v>
                </c:pt>
                <c:pt idx="604">
                  <c:v>7.401410761154855</c:v>
                </c:pt>
                <c:pt idx="606">
                  <c:v>7.401410761154855</c:v>
                </c:pt>
                <c:pt idx="607">
                  <c:v>7.401410761154855</c:v>
                </c:pt>
                <c:pt idx="608">
                  <c:v>7.401410761154855</c:v>
                </c:pt>
                <c:pt idx="609">
                  <c:v>7.401410761154855</c:v>
                </c:pt>
                <c:pt idx="610">
                  <c:v>7.401410761154855</c:v>
                </c:pt>
                <c:pt idx="612">
                  <c:v>7.401410761154855</c:v>
                </c:pt>
                <c:pt idx="613">
                  <c:v>7.401410761154855</c:v>
                </c:pt>
                <c:pt idx="614">
                  <c:v>7.401410761154855</c:v>
                </c:pt>
                <c:pt idx="615">
                  <c:v>7.401410761154855</c:v>
                </c:pt>
                <c:pt idx="616">
                  <c:v>7.401410761154855</c:v>
                </c:pt>
                <c:pt idx="618">
                  <c:v>7.401410761154855</c:v>
                </c:pt>
                <c:pt idx="619">
                  <c:v>7.401410761154855</c:v>
                </c:pt>
                <c:pt idx="620">
                  <c:v>7.401410761154855</c:v>
                </c:pt>
                <c:pt idx="621">
                  <c:v>7.401410761154855</c:v>
                </c:pt>
                <c:pt idx="622">
                  <c:v>7.401410761154855</c:v>
                </c:pt>
                <c:pt idx="624">
                  <c:v>7.401410761154855</c:v>
                </c:pt>
                <c:pt idx="625">
                  <c:v>7.401410761154855</c:v>
                </c:pt>
                <c:pt idx="626">
                  <c:v>7.401410761154855</c:v>
                </c:pt>
                <c:pt idx="627">
                  <c:v>7.401410761154855</c:v>
                </c:pt>
                <c:pt idx="628">
                  <c:v>7.401410761154855</c:v>
                </c:pt>
                <c:pt idx="630">
                  <c:v>7.401410761154855</c:v>
                </c:pt>
                <c:pt idx="631">
                  <c:v>7.401410761154855</c:v>
                </c:pt>
                <c:pt idx="632">
                  <c:v>7.401410761154855</c:v>
                </c:pt>
                <c:pt idx="633">
                  <c:v>7.401410761154855</c:v>
                </c:pt>
                <c:pt idx="634">
                  <c:v>7.401410761154855</c:v>
                </c:pt>
                <c:pt idx="636">
                  <c:v>7.401410761154855</c:v>
                </c:pt>
                <c:pt idx="637">
                  <c:v>7.401410761154855</c:v>
                </c:pt>
                <c:pt idx="638">
                  <c:v>7.401410761154855</c:v>
                </c:pt>
                <c:pt idx="639">
                  <c:v>7.401410761154855</c:v>
                </c:pt>
                <c:pt idx="640">
                  <c:v>7.401410761154855</c:v>
                </c:pt>
                <c:pt idx="642">
                  <c:v>7.401410761154855</c:v>
                </c:pt>
                <c:pt idx="643">
                  <c:v>7.401410761154855</c:v>
                </c:pt>
                <c:pt idx="644">
                  <c:v>7.401410761154855</c:v>
                </c:pt>
                <c:pt idx="645">
                  <c:v>7.401410761154855</c:v>
                </c:pt>
                <c:pt idx="646">
                  <c:v>7.401410761154855</c:v>
                </c:pt>
                <c:pt idx="648">
                  <c:v>7.401410761154855</c:v>
                </c:pt>
                <c:pt idx="649">
                  <c:v>7.401410761154855</c:v>
                </c:pt>
                <c:pt idx="650">
                  <c:v>7.401410761154855</c:v>
                </c:pt>
                <c:pt idx="651">
                  <c:v>7.401410761154855</c:v>
                </c:pt>
                <c:pt idx="652">
                  <c:v>7.401410761154855</c:v>
                </c:pt>
                <c:pt idx="654">
                  <c:v>7.401410761154855</c:v>
                </c:pt>
                <c:pt idx="655">
                  <c:v>7.401410761154855</c:v>
                </c:pt>
                <c:pt idx="656">
                  <c:v>7.401410761154855</c:v>
                </c:pt>
                <c:pt idx="657">
                  <c:v>7.401410761154855</c:v>
                </c:pt>
                <c:pt idx="658">
                  <c:v>7.401410761154855</c:v>
                </c:pt>
                <c:pt idx="660">
                  <c:v>7.401410761154855</c:v>
                </c:pt>
                <c:pt idx="661">
                  <c:v>7.401410761154855</c:v>
                </c:pt>
                <c:pt idx="662">
                  <c:v>7.401410761154855</c:v>
                </c:pt>
                <c:pt idx="663">
                  <c:v>7.401410761154855</c:v>
                </c:pt>
                <c:pt idx="664">
                  <c:v>7.401410761154855</c:v>
                </c:pt>
                <c:pt idx="666">
                  <c:v>7.401410761154855</c:v>
                </c:pt>
                <c:pt idx="667">
                  <c:v>7.401410761154855</c:v>
                </c:pt>
                <c:pt idx="668">
                  <c:v>7.401410761154855</c:v>
                </c:pt>
                <c:pt idx="669">
                  <c:v>7.401410761154855</c:v>
                </c:pt>
                <c:pt idx="670">
                  <c:v>7.401410761154855</c:v>
                </c:pt>
                <c:pt idx="672">
                  <c:v>7.401410761154855</c:v>
                </c:pt>
                <c:pt idx="673">
                  <c:v>7.401410761154855</c:v>
                </c:pt>
                <c:pt idx="674">
                  <c:v>7.401410761154855</c:v>
                </c:pt>
                <c:pt idx="675">
                  <c:v>7.401410761154855</c:v>
                </c:pt>
                <c:pt idx="676">
                  <c:v>7.401410761154855</c:v>
                </c:pt>
                <c:pt idx="678">
                  <c:v>7.401410761154855</c:v>
                </c:pt>
                <c:pt idx="679">
                  <c:v>7.401410761154855</c:v>
                </c:pt>
                <c:pt idx="680">
                  <c:v>7.401410761154855</c:v>
                </c:pt>
                <c:pt idx="681">
                  <c:v>7.401410761154855</c:v>
                </c:pt>
                <c:pt idx="682">
                  <c:v>7.401410761154855</c:v>
                </c:pt>
                <c:pt idx="684">
                  <c:v>7.401410761154855</c:v>
                </c:pt>
                <c:pt idx="685">
                  <c:v>7.401410761154855</c:v>
                </c:pt>
                <c:pt idx="686">
                  <c:v>7.401410761154855</c:v>
                </c:pt>
                <c:pt idx="687">
                  <c:v>7.401410761154855</c:v>
                </c:pt>
                <c:pt idx="688">
                  <c:v>7.401410761154855</c:v>
                </c:pt>
                <c:pt idx="690">
                  <c:v>7.401410761154855</c:v>
                </c:pt>
                <c:pt idx="691">
                  <c:v>7.401410761154855</c:v>
                </c:pt>
                <c:pt idx="692">
                  <c:v>7.401410761154855</c:v>
                </c:pt>
                <c:pt idx="693">
                  <c:v>7.401410761154855</c:v>
                </c:pt>
                <c:pt idx="694">
                  <c:v>7.401410761154855</c:v>
                </c:pt>
                <c:pt idx="696">
                  <c:v>7.401410761154855</c:v>
                </c:pt>
                <c:pt idx="697">
                  <c:v>7.401410761154855</c:v>
                </c:pt>
                <c:pt idx="698">
                  <c:v>7.401410761154855</c:v>
                </c:pt>
                <c:pt idx="699">
                  <c:v>7.401410761154855</c:v>
                </c:pt>
                <c:pt idx="700">
                  <c:v>7.401410761154855</c:v>
                </c:pt>
                <c:pt idx="702">
                  <c:v>7.401410761154855</c:v>
                </c:pt>
                <c:pt idx="703">
                  <c:v>7.401410761154855</c:v>
                </c:pt>
                <c:pt idx="704">
                  <c:v>7.401410761154855</c:v>
                </c:pt>
                <c:pt idx="705">
                  <c:v>7.401410761154855</c:v>
                </c:pt>
                <c:pt idx="706">
                  <c:v>7.401410761154855</c:v>
                </c:pt>
                <c:pt idx="708">
                  <c:v>7.401410761154855</c:v>
                </c:pt>
                <c:pt idx="709">
                  <c:v>7.401410761154855</c:v>
                </c:pt>
                <c:pt idx="710">
                  <c:v>7.401410761154855</c:v>
                </c:pt>
                <c:pt idx="711">
                  <c:v>7.401410761154855</c:v>
                </c:pt>
                <c:pt idx="712">
                  <c:v>7.401410761154855</c:v>
                </c:pt>
                <c:pt idx="714">
                  <c:v>7.401410761154855</c:v>
                </c:pt>
                <c:pt idx="715">
                  <c:v>7.401410761154855</c:v>
                </c:pt>
                <c:pt idx="716">
                  <c:v>7.401410761154855</c:v>
                </c:pt>
                <c:pt idx="717">
                  <c:v>7.401410761154855</c:v>
                </c:pt>
                <c:pt idx="718">
                  <c:v>7.401410761154855</c:v>
                </c:pt>
                <c:pt idx="720">
                  <c:v>7.401410761154855</c:v>
                </c:pt>
                <c:pt idx="721">
                  <c:v>7.401410761154855</c:v>
                </c:pt>
                <c:pt idx="722">
                  <c:v>7.401410761154855</c:v>
                </c:pt>
                <c:pt idx="723">
                  <c:v>7.401410761154855</c:v>
                </c:pt>
                <c:pt idx="724">
                  <c:v>7.401410761154855</c:v>
                </c:pt>
                <c:pt idx="726">
                  <c:v>7.401410761154855</c:v>
                </c:pt>
                <c:pt idx="727">
                  <c:v>7.401410761154855</c:v>
                </c:pt>
                <c:pt idx="728">
                  <c:v>7.401410761154855</c:v>
                </c:pt>
                <c:pt idx="729">
                  <c:v>7.401410761154855</c:v>
                </c:pt>
                <c:pt idx="730">
                  <c:v>7.401410761154855</c:v>
                </c:pt>
                <c:pt idx="732">
                  <c:v>7.401410761154855</c:v>
                </c:pt>
                <c:pt idx="733">
                  <c:v>7.401410761154855</c:v>
                </c:pt>
                <c:pt idx="734">
                  <c:v>7.401410761154855</c:v>
                </c:pt>
                <c:pt idx="735">
                  <c:v>7.401410761154855</c:v>
                </c:pt>
                <c:pt idx="736">
                  <c:v>7.401410761154855</c:v>
                </c:pt>
                <c:pt idx="738">
                  <c:v>7.401410761154855</c:v>
                </c:pt>
                <c:pt idx="739">
                  <c:v>7.401410761154855</c:v>
                </c:pt>
                <c:pt idx="740">
                  <c:v>7.401410761154855</c:v>
                </c:pt>
                <c:pt idx="741">
                  <c:v>7.401410761154855</c:v>
                </c:pt>
                <c:pt idx="742">
                  <c:v>7.401410761154855</c:v>
                </c:pt>
                <c:pt idx="744">
                  <c:v>7.401410761154855</c:v>
                </c:pt>
                <c:pt idx="745">
                  <c:v>7.401410761154855</c:v>
                </c:pt>
                <c:pt idx="746">
                  <c:v>7.401410761154855</c:v>
                </c:pt>
                <c:pt idx="747">
                  <c:v>7.401410761154855</c:v>
                </c:pt>
                <c:pt idx="748">
                  <c:v>7.401410761154855</c:v>
                </c:pt>
                <c:pt idx="750">
                  <c:v>7.401410761154855</c:v>
                </c:pt>
                <c:pt idx="751">
                  <c:v>7.401410761154855</c:v>
                </c:pt>
                <c:pt idx="752">
                  <c:v>7.401410761154855</c:v>
                </c:pt>
                <c:pt idx="753">
                  <c:v>7.401410761154855</c:v>
                </c:pt>
                <c:pt idx="754">
                  <c:v>7.401410761154855</c:v>
                </c:pt>
                <c:pt idx="756">
                  <c:v>7.401410761154855</c:v>
                </c:pt>
                <c:pt idx="757">
                  <c:v>7.401410761154855</c:v>
                </c:pt>
                <c:pt idx="758">
                  <c:v>7.401410761154855</c:v>
                </c:pt>
                <c:pt idx="759">
                  <c:v>7.401410761154855</c:v>
                </c:pt>
                <c:pt idx="760">
                  <c:v>7.401410761154855</c:v>
                </c:pt>
                <c:pt idx="762">
                  <c:v>7.401410761154855</c:v>
                </c:pt>
                <c:pt idx="763">
                  <c:v>7.401410761154855</c:v>
                </c:pt>
                <c:pt idx="764">
                  <c:v>7.401410761154855</c:v>
                </c:pt>
                <c:pt idx="765">
                  <c:v>7.401410761154855</c:v>
                </c:pt>
                <c:pt idx="766">
                  <c:v>7.401410761154855</c:v>
                </c:pt>
                <c:pt idx="768">
                  <c:v>7.401410761154855</c:v>
                </c:pt>
                <c:pt idx="769">
                  <c:v>7.401410761154855</c:v>
                </c:pt>
                <c:pt idx="770">
                  <c:v>7.401410761154855</c:v>
                </c:pt>
                <c:pt idx="771">
                  <c:v>7.401410761154855</c:v>
                </c:pt>
                <c:pt idx="772">
                  <c:v>7.401410761154855</c:v>
                </c:pt>
                <c:pt idx="774">
                  <c:v>7.401410761154855</c:v>
                </c:pt>
                <c:pt idx="775">
                  <c:v>7.401410761154855</c:v>
                </c:pt>
                <c:pt idx="776">
                  <c:v>7.401410761154855</c:v>
                </c:pt>
                <c:pt idx="777">
                  <c:v>7.401410761154855</c:v>
                </c:pt>
                <c:pt idx="778">
                  <c:v>7.401410761154855</c:v>
                </c:pt>
                <c:pt idx="780">
                  <c:v>7.401410761154855</c:v>
                </c:pt>
                <c:pt idx="781">
                  <c:v>7.401410761154855</c:v>
                </c:pt>
                <c:pt idx="782">
                  <c:v>7.401410761154855</c:v>
                </c:pt>
                <c:pt idx="783">
                  <c:v>7.401410761154855</c:v>
                </c:pt>
                <c:pt idx="784">
                  <c:v>7.401410761154855</c:v>
                </c:pt>
                <c:pt idx="786">
                  <c:v>7.401410761154855</c:v>
                </c:pt>
                <c:pt idx="787">
                  <c:v>7.401410761154855</c:v>
                </c:pt>
                <c:pt idx="788">
                  <c:v>7.401410761154855</c:v>
                </c:pt>
                <c:pt idx="789">
                  <c:v>7.401410761154855</c:v>
                </c:pt>
                <c:pt idx="790">
                  <c:v>7.401410761154855</c:v>
                </c:pt>
                <c:pt idx="792">
                  <c:v>7.401410761154855</c:v>
                </c:pt>
                <c:pt idx="793">
                  <c:v>7.401410761154855</c:v>
                </c:pt>
                <c:pt idx="794">
                  <c:v>7.401410761154855</c:v>
                </c:pt>
                <c:pt idx="795">
                  <c:v>7.401410761154855</c:v>
                </c:pt>
                <c:pt idx="796">
                  <c:v>7.401410761154855</c:v>
                </c:pt>
                <c:pt idx="798">
                  <c:v>7.401410761154855</c:v>
                </c:pt>
                <c:pt idx="799">
                  <c:v>7.401410761154855</c:v>
                </c:pt>
                <c:pt idx="800">
                  <c:v>7.401410761154855</c:v>
                </c:pt>
                <c:pt idx="801">
                  <c:v>7.401410761154855</c:v>
                </c:pt>
                <c:pt idx="802">
                  <c:v>7.401410761154855</c:v>
                </c:pt>
                <c:pt idx="804">
                  <c:v>7.401410761154855</c:v>
                </c:pt>
                <c:pt idx="805">
                  <c:v>7.401410761154855</c:v>
                </c:pt>
                <c:pt idx="806">
                  <c:v>7.401410761154855</c:v>
                </c:pt>
                <c:pt idx="807">
                  <c:v>7.401410761154855</c:v>
                </c:pt>
                <c:pt idx="808">
                  <c:v>7.401410761154855</c:v>
                </c:pt>
                <c:pt idx="810">
                  <c:v>7.401410761154855</c:v>
                </c:pt>
                <c:pt idx="811">
                  <c:v>7.401410761154855</c:v>
                </c:pt>
                <c:pt idx="812">
                  <c:v>7.401410761154855</c:v>
                </c:pt>
                <c:pt idx="813">
                  <c:v>7.401410761154855</c:v>
                </c:pt>
                <c:pt idx="814">
                  <c:v>7.401410761154855</c:v>
                </c:pt>
                <c:pt idx="816">
                  <c:v>7.401410761154855</c:v>
                </c:pt>
                <c:pt idx="817">
                  <c:v>7.401410761154855</c:v>
                </c:pt>
                <c:pt idx="818">
                  <c:v>7.401410761154855</c:v>
                </c:pt>
                <c:pt idx="819">
                  <c:v>7.401410761154855</c:v>
                </c:pt>
                <c:pt idx="820">
                  <c:v>7.401410761154855</c:v>
                </c:pt>
                <c:pt idx="822">
                  <c:v>7.401410761154855</c:v>
                </c:pt>
                <c:pt idx="823">
                  <c:v>7.401410761154855</c:v>
                </c:pt>
                <c:pt idx="824">
                  <c:v>7.401410761154855</c:v>
                </c:pt>
                <c:pt idx="825">
                  <c:v>7.401410761154855</c:v>
                </c:pt>
                <c:pt idx="826">
                  <c:v>7.401410761154855</c:v>
                </c:pt>
                <c:pt idx="828">
                  <c:v>7.401410761154855</c:v>
                </c:pt>
                <c:pt idx="829">
                  <c:v>7.401410761154855</c:v>
                </c:pt>
                <c:pt idx="830">
                  <c:v>7.401410761154855</c:v>
                </c:pt>
                <c:pt idx="831">
                  <c:v>7.401410761154855</c:v>
                </c:pt>
                <c:pt idx="832">
                  <c:v>7.401410761154855</c:v>
                </c:pt>
                <c:pt idx="834">
                  <c:v>7.401410761154855</c:v>
                </c:pt>
                <c:pt idx="835">
                  <c:v>7.401410761154855</c:v>
                </c:pt>
                <c:pt idx="836">
                  <c:v>7.401410761154855</c:v>
                </c:pt>
                <c:pt idx="837">
                  <c:v>7.401410761154855</c:v>
                </c:pt>
                <c:pt idx="838">
                  <c:v>7.401410761154855</c:v>
                </c:pt>
                <c:pt idx="840">
                  <c:v>7.401410761154855</c:v>
                </c:pt>
                <c:pt idx="841">
                  <c:v>7.401410761154855</c:v>
                </c:pt>
                <c:pt idx="842">
                  <c:v>7.401410761154855</c:v>
                </c:pt>
                <c:pt idx="843">
                  <c:v>7.401410761154855</c:v>
                </c:pt>
                <c:pt idx="844">
                  <c:v>7.401410761154855</c:v>
                </c:pt>
                <c:pt idx="846">
                  <c:v>7.401410761154855</c:v>
                </c:pt>
                <c:pt idx="847">
                  <c:v>7.401410761154855</c:v>
                </c:pt>
                <c:pt idx="848">
                  <c:v>7.401410761154855</c:v>
                </c:pt>
                <c:pt idx="849">
                  <c:v>7.401410761154855</c:v>
                </c:pt>
                <c:pt idx="850">
                  <c:v>7.401410761154855</c:v>
                </c:pt>
                <c:pt idx="852">
                  <c:v>7.401410761154855</c:v>
                </c:pt>
                <c:pt idx="853">
                  <c:v>7.401410761154855</c:v>
                </c:pt>
                <c:pt idx="854">
                  <c:v>7.401410761154855</c:v>
                </c:pt>
                <c:pt idx="855">
                  <c:v>7.401410761154855</c:v>
                </c:pt>
                <c:pt idx="856">
                  <c:v>7.401410761154855</c:v>
                </c:pt>
                <c:pt idx="858">
                  <c:v>7.401410761154855</c:v>
                </c:pt>
                <c:pt idx="859">
                  <c:v>7.401410761154855</c:v>
                </c:pt>
                <c:pt idx="860">
                  <c:v>7.401410761154855</c:v>
                </c:pt>
                <c:pt idx="861">
                  <c:v>7.401410761154855</c:v>
                </c:pt>
                <c:pt idx="862">
                  <c:v>7.401410761154855</c:v>
                </c:pt>
                <c:pt idx="864">
                  <c:v>7.401410761154855</c:v>
                </c:pt>
                <c:pt idx="865">
                  <c:v>7.401410761154855</c:v>
                </c:pt>
                <c:pt idx="866">
                  <c:v>7.401410761154855</c:v>
                </c:pt>
                <c:pt idx="867">
                  <c:v>7.401410761154855</c:v>
                </c:pt>
                <c:pt idx="868">
                  <c:v>7.401410761154855</c:v>
                </c:pt>
                <c:pt idx="870">
                  <c:v>7.401410761154855</c:v>
                </c:pt>
                <c:pt idx="871">
                  <c:v>7.401410761154855</c:v>
                </c:pt>
                <c:pt idx="872">
                  <c:v>7.401410761154855</c:v>
                </c:pt>
                <c:pt idx="873">
                  <c:v>7.401410761154855</c:v>
                </c:pt>
                <c:pt idx="874">
                  <c:v>7.401410761154855</c:v>
                </c:pt>
                <c:pt idx="876">
                  <c:v>7.401410761154855</c:v>
                </c:pt>
                <c:pt idx="877">
                  <c:v>7.401410761154855</c:v>
                </c:pt>
                <c:pt idx="878">
                  <c:v>7.401410761154855</c:v>
                </c:pt>
                <c:pt idx="879">
                  <c:v>7.401410761154855</c:v>
                </c:pt>
                <c:pt idx="880">
                  <c:v>7.401410761154855</c:v>
                </c:pt>
                <c:pt idx="882">
                  <c:v>7.401410761154855</c:v>
                </c:pt>
                <c:pt idx="883">
                  <c:v>7.401410761154855</c:v>
                </c:pt>
                <c:pt idx="884">
                  <c:v>7.401410761154855</c:v>
                </c:pt>
                <c:pt idx="885">
                  <c:v>7.401410761154855</c:v>
                </c:pt>
                <c:pt idx="886">
                  <c:v>7.401410761154855</c:v>
                </c:pt>
                <c:pt idx="888">
                  <c:v>7.401410761154855</c:v>
                </c:pt>
                <c:pt idx="889">
                  <c:v>7.401410761154855</c:v>
                </c:pt>
                <c:pt idx="890">
                  <c:v>7.401410761154855</c:v>
                </c:pt>
                <c:pt idx="891">
                  <c:v>7.401410761154855</c:v>
                </c:pt>
                <c:pt idx="892">
                  <c:v>7.401410761154855</c:v>
                </c:pt>
                <c:pt idx="894">
                  <c:v>7.401410761154855</c:v>
                </c:pt>
                <c:pt idx="895">
                  <c:v>7.401410761154855</c:v>
                </c:pt>
                <c:pt idx="896">
                  <c:v>7.401410761154855</c:v>
                </c:pt>
                <c:pt idx="897">
                  <c:v>7.401410761154855</c:v>
                </c:pt>
                <c:pt idx="898">
                  <c:v>7.401410761154855</c:v>
                </c:pt>
                <c:pt idx="900">
                  <c:v>7.401410761154855</c:v>
                </c:pt>
                <c:pt idx="901">
                  <c:v>7.401410761154855</c:v>
                </c:pt>
                <c:pt idx="902">
                  <c:v>7.401410761154855</c:v>
                </c:pt>
                <c:pt idx="903">
                  <c:v>7.401410761154855</c:v>
                </c:pt>
                <c:pt idx="904">
                  <c:v>7.401410761154855</c:v>
                </c:pt>
                <c:pt idx="906">
                  <c:v>7.401410761154855</c:v>
                </c:pt>
                <c:pt idx="907">
                  <c:v>7.401410761154855</c:v>
                </c:pt>
                <c:pt idx="908">
                  <c:v>7.401410761154855</c:v>
                </c:pt>
                <c:pt idx="909">
                  <c:v>7.401410761154855</c:v>
                </c:pt>
                <c:pt idx="910">
                  <c:v>7.401410761154855</c:v>
                </c:pt>
                <c:pt idx="912">
                  <c:v>7.401410761154855</c:v>
                </c:pt>
                <c:pt idx="913">
                  <c:v>7.401410761154855</c:v>
                </c:pt>
                <c:pt idx="914">
                  <c:v>7.401410761154855</c:v>
                </c:pt>
                <c:pt idx="915">
                  <c:v>7.401410761154855</c:v>
                </c:pt>
                <c:pt idx="916">
                  <c:v>7.401410761154855</c:v>
                </c:pt>
                <c:pt idx="918">
                  <c:v>7.401410761154855</c:v>
                </c:pt>
                <c:pt idx="919">
                  <c:v>7.401410761154855</c:v>
                </c:pt>
                <c:pt idx="920">
                  <c:v>7.401410761154855</c:v>
                </c:pt>
                <c:pt idx="921">
                  <c:v>7.401410761154855</c:v>
                </c:pt>
                <c:pt idx="922">
                  <c:v>7.401410761154855</c:v>
                </c:pt>
                <c:pt idx="924">
                  <c:v>7.401410761154855</c:v>
                </c:pt>
                <c:pt idx="925">
                  <c:v>7.401410761154855</c:v>
                </c:pt>
                <c:pt idx="926">
                  <c:v>7.401410761154855</c:v>
                </c:pt>
                <c:pt idx="927">
                  <c:v>7.401410761154855</c:v>
                </c:pt>
                <c:pt idx="928">
                  <c:v>7.401410761154855</c:v>
                </c:pt>
                <c:pt idx="930">
                  <c:v>7.401410761154855</c:v>
                </c:pt>
                <c:pt idx="931">
                  <c:v>7.401410761154855</c:v>
                </c:pt>
                <c:pt idx="932">
                  <c:v>7.401410761154855</c:v>
                </c:pt>
                <c:pt idx="933">
                  <c:v>7.401410761154855</c:v>
                </c:pt>
                <c:pt idx="934">
                  <c:v>7.401410761154855</c:v>
                </c:pt>
                <c:pt idx="936">
                  <c:v>7.401410761154855</c:v>
                </c:pt>
                <c:pt idx="937">
                  <c:v>7.401410761154855</c:v>
                </c:pt>
                <c:pt idx="938">
                  <c:v>7.401410761154855</c:v>
                </c:pt>
                <c:pt idx="939">
                  <c:v>7.401410761154855</c:v>
                </c:pt>
                <c:pt idx="940">
                  <c:v>7.401410761154855</c:v>
                </c:pt>
                <c:pt idx="942">
                  <c:v>7.401410761154855</c:v>
                </c:pt>
                <c:pt idx="943">
                  <c:v>7.401410761154855</c:v>
                </c:pt>
                <c:pt idx="944">
                  <c:v>7.401410761154855</c:v>
                </c:pt>
                <c:pt idx="945">
                  <c:v>7.401410761154855</c:v>
                </c:pt>
                <c:pt idx="946">
                  <c:v>7.401410761154855</c:v>
                </c:pt>
                <c:pt idx="948">
                  <c:v>7.401410761154855</c:v>
                </c:pt>
                <c:pt idx="949">
                  <c:v>7.401410761154855</c:v>
                </c:pt>
                <c:pt idx="950">
                  <c:v>7.401410761154855</c:v>
                </c:pt>
                <c:pt idx="951">
                  <c:v>7.401410761154855</c:v>
                </c:pt>
                <c:pt idx="952">
                  <c:v>7.401410761154855</c:v>
                </c:pt>
                <c:pt idx="954">
                  <c:v>7.401410761154855</c:v>
                </c:pt>
                <c:pt idx="955">
                  <c:v>7.401410761154855</c:v>
                </c:pt>
                <c:pt idx="956">
                  <c:v>7.401410761154855</c:v>
                </c:pt>
                <c:pt idx="957">
                  <c:v>7.401410761154855</c:v>
                </c:pt>
                <c:pt idx="958">
                  <c:v>7.401410761154855</c:v>
                </c:pt>
                <c:pt idx="960">
                  <c:v>7.401410761154855</c:v>
                </c:pt>
                <c:pt idx="961">
                  <c:v>7.401410761154855</c:v>
                </c:pt>
                <c:pt idx="962">
                  <c:v>7.401410761154855</c:v>
                </c:pt>
                <c:pt idx="963">
                  <c:v>7.401410761154855</c:v>
                </c:pt>
                <c:pt idx="964">
                  <c:v>7.401410761154855</c:v>
                </c:pt>
                <c:pt idx="966">
                  <c:v>7.401410761154855</c:v>
                </c:pt>
                <c:pt idx="967">
                  <c:v>7.401410761154855</c:v>
                </c:pt>
                <c:pt idx="968">
                  <c:v>7.401410761154855</c:v>
                </c:pt>
                <c:pt idx="969">
                  <c:v>7.401410761154855</c:v>
                </c:pt>
                <c:pt idx="970">
                  <c:v>7.401410761154855</c:v>
                </c:pt>
                <c:pt idx="972">
                  <c:v>7.401410761154855</c:v>
                </c:pt>
                <c:pt idx="973">
                  <c:v>7.401410761154855</c:v>
                </c:pt>
                <c:pt idx="974">
                  <c:v>7.401410761154855</c:v>
                </c:pt>
                <c:pt idx="975">
                  <c:v>7.401410761154855</c:v>
                </c:pt>
                <c:pt idx="976">
                  <c:v>7.401410761154855</c:v>
                </c:pt>
                <c:pt idx="978">
                  <c:v>7.401410761154855</c:v>
                </c:pt>
                <c:pt idx="979">
                  <c:v>7.401410761154855</c:v>
                </c:pt>
                <c:pt idx="980">
                  <c:v>7.401410761154855</c:v>
                </c:pt>
                <c:pt idx="981">
                  <c:v>7.401410761154855</c:v>
                </c:pt>
                <c:pt idx="982">
                  <c:v>7.401410761154855</c:v>
                </c:pt>
                <c:pt idx="984">
                  <c:v>7.401410761154855</c:v>
                </c:pt>
                <c:pt idx="985">
                  <c:v>7.401410761154855</c:v>
                </c:pt>
                <c:pt idx="986">
                  <c:v>7.401410761154855</c:v>
                </c:pt>
                <c:pt idx="987">
                  <c:v>7.401410761154855</c:v>
                </c:pt>
                <c:pt idx="988">
                  <c:v>7.401410761154855</c:v>
                </c:pt>
                <c:pt idx="990">
                  <c:v>7.401410761154855</c:v>
                </c:pt>
                <c:pt idx="991">
                  <c:v>7.401410761154855</c:v>
                </c:pt>
                <c:pt idx="992">
                  <c:v>7.401410761154855</c:v>
                </c:pt>
                <c:pt idx="993">
                  <c:v>7.401410761154855</c:v>
                </c:pt>
                <c:pt idx="994">
                  <c:v>7.401410761154855</c:v>
                </c:pt>
                <c:pt idx="996">
                  <c:v>7.401410761154855</c:v>
                </c:pt>
                <c:pt idx="997">
                  <c:v>7.401410761154855</c:v>
                </c:pt>
                <c:pt idx="998">
                  <c:v>7.401410761154855</c:v>
                </c:pt>
                <c:pt idx="999">
                  <c:v>7.401410761154855</c:v>
                </c:pt>
                <c:pt idx="1000">
                  <c:v>7.401410761154855</c:v>
                </c:pt>
                <c:pt idx="1002">
                  <c:v>7.401410761154855</c:v>
                </c:pt>
                <c:pt idx="1003">
                  <c:v>7.401410761154855</c:v>
                </c:pt>
                <c:pt idx="1004">
                  <c:v>7.401410761154855</c:v>
                </c:pt>
                <c:pt idx="1005">
                  <c:v>7.401410761154855</c:v>
                </c:pt>
                <c:pt idx="1006">
                  <c:v>7.401410761154855</c:v>
                </c:pt>
                <c:pt idx="1008">
                  <c:v>7.401410761154855</c:v>
                </c:pt>
                <c:pt idx="1009">
                  <c:v>7.401410761154855</c:v>
                </c:pt>
                <c:pt idx="1010">
                  <c:v>7.401410761154855</c:v>
                </c:pt>
                <c:pt idx="1011">
                  <c:v>7.401410761154855</c:v>
                </c:pt>
                <c:pt idx="1012">
                  <c:v>7.401410761154855</c:v>
                </c:pt>
                <c:pt idx="1014">
                  <c:v>7.401410761154855</c:v>
                </c:pt>
                <c:pt idx="1015">
                  <c:v>7.401410761154855</c:v>
                </c:pt>
                <c:pt idx="1016">
                  <c:v>7.401410761154855</c:v>
                </c:pt>
                <c:pt idx="1017">
                  <c:v>7.401410761154855</c:v>
                </c:pt>
                <c:pt idx="1018">
                  <c:v>7.401410761154855</c:v>
                </c:pt>
                <c:pt idx="1020">
                  <c:v>7.401410761154855</c:v>
                </c:pt>
                <c:pt idx="1021">
                  <c:v>7.401410761154855</c:v>
                </c:pt>
                <c:pt idx="1022">
                  <c:v>7.401410761154855</c:v>
                </c:pt>
                <c:pt idx="1023">
                  <c:v>7.401410761154855</c:v>
                </c:pt>
                <c:pt idx="1024">
                  <c:v>7.401410761154855</c:v>
                </c:pt>
                <c:pt idx="1026">
                  <c:v>7.401410761154855</c:v>
                </c:pt>
                <c:pt idx="1027">
                  <c:v>7.401410761154855</c:v>
                </c:pt>
                <c:pt idx="1028">
                  <c:v>7.401410761154855</c:v>
                </c:pt>
                <c:pt idx="1029">
                  <c:v>7.401410761154855</c:v>
                </c:pt>
                <c:pt idx="1030">
                  <c:v>7.401410761154855</c:v>
                </c:pt>
                <c:pt idx="1032">
                  <c:v>7.401410761154855</c:v>
                </c:pt>
                <c:pt idx="1033">
                  <c:v>7.401410761154855</c:v>
                </c:pt>
                <c:pt idx="1034">
                  <c:v>7.401410761154855</c:v>
                </c:pt>
                <c:pt idx="1035">
                  <c:v>7.401410761154855</c:v>
                </c:pt>
                <c:pt idx="1036">
                  <c:v>7.401410761154855</c:v>
                </c:pt>
                <c:pt idx="1038">
                  <c:v>7.401410761154855</c:v>
                </c:pt>
                <c:pt idx="1039">
                  <c:v>7.401410761154855</c:v>
                </c:pt>
                <c:pt idx="1040">
                  <c:v>7.401410761154855</c:v>
                </c:pt>
                <c:pt idx="1041">
                  <c:v>7.401410761154855</c:v>
                </c:pt>
                <c:pt idx="1042">
                  <c:v>7.401410761154855</c:v>
                </c:pt>
                <c:pt idx="1044">
                  <c:v>7.401410761154855</c:v>
                </c:pt>
                <c:pt idx="1045">
                  <c:v>7.401410761154855</c:v>
                </c:pt>
                <c:pt idx="1046">
                  <c:v>7.401410761154855</c:v>
                </c:pt>
                <c:pt idx="1047">
                  <c:v>7.401410761154855</c:v>
                </c:pt>
                <c:pt idx="1048">
                  <c:v>7.401410761154855</c:v>
                </c:pt>
                <c:pt idx="1050">
                  <c:v>7.401410761154855</c:v>
                </c:pt>
                <c:pt idx="1051">
                  <c:v>7.401410761154855</c:v>
                </c:pt>
                <c:pt idx="1052">
                  <c:v>7.401410761154855</c:v>
                </c:pt>
                <c:pt idx="1053">
                  <c:v>7.401410761154855</c:v>
                </c:pt>
                <c:pt idx="1054">
                  <c:v>7.401410761154855</c:v>
                </c:pt>
                <c:pt idx="1056">
                  <c:v>7.401410761154855</c:v>
                </c:pt>
                <c:pt idx="1057">
                  <c:v>7.401410761154855</c:v>
                </c:pt>
                <c:pt idx="1058">
                  <c:v>7.401410761154855</c:v>
                </c:pt>
                <c:pt idx="1059">
                  <c:v>7.401410761154855</c:v>
                </c:pt>
                <c:pt idx="1060">
                  <c:v>7.401410761154855</c:v>
                </c:pt>
                <c:pt idx="1062">
                  <c:v>7.401410761154855</c:v>
                </c:pt>
                <c:pt idx="1063">
                  <c:v>7.401410761154855</c:v>
                </c:pt>
                <c:pt idx="1064">
                  <c:v>7.401410761154855</c:v>
                </c:pt>
                <c:pt idx="1065">
                  <c:v>7.401410761154855</c:v>
                </c:pt>
                <c:pt idx="1066">
                  <c:v>7.401410761154855</c:v>
                </c:pt>
                <c:pt idx="1068">
                  <c:v>7.401410761154855</c:v>
                </c:pt>
                <c:pt idx="1069">
                  <c:v>7.401410761154855</c:v>
                </c:pt>
                <c:pt idx="1070">
                  <c:v>7.401410761154855</c:v>
                </c:pt>
                <c:pt idx="1071">
                  <c:v>7.401410761154855</c:v>
                </c:pt>
                <c:pt idx="1072">
                  <c:v>7.401410761154855</c:v>
                </c:pt>
                <c:pt idx="1074">
                  <c:v>7.401410761154855</c:v>
                </c:pt>
                <c:pt idx="1075">
                  <c:v>7.401410761154855</c:v>
                </c:pt>
                <c:pt idx="1076">
                  <c:v>7.401410761154855</c:v>
                </c:pt>
                <c:pt idx="1077">
                  <c:v>7.401410761154855</c:v>
                </c:pt>
                <c:pt idx="1078">
                  <c:v>7.401410761154855</c:v>
                </c:pt>
                <c:pt idx="1080">
                  <c:v>7.401410761154855</c:v>
                </c:pt>
                <c:pt idx="1081">
                  <c:v>7.401410761154855</c:v>
                </c:pt>
                <c:pt idx="1082">
                  <c:v>7.401410761154855</c:v>
                </c:pt>
                <c:pt idx="1083">
                  <c:v>7.401410761154855</c:v>
                </c:pt>
                <c:pt idx="1084">
                  <c:v>7.401410761154855</c:v>
                </c:pt>
                <c:pt idx="1086">
                  <c:v>7.401410761154855</c:v>
                </c:pt>
                <c:pt idx="1087">
                  <c:v>7.401410761154855</c:v>
                </c:pt>
                <c:pt idx="1088">
                  <c:v>7.401410761154855</c:v>
                </c:pt>
                <c:pt idx="1089">
                  <c:v>7.401410761154855</c:v>
                </c:pt>
                <c:pt idx="1090">
                  <c:v>7.401410761154855</c:v>
                </c:pt>
                <c:pt idx="1092">
                  <c:v>7.401410761154855</c:v>
                </c:pt>
                <c:pt idx="1093">
                  <c:v>7.401410761154855</c:v>
                </c:pt>
                <c:pt idx="1094">
                  <c:v>7.401410761154855</c:v>
                </c:pt>
                <c:pt idx="1095">
                  <c:v>7.401410761154855</c:v>
                </c:pt>
                <c:pt idx="1096">
                  <c:v>7.401410761154855</c:v>
                </c:pt>
                <c:pt idx="1098">
                  <c:v>7.401410761154855</c:v>
                </c:pt>
                <c:pt idx="1099">
                  <c:v>7.401410761154855</c:v>
                </c:pt>
                <c:pt idx="1100">
                  <c:v>7.401410761154855</c:v>
                </c:pt>
                <c:pt idx="1101">
                  <c:v>7.401410761154855</c:v>
                </c:pt>
                <c:pt idx="1102">
                  <c:v>7.401410761154855</c:v>
                </c:pt>
                <c:pt idx="1104">
                  <c:v>7.401410761154855</c:v>
                </c:pt>
                <c:pt idx="1105">
                  <c:v>7.401410761154855</c:v>
                </c:pt>
                <c:pt idx="1106">
                  <c:v>7.401410761154855</c:v>
                </c:pt>
                <c:pt idx="1107">
                  <c:v>7.401410761154855</c:v>
                </c:pt>
                <c:pt idx="1108">
                  <c:v>7.401410761154855</c:v>
                </c:pt>
                <c:pt idx="1110">
                  <c:v>7.401410761154855</c:v>
                </c:pt>
                <c:pt idx="1111">
                  <c:v>7.401410761154855</c:v>
                </c:pt>
                <c:pt idx="1112">
                  <c:v>7.401410761154855</c:v>
                </c:pt>
                <c:pt idx="1113">
                  <c:v>7.401410761154855</c:v>
                </c:pt>
                <c:pt idx="1114">
                  <c:v>7.401410761154855</c:v>
                </c:pt>
                <c:pt idx="1116">
                  <c:v>7.401410761154855</c:v>
                </c:pt>
                <c:pt idx="1117">
                  <c:v>7.401410761154855</c:v>
                </c:pt>
                <c:pt idx="1118">
                  <c:v>7.401410761154855</c:v>
                </c:pt>
                <c:pt idx="1119">
                  <c:v>7.401410761154855</c:v>
                </c:pt>
                <c:pt idx="1120">
                  <c:v>7.401410761154855</c:v>
                </c:pt>
                <c:pt idx="1122">
                  <c:v>7.401410761154855</c:v>
                </c:pt>
                <c:pt idx="1123">
                  <c:v>7.401410761154855</c:v>
                </c:pt>
                <c:pt idx="1124">
                  <c:v>7.401410761154855</c:v>
                </c:pt>
                <c:pt idx="1125">
                  <c:v>7.401410761154855</c:v>
                </c:pt>
                <c:pt idx="1126">
                  <c:v>7.401410761154855</c:v>
                </c:pt>
                <c:pt idx="1128">
                  <c:v>7.401410761154855</c:v>
                </c:pt>
                <c:pt idx="1129">
                  <c:v>7.401410761154855</c:v>
                </c:pt>
                <c:pt idx="1130">
                  <c:v>7.401410761154855</c:v>
                </c:pt>
                <c:pt idx="1131">
                  <c:v>7.401410761154855</c:v>
                </c:pt>
                <c:pt idx="1132">
                  <c:v>7.401410761154855</c:v>
                </c:pt>
                <c:pt idx="1134">
                  <c:v>7.401410761154855</c:v>
                </c:pt>
                <c:pt idx="1135">
                  <c:v>7.401410761154855</c:v>
                </c:pt>
                <c:pt idx="1136">
                  <c:v>7.401410761154855</c:v>
                </c:pt>
                <c:pt idx="1137">
                  <c:v>7.401410761154855</c:v>
                </c:pt>
                <c:pt idx="1138">
                  <c:v>7.401410761154855</c:v>
                </c:pt>
                <c:pt idx="1140">
                  <c:v>7.401410761154855</c:v>
                </c:pt>
                <c:pt idx="1141">
                  <c:v>7.401410761154855</c:v>
                </c:pt>
                <c:pt idx="1142">
                  <c:v>7.401410761154855</c:v>
                </c:pt>
                <c:pt idx="1143">
                  <c:v>7.401410761154855</c:v>
                </c:pt>
                <c:pt idx="1144">
                  <c:v>7.401410761154855</c:v>
                </c:pt>
                <c:pt idx="1146">
                  <c:v>7.401410761154855</c:v>
                </c:pt>
                <c:pt idx="1147">
                  <c:v>7.401410761154855</c:v>
                </c:pt>
                <c:pt idx="1148">
                  <c:v>7.401410761154855</c:v>
                </c:pt>
                <c:pt idx="1149">
                  <c:v>7.401410761154855</c:v>
                </c:pt>
                <c:pt idx="1150">
                  <c:v>7.401410761154855</c:v>
                </c:pt>
                <c:pt idx="1152">
                  <c:v>7.401410761154855</c:v>
                </c:pt>
                <c:pt idx="1153">
                  <c:v>7.401410761154855</c:v>
                </c:pt>
                <c:pt idx="1154">
                  <c:v>7.401410761154855</c:v>
                </c:pt>
                <c:pt idx="1155">
                  <c:v>7.401410761154855</c:v>
                </c:pt>
                <c:pt idx="1156">
                  <c:v>7.401410761154855</c:v>
                </c:pt>
                <c:pt idx="1158">
                  <c:v>7.401410761154855</c:v>
                </c:pt>
                <c:pt idx="1159">
                  <c:v>7.401410761154855</c:v>
                </c:pt>
                <c:pt idx="1160">
                  <c:v>7.401410761154855</c:v>
                </c:pt>
                <c:pt idx="1161">
                  <c:v>7.401410761154855</c:v>
                </c:pt>
                <c:pt idx="1162">
                  <c:v>7.401410761154855</c:v>
                </c:pt>
                <c:pt idx="1164">
                  <c:v>7.401410761154855</c:v>
                </c:pt>
                <c:pt idx="1165">
                  <c:v>7.401410761154855</c:v>
                </c:pt>
                <c:pt idx="1166">
                  <c:v>7.401410761154855</c:v>
                </c:pt>
                <c:pt idx="1167">
                  <c:v>7.401410761154855</c:v>
                </c:pt>
                <c:pt idx="1168">
                  <c:v>7.401410761154855</c:v>
                </c:pt>
                <c:pt idx="1170">
                  <c:v>7.401410761154855</c:v>
                </c:pt>
                <c:pt idx="1171">
                  <c:v>7.401410761154855</c:v>
                </c:pt>
                <c:pt idx="1172">
                  <c:v>7.401410761154855</c:v>
                </c:pt>
                <c:pt idx="1173">
                  <c:v>7.401410761154855</c:v>
                </c:pt>
                <c:pt idx="1174">
                  <c:v>7.401410761154855</c:v>
                </c:pt>
                <c:pt idx="1176">
                  <c:v>7.401410761154855</c:v>
                </c:pt>
                <c:pt idx="1177">
                  <c:v>7.401410761154855</c:v>
                </c:pt>
                <c:pt idx="1178">
                  <c:v>7.401410761154855</c:v>
                </c:pt>
                <c:pt idx="1179">
                  <c:v>7.401410761154855</c:v>
                </c:pt>
                <c:pt idx="1180">
                  <c:v>7.401410761154855</c:v>
                </c:pt>
                <c:pt idx="1182">
                  <c:v>7.401410761154855</c:v>
                </c:pt>
                <c:pt idx="1183">
                  <c:v>7.401410761154855</c:v>
                </c:pt>
                <c:pt idx="1184">
                  <c:v>7.401410761154855</c:v>
                </c:pt>
                <c:pt idx="1185">
                  <c:v>7.401410761154855</c:v>
                </c:pt>
                <c:pt idx="1186">
                  <c:v>7.401410761154855</c:v>
                </c:pt>
                <c:pt idx="1188">
                  <c:v>7.401410761154855</c:v>
                </c:pt>
                <c:pt idx="1189">
                  <c:v>7.401410761154855</c:v>
                </c:pt>
                <c:pt idx="1190">
                  <c:v>7.401410761154855</c:v>
                </c:pt>
                <c:pt idx="1191">
                  <c:v>7.401410761154855</c:v>
                </c:pt>
                <c:pt idx="1192">
                  <c:v>7.401410761154855</c:v>
                </c:pt>
                <c:pt idx="1194">
                  <c:v>7.401410761154855</c:v>
                </c:pt>
                <c:pt idx="1195">
                  <c:v>7.401410761154855</c:v>
                </c:pt>
                <c:pt idx="1196">
                  <c:v>7.401410761154855</c:v>
                </c:pt>
                <c:pt idx="1197">
                  <c:v>7.401410761154855</c:v>
                </c:pt>
                <c:pt idx="1198">
                  <c:v>7.401410761154855</c:v>
                </c:pt>
                <c:pt idx="1200">
                  <c:v>7.401410761154855</c:v>
                </c:pt>
                <c:pt idx="1201">
                  <c:v>7.401410761154855</c:v>
                </c:pt>
                <c:pt idx="1202">
                  <c:v>7.401410761154855</c:v>
                </c:pt>
                <c:pt idx="1203">
                  <c:v>7.401410761154855</c:v>
                </c:pt>
                <c:pt idx="1204">
                  <c:v>7.401410761154855</c:v>
                </c:pt>
                <c:pt idx="1206">
                  <c:v>7.401410761154855</c:v>
                </c:pt>
                <c:pt idx="1207">
                  <c:v>7.401410761154855</c:v>
                </c:pt>
                <c:pt idx="1208">
                  <c:v>7.401410761154855</c:v>
                </c:pt>
                <c:pt idx="1209">
                  <c:v>7.401410761154855</c:v>
                </c:pt>
                <c:pt idx="1210">
                  <c:v>7.401410761154855</c:v>
                </c:pt>
                <c:pt idx="1212">
                  <c:v>7.401410761154855</c:v>
                </c:pt>
                <c:pt idx="1213">
                  <c:v>7.401410761154855</c:v>
                </c:pt>
                <c:pt idx="1214">
                  <c:v>7.401410761154855</c:v>
                </c:pt>
                <c:pt idx="1215">
                  <c:v>7.401410761154855</c:v>
                </c:pt>
                <c:pt idx="1216">
                  <c:v>7.401410761154855</c:v>
                </c:pt>
                <c:pt idx="1218">
                  <c:v>7.401410761154855</c:v>
                </c:pt>
                <c:pt idx="1219">
                  <c:v>7.401410761154855</c:v>
                </c:pt>
                <c:pt idx="1220">
                  <c:v>7.401410761154855</c:v>
                </c:pt>
                <c:pt idx="1221">
                  <c:v>7.401410761154855</c:v>
                </c:pt>
                <c:pt idx="1222">
                  <c:v>7.401410761154855</c:v>
                </c:pt>
                <c:pt idx="1224">
                  <c:v>7.401410761154855</c:v>
                </c:pt>
                <c:pt idx="1225">
                  <c:v>7.401410761154855</c:v>
                </c:pt>
                <c:pt idx="1226">
                  <c:v>7.401410761154855</c:v>
                </c:pt>
                <c:pt idx="1227">
                  <c:v>7.401410761154855</c:v>
                </c:pt>
                <c:pt idx="1228">
                  <c:v>7.401410761154855</c:v>
                </c:pt>
                <c:pt idx="1230">
                  <c:v>7.401410761154855</c:v>
                </c:pt>
                <c:pt idx="1231">
                  <c:v>7.401410761154855</c:v>
                </c:pt>
                <c:pt idx="1232">
                  <c:v>7.401410761154855</c:v>
                </c:pt>
                <c:pt idx="1233">
                  <c:v>7.401410761154855</c:v>
                </c:pt>
                <c:pt idx="1234">
                  <c:v>7.401410761154855</c:v>
                </c:pt>
                <c:pt idx="1236">
                  <c:v>7.401410761154855</c:v>
                </c:pt>
                <c:pt idx="1237">
                  <c:v>7.401410761154855</c:v>
                </c:pt>
                <c:pt idx="1238">
                  <c:v>7.401410761154855</c:v>
                </c:pt>
                <c:pt idx="1239">
                  <c:v>7.401410761154855</c:v>
                </c:pt>
                <c:pt idx="1240">
                  <c:v>7.401410761154855</c:v>
                </c:pt>
                <c:pt idx="1242">
                  <c:v>7.401410761154855</c:v>
                </c:pt>
                <c:pt idx="1243">
                  <c:v>7.401410761154855</c:v>
                </c:pt>
                <c:pt idx="1244">
                  <c:v>7.401410761154855</c:v>
                </c:pt>
                <c:pt idx="1245">
                  <c:v>7.401410761154855</c:v>
                </c:pt>
                <c:pt idx="1246">
                  <c:v>7.401410761154855</c:v>
                </c:pt>
                <c:pt idx="1248">
                  <c:v>7.401410761154855</c:v>
                </c:pt>
                <c:pt idx="1249">
                  <c:v>7.401410761154855</c:v>
                </c:pt>
                <c:pt idx="1250">
                  <c:v>7.401410761154855</c:v>
                </c:pt>
                <c:pt idx="1251">
                  <c:v>7.401410761154855</c:v>
                </c:pt>
                <c:pt idx="1252">
                  <c:v>7.401410761154855</c:v>
                </c:pt>
                <c:pt idx="1254">
                  <c:v>7.401410761154855</c:v>
                </c:pt>
                <c:pt idx="1255">
                  <c:v>7.401410761154855</c:v>
                </c:pt>
                <c:pt idx="1256">
                  <c:v>7.401410761154855</c:v>
                </c:pt>
                <c:pt idx="1257">
                  <c:v>7.401410761154855</c:v>
                </c:pt>
                <c:pt idx="1258">
                  <c:v>7.401410761154855</c:v>
                </c:pt>
                <c:pt idx="1260">
                  <c:v>7.401410761154855</c:v>
                </c:pt>
                <c:pt idx="1261">
                  <c:v>7.401410761154855</c:v>
                </c:pt>
                <c:pt idx="1262">
                  <c:v>7.401410761154855</c:v>
                </c:pt>
                <c:pt idx="1263">
                  <c:v>7.401410761154855</c:v>
                </c:pt>
                <c:pt idx="1264">
                  <c:v>7.401410761154855</c:v>
                </c:pt>
                <c:pt idx="1266">
                  <c:v>7.401410761154855</c:v>
                </c:pt>
                <c:pt idx="1267">
                  <c:v>7.401410761154855</c:v>
                </c:pt>
                <c:pt idx="1268">
                  <c:v>7.401410761154855</c:v>
                </c:pt>
                <c:pt idx="1269">
                  <c:v>7.401410761154855</c:v>
                </c:pt>
                <c:pt idx="1270">
                  <c:v>7.401410761154855</c:v>
                </c:pt>
                <c:pt idx="1272">
                  <c:v>7.401410761154855</c:v>
                </c:pt>
                <c:pt idx="1273">
                  <c:v>7.401410761154855</c:v>
                </c:pt>
                <c:pt idx="1274">
                  <c:v>7.401410761154855</c:v>
                </c:pt>
                <c:pt idx="1275">
                  <c:v>7.401410761154855</c:v>
                </c:pt>
                <c:pt idx="1276">
                  <c:v>7.401410761154855</c:v>
                </c:pt>
                <c:pt idx="1278">
                  <c:v>7.401410761154855</c:v>
                </c:pt>
                <c:pt idx="1279">
                  <c:v>7.401410761154855</c:v>
                </c:pt>
                <c:pt idx="1280">
                  <c:v>7.401410761154855</c:v>
                </c:pt>
                <c:pt idx="1281">
                  <c:v>7.401410761154855</c:v>
                </c:pt>
                <c:pt idx="1282">
                  <c:v>7.401410761154855</c:v>
                </c:pt>
                <c:pt idx="1284">
                  <c:v>7.401410761154855</c:v>
                </c:pt>
                <c:pt idx="1285">
                  <c:v>7.401410761154855</c:v>
                </c:pt>
                <c:pt idx="1286">
                  <c:v>7.401410761154855</c:v>
                </c:pt>
                <c:pt idx="1287">
                  <c:v>7.401410761154855</c:v>
                </c:pt>
                <c:pt idx="1288">
                  <c:v>7.401410761154855</c:v>
                </c:pt>
                <c:pt idx="1290">
                  <c:v>7.401410761154855</c:v>
                </c:pt>
                <c:pt idx="1291">
                  <c:v>7.401410761154855</c:v>
                </c:pt>
                <c:pt idx="1292">
                  <c:v>7.401410761154855</c:v>
                </c:pt>
                <c:pt idx="1293">
                  <c:v>7.401410761154855</c:v>
                </c:pt>
                <c:pt idx="1294">
                  <c:v>7.401410761154855</c:v>
                </c:pt>
                <c:pt idx="1296">
                  <c:v>7.401410761154855</c:v>
                </c:pt>
                <c:pt idx="1297">
                  <c:v>7.401410761154855</c:v>
                </c:pt>
                <c:pt idx="1298">
                  <c:v>7.401410761154855</c:v>
                </c:pt>
                <c:pt idx="1299">
                  <c:v>7.401410761154855</c:v>
                </c:pt>
                <c:pt idx="1300">
                  <c:v>7.401410761154855</c:v>
                </c:pt>
                <c:pt idx="1302">
                  <c:v>7.401410761154855</c:v>
                </c:pt>
                <c:pt idx="1303">
                  <c:v>7.401410761154855</c:v>
                </c:pt>
                <c:pt idx="1304">
                  <c:v>7.401410761154855</c:v>
                </c:pt>
                <c:pt idx="1305">
                  <c:v>7.401410761154855</c:v>
                </c:pt>
                <c:pt idx="1306">
                  <c:v>7.401410761154855</c:v>
                </c:pt>
                <c:pt idx="1308">
                  <c:v>7.401410761154855</c:v>
                </c:pt>
                <c:pt idx="1309">
                  <c:v>7.401410761154855</c:v>
                </c:pt>
                <c:pt idx="1310">
                  <c:v>7.401410761154855</c:v>
                </c:pt>
                <c:pt idx="1311">
                  <c:v>7.401410761154855</c:v>
                </c:pt>
                <c:pt idx="1312">
                  <c:v>7.401410761154855</c:v>
                </c:pt>
                <c:pt idx="1314">
                  <c:v>7.401410761154855</c:v>
                </c:pt>
                <c:pt idx="1315">
                  <c:v>7.401410761154855</c:v>
                </c:pt>
                <c:pt idx="1316">
                  <c:v>7.401410761154855</c:v>
                </c:pt>
                <c:pt idx="1317">
                  <c:v>7.401410761154855</c:v>
                </c:pt>
                <c:pt idx="1318">
                  <c:v>7.401410761154855</c:v>
                </c:pt>
                <c:pt idx="1320">
                  <c:v>7.401410761154855</c:v>
                </c:pt>
                <c:pt idx="1321">
                  <c:v>7.401410761154855</c:v>
                </c:pt>
                <c:pt idx="1322">
                  <c:v>7.401410761154855</c:v>
                </c:pt>
                <c:pt idx="1323">
                  <c:v>7.401410761154855</c:v>
                </c:pt>
                <c:pt idx="1324">
                  <c:v>7.401410761154855</c:v>
                </c:pt>
                <c:pt idx="1326">
                  <c:v>7.401410761154855</c:v>
                </c:pt>
                <c:pt idx="1327">
                  <c:v>7.401410761154855</c:v>
                </c:pt>
                <c:pt idx="1328">
                  <c:v>7.401410761154855</c:v>
                </c:pt>
                <c:pt idx="1329">
                  <c:v>7.401410761154855</c:v>
                </c:pt>
                <c:pt idx="1330">
                  <c:v>7.401410761154855</c:v>
                </c:pt>
                <c:pt idx="1332">
                  <c:v>7.401410761154855</c:v>
                </c:pt>
                <c:pt idx="1333">
                  <c:v>7.401410761154855</c:v>
                </c:pt>
                <c:pt idx="1334">
                  <c:v>7.401410761154855</c:v>
                </c:pt>
                <c:pt idx="1335">
                  <c:v>7.401410761154855</c:v>
                </c:pt>
                <c:pt idx="1336">
                  <c:v>7.401410761154855</c:v>
                </c:pt>
                <c:pt idx="1338">
                  <c:v>7.401410761154855</c:v>
                </c:pt>
                <c:pt idx="1339">
                  <c:v>7.401410761154855</c:v>
                </c:pt>
                <c:pt idx="1340">
                  <c:v>7.401410761154855</c:v>
                </c:pt>
                <c:pt idx="1341">
                  <c:v>7.401410761154855</c:v>
                </c:pt>
                <c:pt idx="1342">
                  <c:v>7.401410761154855</c:v>
                </c:pt>
                <c:pt idx="1344">
                  <c:v>7.401410761154855</c:v>
                </c:pt>
                <c:pt idx="1345">
                  <c:v>7.401410761154855</c:v>
                </c:pt>
                <c:pt idx="1346">
                  <c:v>7.401410761154855</c:v>
                </c:pt>
                <c:pt idx="1347">
                  <c:v>7.401410761154855</c:v>
                </c:pt>
                <c:pt idx="1348">
                  <c:v>7.401410761154855</c:v>
                </c:pt>
                <c:pt idx="1350">
                  <c:v>7.401410761154855</c:v>
                </c:pt>
                <c:pt idx="1351">
                  <c:v>7.401410761154855</c:v>
                </c:pt>
                <c:pt idx="1352">
                  <c:v>7.401410761154855</c:v>
                </c:pt>
                <c:pt idx="1353">
                  <c:v>7.401410761154855</c:v>
                </c:pt>
                <c:pt idx="1354">
                  <c:v>7.401410761154855</c:v>
                </c:pt>
                <c:pt idx="1356">
                  <c:v>7.401410761154855</c:v>
                </c:pt>
                <c:pt idx="1357">
                  <c:v>7.401410761154855</c:v>
                </c:pt>
                <c:pt idx="1358">
                  <c:v>7.401410761154855</c:v>
                </c:pt>
                <c:pt idx="1359">
                  <c:v>7.401410761154855</c:v>
                </c:pt>
                <c:pt idx="1360">
                  <c:v>7.401410761154855</c:v>
                </c:pt>
                <c:pt idx="1362">
                  <c:v>7.401410761154855</c:v>
                </c:pt>
                <c:pt idx="1363">
                  <c:v>7.401410761154855</c:v>
                </c:pt>
                <c:pt idx="1364">
                  <c:v>7.401410761154855</c:v>
                </c:pt>
                <c:pt idx="1365">
                  <c:v>7.401410761154855</c:v>
                </c:pt>
                <c:pt idx="1366">
                  <c:v>7.401410761154855</c:v>
                </c:pt>
                <c:pt idx="1368">
                  <c:v>7.401410761154855</c:v>
                </c:pt>
                <c:pt idx="1369">
                  <c:v>7.401410761154855</c:v>
                </c:pt>
                <c:pt idx="1370">
                  <c:v>7.401410761154855</c:v>
                </c:pt>
                <c:pt idx="1371">
                  <c:v>7.401410761154855</c:v>
                </c:pt>
                <c:pt idx="1372">
                  <c:v>7.401410761154855</c:v>
                </c:pt>
                <c:pt idx="1374">
                  <c:v>7.401410761154855</c:v>
                </c:pt>
                <c:pt idx="1375">
                  <c:v>7.401410761154855</c:v>
                </c:pt>
                <c:pt idx="1376">
                  <c:v>7.401410761154855</c:v>
                </c:pt>
                <c:pt idx="1377">
                  <c:v>7.401410761154855</c:v>
                </c:pt>
                <c:pt idx="1378">
                  <c:v>7.401410761154855</c:v>
                </c:pt>
                <c:pt idx="1380">
                  <c:v>7.401410761154855</c:v>
                </c:pt>
                <c:pt idx="1381">
                  <c:v>7.401410761154855</c:v>
                </c:pt>
                <c:pt idx="1382">
                  <c:v>7.401410761154855</c:v>
                </c:pt>
                <c:pt idx="1383">
                  <c:v>7.401410761154855</c:v>
                </c:pt>
                <c:pt idx="1384">
                  <c:v>7.401410761154855</c:v>
                </c:pt>
                <c:pt idx="1386">
                  <c:v>7.401410761154855</c:v>
                </c:pt>
                <c:pt idx="1387">
                  <c:v>7.401410761154855</c:v>
                </c:pt>
                <c:pt idx="1388">
                  <c:v>7.401410761154855</c:v>
                </c:pt>
                <c:pt idx="1389">
                  <c:v>7.401410761154855</c:v>
                </c:pt>
                <c:pt idx="1390">
                  <c:v>7.401410761154855</c:v>
                </c:pt>
                <c:pt idx="1392">
                  <c:v>7.401410761154855</c:v>
                </c:pt>
                <c:pt idx="1393">
                  <c:v>7.401410761154855</c:v>
                </c:pt>
                <c:pt idx="1394">
                  <c:v>7.401410761154855</c:v>
                </c:pt>
                <c:pt idx="1395">
                  <c:v>7.401410761154855</c:v>
                </c:pt>
                <c:pt idx="1396">
                  <c:v>7.401410761154855</c:v>
                </c:pt>
                <c:pt idx="1398">
                  <c:v>7.401410761154855</c:v>
                </c:pt>
                <c:pt idx="1399">
                  <c:v>7.401410761154855</c:v>
                </c:pt>
                <c:pt idx="1400">
                  <c:v>7.401410761154855</c:v>
                </c:pt>
                <c:pt idx="1401">
                  <c:v>7.401410761154855</c:v>
                </c:pt>
                <c:pt idx="1402">
                  <c:v>7.401410761154855</c:v>
                </c:pt>
                <c:pt idx="1404">
                  <c:v>7.401410761154855</c:v>
                </c:pt>
                <c:pt idx="1405">
                  <c:v>7.401410761154855</c:v>
                </c:pt>
                <c:pt idx="1406">
                  <c:v>7.401410761154855</c:v>
                </c:pt>
                <c:pt idx="1407">
                  <c:v>7.401410761154855</c:v>
                </c:pt>
                <c:pt idx="1408">
                  <c:v>7.401410761154855</c:v>
                </c:pt>
                <c:pt idx="1410">
                  <c:v>7.401410761154855</c:v>
                </c:pt>
                <c:pt idx="1411">
                  <c:v>7.401410761154855</c:v>
                </c:pt>
                <c:pt idx="1412">
                  <c:v>7.401410761154855</c:v>
                </c:pt>
                <c:pt idx="1413">
                  <c:v>7.401410761154855</c:v>
                </c:pt>
                <c:pt idx="1414">
                  <c:v>7.401410761154855</c:v>
                </c:pt>
                <c:pt idx="1416">
                  <c:v>7.401410761154855</c:v>
                </c:pt>
                <c:pt idx="1417">
                  <c:v>7.401410761154855</c:v>
                </c:pt>
                <c:pt idx="1418">
                  <c:v>7.401410761154855</c:v>
                </c:pt>
                <c:pt idx="1419">
                  <c:v>7.401410761154855</c:v>
                </c:pt>
                <c:pt idx="1420">
                  <c:v>7.401410761154855</c:v>
                </c:pt>
                <c:pt idx="1422">
                  <c:v>7.401410761154855</c:v>
                </c:pt>
                <c:pt idx="1423">
                  <c:v>7.401410761154855</c:v>
                </c:pt>
                <c:pt idx="1424">
                  <c:v>7.401410761154855</c:v>
                </c:pt>
                <c:pt idx="1425">
                  <c:v>7.401410761154855</c:v>
                </c:pt>
                <c:pt idx="1426">
                  <c:v>7.401410761154855</c:v>
                </c:pt>
                <c:pt idx="1428">
                  <c:v>7.401410761154855</c:v>
                </c:pt>
                <c:pt idx="1429">
                  <c:v>7.401410761154855</c:v>
                </c:pt>
                <c:pt idx="1430">
                  <c:v>7.401410761154855</c:v>
                </c:pt>
                <c:pt idx="1431">
                  <c:v>7.401410761154855</c:v>
                </c:pt>
                <c:pt idx="1432">
                  <c:v>7.401410761154855</c:v>
                </c:pt>
                <c:pt idx="1434">
                  <c:v>7.401410761154855</c:v>
                </c:pt>
                <c:pt idx="1435">
                  <c:v>7.401410761154855</c:v>
                </c:pt>
                <c:pt idx="1436">
                  <c:v>7.401410761154855</c:v>
                </c:pt>
                <c:pt idx="1437">
                  <c:v>7.401410761154855</c:v>
                </c:pt>
                <c:pt idx="1438">
                  <c:v>7.401410761154855</c:v>
                </c:pt>
                <c:pt idx="1440">
                  <c:v>7.401410761154855</c:v>
                </c:pt>
                <c:pt idx="1441">
                  <c:v>7.401410761154855</c:v>
                </c:pt>
                <c:pt idx="1442">
                  <c:v>7.401410761154855</c:v>
                </c:pt>
                <c:pt idx="1443">
                  <c:v>7.401410761154855</c:v>
                </c:pt>
                <c:pt idx="1444">
                  <c:v>7.401410761154855</c:v>
                </c:pt>
                <c:pt idx="1446">
                  <c:v>7.401410761154855</c:v>
                </c:pt>
                <c:pt idx="1447">
                  <c:v>7.401410761154855</c:v>
                </c:pt>
                <c:pt idx="1448">
                  <c:v>7.401410761154855</c:v>
                </c:pt>
                <c:pt idx="1449">
                  <c:v>7.401410761154855</c:v>
                </c:pt>
                <c:pt idx="1450">
                  <c:v>7.401410761154855</c:v>
                </c:pt>
                <c:pt idx="1452">
                  <c:v>7.401410761154855</c:v>
                </c:pt>
                <c:pt idx="1453">
                  <c:v>7.401410761154855</c:v>
                </c:pt>
                <c:pt idx="1454">
                  <c:v>7.401410761154855</c:v>
                </c:pt>
                <c:pt idx="1455">
                  <c:v>7.401410761154855</c:v>
                </c:pt>
                <c:pt idx="1456">
                  <c:v>7.401410761154855</c:v>
                </c:pt>
                <c:pt idx="1458">
                  <c:v>7.401410761154855</c:v>
                </c:pt>
                <c:pt idx="1459">
                  <c:v>7.401410761154855</c:v>
                </c:pt>
                <c:pt idx="1460">
                  <c:v>7.401410761154855</c:v>
                </c:pt>
                <c:pt idx="1461">
                  <c:v>7.401410761154855</c:v>
                </c:pt>
                <c:pt idx="1462">
                  <c:v>7.401410761154855</c:v>
                </c:pt>
                <c:pt idx="1464">
                  <c:v>7.401410761154855</c:v>
                </c:pt>
                <c:pt idx="1465">
                  <c:v>7.401410761154855</c:v>
                </c:pt>
                <c:pt idx="1466">
                  <c:v>7.401410761154855</c:v>
                </c:pt>
                <c:pt idx="1467">
                  <c:v>7.401410761154855</c:v>
                </c:pt>
                <c:pt idx="1468">
                  <c:v>7.401410761154855</c:v>
                </c:pt>
                <c:pt idx="1470">
                  <c:v>7.401410761154855</c:v>
                </c:pt>
                <c:pt idx="1471">
                  <c:v>7.401410761154855</c:v>
                </c:pt>
                <c:pt idx="1472">
                  <c:v>7.401410761154855</c:v>
                </c:pt>
                <c:pt idx="1473">
                  <c:v>7.401410761154855</c:v>
                </c:pt>
                <c:pt idx="1474">
                  <c:v>7.401410761154855</c:v>
                </c:pt>
                <c:pt idx="1476">
                  <c:v>7.401410761154855</c:v>
                </c:pt>
                <c:pt idx="1477">
                  <c:v>7.401410761154855</c:v>
                </c:pt>
                <c:pt idx="1478">
                  <c:v>7.401410761154855</c:v>
                </c:pt>
                <c:pt idx="1479">
                  <c:v>7.401410761154855</c:v>
                </c:pt>
                <c:pt idx="1480">
                  <c:v>7.401410761154855</c:v>
                </c:pt>
                <c:pt idx="1482">
                  <c:v>7.401410761154855</c:v>
                </c:pt>
                <c:pt idx="1483">
                  <c:v>7.401410761154855</c:v>
                </c:pt>
                <c:pt idx="1484">
                  <c:v>7.401410761154855</c:v>
                </c:pt>
                <c:pt idx="1485">
                  <c:v>7.401410761154855</c:v>
                </c:pt>
                <c:pt idx="1486">
                  <c:v>7.401410761154855</c:v>
                </c:pt>
                <c:pt idx="1488">
                  <c:v>7.401410761154855</c:v>
                </c:pt>
                <c:pt idx="1489">
                  <c:v>7.401410761154855</c:v>
                </c:pt>
                <c:pt idx="1490">
                  <c:v>7.401410761154855</c:v>
                </c:pt>
                <c:pt idx="1491">
                  <c:v>7.401410761154855</c:v>
                </c:pt>
                <c:pt idx="1492">
                  <c:v>7.401410761154855</c:v>
                </c:pt>
                <c:pt idx="1494">
                  <c:v>7.401410761154855</c:v>
                </c:pt>
                <c:pt idx="1495">
                  <c:v>7.401410761154855</c:v>
                </c:pt>
                <c:pt idx="1496">
                  <c:v>7.401410761154855</c:v>
                </c:pt>
                <c:pt idx="1497">
                  <c:v>7.401410761154855</c:v>
                </c:pt>
                <c:pt idx="1498">
                  <c:v>7.401410761154855</c:v>
                </c:pt>
                <c:pt idx="1500">
                  <c:v>7.401410761154855</c:v>
                </c:pt>
                <c:pt idx="1501">
                  <c:v>7.401410761154855</c:v>
                </c:pt>
                <c:pt idx="1502">
                  <c:v>7.401410761154855</c:v>
                </c:pt>
                <c:pt idx="1503">
                  <c:v>7.401410761154855</c:v>
                </c:pt>
                <c:pt idx="1504">
                  <c:v>7.401410761154855</c:v>
                </c:pt>
                <c:pt idx="1506">
                  <c:v>7.401410761154855</c:v>
                </c:pt>
                <c:pt idx="1507">
                  <c:v>7.401410761154855</c:v>
                </c:pt>
                <c:pt idx="1508">
                  <c:v>7.401410761154855</c:v>
                </c:pt>
                <c:pt idx="1509">
                  <c:v>7.401410761154855</c:v>
                </c:pt>
                <c:pt idx="1510">
                  <c:v>7.401410761154855</c:v>
                </c:pt>
                <c:pt idx="1512">
                  <c:v>7.401410761154855</c:v>
                </c:pt>
                <c:pt idx="1513">
                  <c:v>7.401410761154855</c:v>
                </c:pt>
                <c:pt idx="1514">
                  <c:v>7.401410761154855</c:v>
                </c:pt>
                <c:pt idx="1515">
                  <c:v>7.401410761154855</c:v>
                </c:pt>
                <c:pt idx="1516">
                  <c:v>7.401410761154855</c:v>
                </c:pt>
                <c:pt idx="1518">
                  <c:v>7.401410761154855</c:v>
                </c:pt>
                <c:pt idx="1519">
                  <c:v>7.401410761154855</c:v>
                </c:pt>
                <c:pt idx="1520">
                  <c:v>7.401410761154855</c:v>
                </c:pt>
                <c:pt idx="1521">
                  <c:v>7.401410761154855</c:v>
                </c:pt>
                <c:pt idx="1522">
                  <c:v>7.401410761154855</c:v>
                </c:pt>
                <c:pt idx="1524">
                  <c:v>7.401410761154855</c:v>
                </c:pt>
                <c:pt idx="1525">
                  <c:v>7.401410761154855</c:v>
                </c:pt>
                <c:pt idx="1526">
                  <c:v>7.401410761154855</c:v>
                </c:pt>
                <c:pt idx="1527">
                  <c:v>7.401410761154855</c:v>
                </c:pt>
                <c:pt idx="1528">
                  <c:v>7.401410761154855</c:v>
                </c:pt>
                <c:pt idx="1530">
                  <c:v>7.401410761154855</c:v>
                </c:pt>
                <c:pt idx="1531">
                  <c:v>7.401410761154855</c:v>
                </c:pt>
                <c:pt idx="1532">
                  <c:v>7.401410761154855</c:v>
                </c:pt>
                <c:pt idx="1533">
                  <c:v>7.401410761154855</c:v>
                </c:pt>
                <c:pt idx="1534">
                  <c:v>7.401410761154855</c:v>
                </c:pt>
                <c:pt idx="1536">
                  <c:v>7.401410761154855</c:v>
                </c:pt>
                <c:pt idx="1537">
                  <c:v>7.401410761154855</c:v>
                </c:pt>
                <c:pt idx="1538">
                  <c:v>7.401410761154855</c:v>
                </c:pt>
                <c:pt idx="1539">
                  <c:v>7.401410761154855</c:v>
                </c:pt>
                <c:pt idx="1540">
                  <c:v>7.401410761154855</c:v>
                </c:pt>
                <c:pt idx="1542">
                  <c:v>7.401410761154855</c:v>
                </c:pt>
                <c:pt idx="1543">
                  <c:v>7.401410761154855</c:v>
                </c:pt>
                <c:pt idx="1544">
                  <c:v>7.401410761154855</c:v>
                </c:pt>
                <c:pt idx="1545">
                  <c:v>7.401410761154855</c:v>
                </c:pt>
                <c:pt idx="1546">
                  <c:v>7.401410761154855</c:v>
                </c:pt>
                <c:pt idx="1548">
                  <c:v>7.401410761154855</c:v>
                </c:pt>
                <c:pt idx="1549">
                  <c:v>7.401410761154855</c:v>
                </c:pt>
                <c:pt idx="1550">
                  <c:v>7.401410761154855</c:v>
                </c:pt>
                <c:pt idx="1551">
                  <c:v>7.401410761154855</c:v>
                </c:pt>
                <c:pt idx="1552">
                  <c:v>7.401410761154855</c:v>
                </c:pt>
                <c:pt idx="1554">
                  <c:v>7.401410761154855</c:v>
                </c:pt>
                <c:pt idx="1555">
                  <c:v>7.401410761154855</c:v>
                </c:pt>
                <c:pt idx="1556">
                  <c:v>7.401410761154855</c:v>
                </c:pt>
                <c:pt idx="1557">
                  <c:v>7.401410761154855</c:v>
                </c:pt>
                <c:pt idx="1558">
                  <c:v>7.401410761154855</c:v>
                </c:pt>
                <c:pt idx="1560">
                  <c:v>7.401410761154855</c:v>
                </c:pt>
                <c:pt idx="1561">
                  <c:v>7.401410761154855</c:v>
                </c:pt>
                <c:pt idx="1562">
                  <c:v>7.401410761154855</c:v>
                </c:pt>
                <c:pt idx="1563">
                  <c:v>7.401410761154855</c:v>
                </c:pt>
                <c:pt idx="1564">
                  <c:v>7.401410761154855</c:v>
                </c:pt>
                <c:pt idx="1566">
                  <c:v>7.401410761154855</c:v>
                </c:pt>
                <c:pt idx="1567">
                  <c:v>7.401410761154855</c:v>
                </c:pt>
                <c:pt idx="1568">
                  <c:v>7.401410761154855</c:v>
                </c:pt>
                <c:pt idx="1569">
                  <c:v>7.401410761154855</c:v>
                </c:pt>
                <c:pt idx="1570">
                  <c:v>7.401410761154855</c:v>
                </c:pt>
                <c:pt idx="1572">
                  <c:v>7.401410761154855</c:v>
                </c:pt>
                <c:pt idx="1573">
                  <c:v>7.401410761154855</c:v>
                </c:pt>
                <c:pt idx="1574">
                  <c:v>7.401410761154855</c:v>
                </c:pt>
                <c:pt idx="1575">
                  <c:v>7.401410761154855</c:v>
                </c:pt>
                <c:pt idx="1576">
                  <c:v>7.401410761154855</c:v>
                </c:pt>
                <c:pt idx="1578">
                  <c:v>7.401410761154855</c:v>
                </c:pt>
                <c:pt idx="1579">
                  <c:v>7.401410761154855</c:v>
                </c:pt>
                <c:pt idx="1580">
                  <c:v>7.401410761154855</c:v>
                </c:pt>
                <c:pt idx="1581">
                  <c:v>7.401410761154855</c:v>
                </c:pt>
                <c:pt idx="1582">
                  <c:v>7.401410761154855</c:v>
                </c:pt>
                <c:pt idx="1584">
                  <c:v>7.401410761154855</c:v>
                </c:pt>
                <c:pt idx="1585">
                  <c:v>7.401410761154855</c:v>
                </c:pt>
                <c:pt idx="1586">
                  <c:v>7.401410761154855</c:v>
                </c:pt>
                <c:pt idx="1587">
                  <c:v>7.401410761154855</c:v>
                </c:pt>
                <c:pt idx="1588">
                  <c:v>7.401410761154855</c:v>
                </c:pt>
                <c:pt idx="1590">
                  <c:v>7.401410761154855</c:v>
                </c:pt>
                <c:pt idx="1591">
                  <c:v>7.401410761154855</c:v>
                </c:pt>
                <c:pt idx="1592">
                  <c:v>7.401410761154855</c:v>
                </c:pt>
                <c:pt idx="1593">
                  <c:v>7.401410761154855</c:v>
                </c:pt>
                <c:pt idx="1594">
                  <c:v>7.401410761154855</c:v>
                </c:pt>
                <c:pt idx="1596">
                  <c:v>7.401410761154855</c:v>
                </c:pt>
                <c:pt idx="1597">
                  <c:v>7.401410761154855</c:v>
                </c:pt>
                <c:pt idx="1598">
                  <c:v>7.401410761154855</c:v>
                </c:pt>
                <c:pt idx="1599">
                  <c:v>7.401410761154855</c:v>
                </c:pt>
                <c:pt idx="1600">
                  <c:v>7.401410761154855</c:v>
                </c:pt>
                <c:pt idx="1602">
                  <c:v>7.401410761154855</c:v>
                </c:pt>
                <c:pt idx="1603">
                  <c:v>7.401410761154855</c:v>
                </c:pt>
                <c:pt idx="1604">
                  <c:v>7.401410761154855</c:v>
                </c:pt>
                <c:pt idx="1605">
                  <c:v>7.401410761154855</c:v>
                </c:pt>
                <c:pt idx="1606">
                  <c:v>7.401410761154855</c:v>
                </c:pt>
                <c:pt idx="1608">
                  <c:v>7.401410761154855</c:v>
                </c:pt>
                <c:pt idx="1609">
                  <c:v>7.401410761154855</c:v>
                </c:pt>
                <c:pt idx="1610">
                  <c:v>7.401410761154855</c:v>
                </c:pt>
                <c:pt idx="1611">
                  <c:v>7.401410761154855</c:v>
                </c:pt>
                <c:pt idx="1612">
                  <c:v>7.401410761154855</c:v>
                </c:pt>
                <c:pt idx="1614">
                  <c:v>7.401410761154855</c:v>
                </c:pt>
                <c:pt idx="1615">
                  <c:v>7.401410761154855</c:v>
                </c:pt>
                <c:pt idx="1616">
                  <c:v>7.401410761154855</c:v>
                </c:pt>
                <c:pt idx="1617">
                  <c:v>7.401410761154855</c:v>
                </c:pt>
                <c:pt idx="1618">
                  <c:v>7.401410761154855</c:v>
                </c:pt>
                <c:pt idx="1620">
                  <c:v>7.401410761154855</c:v>
                </c:pt>
                <c:pt idx="1621">
                  <c:v>7.401410761154855</c:v>
                </c:pt>
                <c:pt idx="1622">
                  <c:v>7.401410761154855</c:v>
                </c:pt>
                <c:pt idx="1623">
                  <c:v>7.401410761154855</c:v>
                </c:pt>
                <c:pt idx="1624">
                  <c:v>7.401410761154855</c:v>
                </c:pt>
                <c:pt idx="1626">
                  <c:v>7.401410761154855</c:v>
                </c:pt>
                <c:pt idx="1627">
                  <c:v>7.401410761154855</c:v>
                </c:pt>
                <c:pt idx="1628">
                  <c:v>7.401410761154855</c:v>
                </c:pt>
                <c:pt idx="1629">
                  <c:v>7.401410761154855</c:v>
                </c:pt>
                <c:pt idx="1630">
                  <c:v>7.401410761154855</c:v>
                </c:pt>
                <c:pt idx="1632">
                  <c:v>7.401410761154855</c:v>
                </c:pt>
                <c:pt idx="1633">
                  <c:v>7.401410761154855</c:v>
                </c:pt>
                <c:pt idx="1634">
                  <c:v>7.401410761154855</c:v>
                </c:pt>
                <c:pt idx="1635">
                  <c:v>7.401410761154855</c:v>
                </c:pt>
                <c:pt idx="1636">
                  <c:v>7.401410761154855</c:v>
                </c:pt>
                <c:pt idx="1638">
                  <c:v>7.401410761154855</c:v>
                </c:pt>
                <c:pt idx="1639">
                  <c:v>7.401410761154855</c:v>
                </c:pt>
                <c:pt idx="1640">
                  <c:v>7.401410761154855</c:v>
                </c:pt>
                <c:pt idx="1641">
                  <c:v>7.401410761154855</c:v>
                </c:pt>
                <c:pt idx="1642">
                  <c:v>7.401410761154855</c:v>
                </c:pt>
                <c:pt idx="1644">
                  <c:v>7.401410761154855</c:v>
                </c:pt>
                <c:pt idx="1645">
                  <c:v>7.401410761154855</c:v>
                </c:pt>
                <c:pt idx="1646">
                  <c:v>7.401410761154855</c:v>
                </c:pt>
                <c:pt idx="1647">
                  <c:v>7.401410761154855</c:v>
                </c:pt>
                <c:pt idx="1648">
                  <c:v>7.401410761154855</c:v>
                </c:pt>
                <c:pt idx="1650">
                  <c:v>7.401410761154855</c:v>
                </c:pt>
                <c:pt idx="1651">
                  <c:v>7.401410761154855</c:v>
                </c:pt>
                <c:pt idx="1652">
                  <c:v>7.401410761154855</c:v>
                </c:pt>
                <c:pt idx="1653">
                  <c:v>7.401410761154855</c:v>
                </c:pt>
                <c:pt idx="1654">
                  <c:v>7.401410761154855</c:v>
                </c:pt>
                <c:pt idx="1656">
                  <c:v>7.401410761154855</c:v>
                </c:pt>
                <c:pt idx="1657">
                  <c:v>7.401410761154855</c:v>
                </c:pt>
                <c:pt idx="1658">
                  <c:v>7.401410761154855</c:v>
                </c:pt>
                <c:pt idx="1659">
                  <c:v>7.401410761154855</c:v>
                </c:pt>
                <c:pt idx="1660">
                  <c:v>7.401410761154855</c:v>
                </c:pt>
                <c:pt idx="1662">
                  <c:v>7.401410761154855</c:v>
                </c:pt>
                <c:pt idx="1663">
                  <c:v>7.401410761154855</c:v>
                </c:pt>
                <c:pt idx="1664">
                  <c:v>7.401410761154855</c:v>
                </c:pt>
                <c:pt idx="1665">
                  <c:v>7.401410761154855</c:v>
                </c:pt>
                <c:pt idx="1666">
                  <c:v>7.401410761154855</c:v>
                </c:pt>
                <c:pt idx="1668">
                  <c:v>7.401410761154855</c:v>
                </c:pt>
                <c:pt idx="1669">
                  <c:v>7.401410761154855</c:v>
                </c:pt>
                <c:pt idx="1670">
                  <c:v>7.401410761154855</c:v>
                </c:pt>
                <c:pt idx="1671">
                  <c:v>7.401410761154855</c:v>
                </c:pt>
                <c:pt idx="1672">
                  <c:v>7.401410761154855</c:v>
                </c:pt>
                <c:pt idx="1674">
                  <c:v>7.401410761154855</c:v>
                </c:pt>
                <c:pt idx="1675">
                  <c:v>7.401410761154855</c:v>
                </c:pt>
                <c:pt idx="1676">
                  <c:v>7.401410761154855</c:v>
                </c:pt>
                <c:pt idx="1677">
                  <c:v>7.401410761154855</c:v>
                </c:pt>
                <c:pt idx="1678">
                  <c:v>7.401410761154855</c:v>
                </c:pt>
                <c:pt idx="1680">
                  <c:v>7.401410761154855</c:v>
                </c:pt>
                <c:pt idx="1681">
                  <c:v>7.401410761154855</c:v>
                </c:pt>
                <c:pt idx="1682">
                  <c:v>7.401410761154855</c:v>
                </c:pt>
                <c:pt idx="1683">
                  <c:v>7.401410761154855</c:v>
                </c:pt>
                <c:pt idx="1684">
                  <c:v>7.401410761154855</c:v>
                </c:pt>
                <c:pt idx="1686">
                  <c:v>7.401410761154855</c:v>
                </c:pt>
                <c:pt idx="1687">
                  <c:v>7.401410761154855</c:v>
                </c:pt>
                <c:pt idx="1688">
                  <c:v>7.401410761154855</c:v>
                </c:pt>
                <c:pt idx="1689">
                  <c:v>7.401410761154855</c:v>
                </c:pt>
                <c:pt idx="1690">
                  <c:v>7.401410761154855</c:v>
                </c:pt>
                <c:pt idx="1692">
                  <c:v>7.401410761154855</c:v>
                </c:pt>
                <c:pt idx="1693">
                  <c:v>7.401410761154855</c:v>
                </c:pt>
                <c:pt idx="1694">
                  <c:v>7.401410761154855</c:v>
                </c:pt>
                <c:pt idx="1695">
                  <c:v>7.401410761154855</c:v>
                </c:pt>
                <c:pt idx="1696">
                  <c:v>7.401410761154855</c:v>
                </c:pt>
                <c:pt idx="1698">
                  <c:v>7.401410761154855</c:v>
                </c:pt>
                <c:pt idx="1699">
                  <c:v>7.401410761154855</c:v>
                </c:pt>
                <c:pt idx="1700">
                  <c:v>7.401410761154855</c:v>
                </c:pt>
                <c:pt idx="1701">
                  <c:v>7.401410761154855</c:v>
                </c:pt>
                <c:pt idx="1702">
                  <c:v>7.401410761154855</c:v>
                </c:pt>
                <c:pt idx="1704">
                  <c:v>7.401410761154855</c:v>
                </c:pt>
                <c:pt idx="1705">
                  <c:v>7.401410761154855</c:v>
                </c:pt>
                <c:pt idx="1706">
                  <c:v>7.401410761154855</c:v>
                </c:pt>
                <c:pt idx="1707">
                  <c:v>7.401410761154855</c:v>
                </c:pt>
                <c:pt idx="1708">
                  <c:v>7.401410761154855</c:v>
                </c:pt>
                <c:pt idx="1710">
                  <c:v>7.401410761154855</c:v>
                </c:pt>
                <c:pt idx="1711">
                  <c:v>7.401410761154855</c:v>
                </c:pt>
                <c:pt idx="1712">
                  <c:v>7.401410761154855</c:v>
                </c:pt>
                <c:pt idx="1713">
                  <c:v>7.401410761154855</c:v>
                </c:pt>
                <c:pt idx="1714">
                  <c:v>7.401410761154855</c:v>
                </c:pt>
                <c:pt idx="1716">
                  <c:v>7.401410761154855</c:v>
                </c:pt>
                <c:pt idx="1717">
                  <c:v>7.401410761154855</c:v>
                </c:pt>
                <c:pt idx="1718">
                  <c:v>7.401410761154855</c:v>
                </c:pt>
                <c:pt idx="1719">
                  <c:v>7.401410761154855</c:v>
                </c:pt>
                <c:pt idx="1720">
                  <c:v>7.401410761154855</c:v>
                </c:pt>
                <c:pt idx="1722">
                  <c:v>7.401410761154855</c:v>
                </c:pt>
                <c:pt idx="1723">
                  <c:v>7.401410761154855</c:v>
                </c:pt>
                <c:pt idx="1724">
                  <c:v>7.401410761154855</c:v>
                </c:pt>
                <c:pt idx="1725">
                  <c:v>7.401410761154855</c:v>
                </c:pt>
                <c:pt idx="1726">
                  <c:v>7.401410761154855</c:v>
                </c:pt>
                <c:pt idx="1728">
                  <c:v>7.401410761154855</c:v>
                </c:pt>
                <c:pt idx="1729">
                  <c:v>7.401410761154855</c:v>
                </c:pt>
                <c:pt idx="1730">
                  <c:v>7.401410761154855</c:v>
                </c:pt>
                <c:pt idx="1731">
                  <c:v>7.401410761154855</c:v>
                </c:pt>
                <c:pt idx="1732">
                  <c:v>7.401410761154855</c:v>
                </c:pt>
                <c:pt idx="1734">
                  <c:v>7.401410761154855</c:v>
                </c:pt>
                <c:pt idx="1735">
                  <c:v>7.401410761154855</c:v>
                </c:pt>
                <c:pt idx="1736">
                  <c:v>7.401410761154855</c:v>
                </c:pt>
                <c:pt idx="1737">
                  <c:v>7.401410761154855</c:v>
                </c:pt>
                <c:pt idx="1738">
                  <c:v>7.401410761154855</c:v>
                </c:pt>
                <c:pt idx="1740">
                  <c:v>7.401410761154855</c:v>
                </c:pt>
                <c:pt idx="1741">
                  <c:v>7.401410761154855</c:v>
                </c:pt>
                <c:pt idx="1742">
                  <c:v>7.401410761154855</c:v>
                </c:pt>
                <c:pt idx="1743">
                  <c:v>7.401410761154855</c:v>
                </c:pt>
                <c:pt idx="1744">
                  <c:v>7.401410761154855</c:v>
                </c:pt>
                <c:pt idx="1746">
                  <c:v>7.401410761154855</c:v>
                </c:pt>
                <c:pt idx="1747">
                  <c:v>7.401410761154855</c:v>
                </c:pt>
                <c:pt idx="1748">
                  <c:v>7.401410761154855</c:v>
                </c:pt>
                <c:pt idx="1749">
                  <c:v>7.401410761154855</c:v>
                </c:pt>
                <c:pt idx="1750">
                  <c:v>7.401410761154855</c:v>
                </c:pt>
                <c:pt idx="1752">
                  <c:v>7.401410761154855</c:v>
                </c:pt>
                <c:pt idx="1753">
                  <c:v>7.401410761154855</c:v>
                </c:pt>
                <c:pt idx="1754">
                  <c:v>7.401410761154855</c:v>
                </c:pt>
                <c:pt idx="1755">
                  <c:v>7.401410761154855</c:v>
                </c:pt>
                <c:pt idx="1756">
                  <c:v>7.401410761154855</c:v>
                </c:pt>
                <c:pt idx="1758">
                  <c:v>7.401410761154855</c:v>
                </c:pt>
                <c:pt idx="1759">
                  <c:v>7.401410761154855</c:v>
                </c:pt>
                <c:pt idx="1760">
                  <c:v>7.401410761154855</c:v>
                </c:pt>
                <c:pt idx="1761">
                  <c:v>7.401410761154855</c:v>
                </c:pt>
                <c:pt idx="1762">
                  <c:v>7.401410761154855</c:v>
                </c:pt>
                <c:pt idx="1764">
                  <c:v>7.401410761154855</c:v>
                </c:pt>
                <c:pt idx="1765">
                  <c:v>7.401410761154855</c:v>
                </c:pt>
                <c:pt idx="1766">
                  <c:v>7.401410761154855</c:v>
                </c:pt>
                <c:pt idx="1767">
                  <c:v>7.401410761154855</c:v>
                </c:pt>
                <c:pt idx="1768">
                  <c:v>7.401410761154855</c:v>
                </c:pt>
                <c:pt idx="1770">
                  <c:v>7.401410761154855</c:v>
                </c:pt>
                <c:pt idx="1771">
                  <c:v>7.401410761154855</c:v>
                </c:pt>
                <c:pt idx="1772">
                  <c:v>7.401410761154855</c:v>
                </c:pt>
                <c:pt idx="1773">
                  <c:v>7.401410761154855</c:v>
                </c:pt>
                <c:pt idx="1774">
                  <c:v>7.401410761154855</c:v>
                </c:pt>
                <c:pt idx="1776">
                  <c:v>7.401410761154855</c:v>
                </c:pt>
                <c:pt idx="1777">
                  <c:v>7.401410761154855</c:v>
                </c:pt>
                <c:pt idx="1778">
                  <c:v>7.401410761154855</c:v>
                </c:pt>
                <c:pt idx="1779">
                  <c:v>7.401410761154855</c:v>
                </c:pt>
                <c:pt idx="1780">
                  <c:v>7.401410761154855</c:v>
                </c:pt>
                <c:pt idx="1782">
                  <c:v>7.401410761154855</c:v>
                </c:pt>
                <c:pt idx="1783">
                  <c:v>7.401410761154855</c:v>
                </c:pt>
                <c:pt idx="1784">
                  <c:v>7.401410761154855</c:v>
                </c:pt>
                <c:pt idx="1785">
                  <c:v>7.401410761154855</c:v>
                </c:pt>
                <c:pt idx="1786">
                  <c:v>7.401410761154855</c:v>
                </c:pt>
                <c:pt idx="1788">
                  <c:v>7.401410761154855</c:v>
                </c:pt>
                <c:pt idx="1789">
                  <c:v>7.401410761154855</c:v>
                </c:pt>
                <c:pt idx="1790">
                  <c:v>7.401410761154855</c:v>
                </c:pt>
                <c:pt idx="1791">
                  <c:v>7.401410761154855</c:v>
                </c:pt>
                <c:pt idx="1792">
                  <c:v>7.401410761154855</c:v>
                </c:pt>
                <c:pt idx="1794">
                  <c:v>7.401410761154855</c:v>
                </c:pt>
                <c:pt idx="1795">
                  <c:v>7.401410761154855</c:v>
                </c:pt>
                <c:pt idx="1796">
                  <c:v>7.401410761154855</c:v>
                </c:pt>
                <c:pt idx="1797">
                  <c:v>7.401410761154855</c:v>
                </c:pt>
                <c:pt idx="1798">
                  <c:v>7.401410761154855</c:v>
                </c:pt>
                <c:pt idx="1800">
                  <c:v>7.401410761154855</c:v>
                </c:pt>
                <c:pt idx="1801">
                  <c:v>7.401410761154855</c:v>
                </c:pt>
                <c:pt idx="1802">
                  <c:v>7.401410761154855</c:v>
                </c:pt>
                <c:pt idx="1803">
                  <c:v>7.401410761154855</c:v>
                </c:pt>
                <c:pt idx="1804">
                  <c:v>7.401410761154855</c:v>
                </c:pt>
                <c:pt idx="1806">
                  <c:v>7.401410761154855</c:v>
                </c:pt>
                <c:pt idx="1807">
                  <c:v>7.401410761154855</c:v>
                </c:pt>
                <c:pt idx="1808">
                  <c:v>7.401410761154855</c:v>
                </c:pt>
                <c:pt idx="1809">
                  <c:v>7.401410761154855</c:v>
                </c:pt>
                <c:pt idx="1810">
                  <c:v>7.401410761154855</c:v>
                </c:pt>
                <c:pt idx="1812">
                  <c:v>7.401410761154855</c:v>
                </c:pt>
                <c:pt idx="1813">
                  <c:v>7.401410761154855</c:v>
                </c:pt>
                <c:pt idx="1814">
                  <c:v>7.401410761154855</c:v>
                </c:pt>
                <c:pt idx="1815">
                  <c:v>7.401410761154855</c:v>
                </c:pt>
                <c:pt idx="1816">
                  <c:v>7.401410761154855</c:v>
                </c:pt>
                <c:pt idx="1818">
                  <c:v>7.401410761154855</c:v>
                </c:pt>
                <c:pt idx="1819">
                  <c:v>7.401410761154855</c:v>
                </c:pt>
                <c:pt idx="1820">
                  <c:v>7.401410761154855</c:v>
                </c:pt>
                <c:pt idx="1821">
                  <c:v>7.401410761154855</c:v>
                </c:pt>
                <c:pt idx="1822">
                  <c:v>7.401410761154855</c:v>
                </c:pt>
                <c:pt idx="1824">
                  <c:v>7.401410761154855</c:v>
                </c:pt>
                <c:pt idx="1825">
                  <c:v>7.401410761154855</c:v>
                </c:pt>
                <c:pt idx="1826">
                  <c:v>7.401410761154855</c:v>
                </c:pt>
                <c:pt idx="1827">
                  <c:v>7.401410761154855</c:v>
                </c:pt>
                <c:pt idx="1828">
                  <c:v>7.401410761154855</c:v>
                </c:pt>
                <c:pt idx="1830">
                  <c:v>7.401410761154855</c:v>
                </c:pt>
                <c:pt idx="1831">
                  <c:v>7.401410761154855</c:v>
                </c:pt>
                <c:pt idx="1832">
                  <c:v>7.401410761154855</c:v>
                </c:pt>
                <c:pt idx="1833">
                  <c:v>7.401410761154855</c:v>
                </c:pt>
                <c:pt idx="1834">
                  <c:v>7.401410761154855</c:v>
                </c:pt>
                <c:pt idx="1836">
                  <c:v>7.401410761154855</c:v>
                </c:pt>
                <c:pt idx="1837">
                  <c:v>7.401410761154855</c:v>
                </c:pt>
                <c:pt idx="1838">
                  <c:v>7.401410761154855</c:v>
                </c:pt>
                <c:pt idx="1839">
                  <c:v>7.401410761154855</c:v>
                </c:pt>
                <c:pt idx="1840">
                  <c:v>7.401410761154855</c:v>
                </c:pt>
                <c:pt idx="1842">
                  <c:v>7.401410761154855</c:v>
                </c:pt>
                <c:pt idx="1843">
                  <c:v>7.401410761154855</c:v>
                </c:pt>
                <c:pt idx="1844">
                  <c:v>7.401410761154855</c:v>
                </c:pt>
                <c:pt idx="1845">
                  <c:v>7.401410761154855</c:v>
                </c:pt>
                <c:pt idx="1846">
                  <c:v>7.401410761154855</c:v>
                </c:pt>
                <c:pt idx="1848">
                  <c:v>7.401410761154855</c:v>
                </c:pt>
                <c:pt idx="1849">
                  <c:v>7.401410761154855</c:v>
                </c:pt>
                <c:pt idx="1850">
                  <c:v>7.401410761154855</c:v>
                </c:pt>
                <c:pt idx="1851">
                  <c:v>7.401410761154855</c:v>
                </c:pt>
                <c:pt idx="1852">
                  <c:v>7.401410761154855</c:v>
                </c:pt>
                <c:pt idx="1854">
                  <c:v>7.401410761154855</c:v>
                </c:pt>
                <c:pt idx="1855">
                  <c:v>7.401410761154855</c:v>
                </c:pt>
                <c:pt idx="1856">
                  <c:v>7.401410761154855</c:v>
                </c:pt>
                <c:pt idx="1857">
                  <c:v>7.401410761154855</c:v>
                </c:pt>
                <c:pt idx="1858">
                  <c:v>7.401410761154855</c:v>
                </c:pt>
                <c:pt idx="1860">
                  <c:v>7.401410761154855</c:v>
                </c:pt>
                <c:pt idx="1861">
                  <c:v>7.401410761154855</c:v>
                </c:pt>
                <c:pt idx="1862">
                  <c:v>7.401410761154855</c:v>
                </c:pt>
                <c:pt idx="1863">
                  <c:v>7.401410761154855</c:v>
                </c:pt>
                <c:pt idx="1864">
                  <c:v>7.401410761154855</c:v>
                </c:pt>
                <c:pt idx="1866">
                  <c:v>7.401410761154855</c:v>
                </c:pt>
                <c:pt idx="1867">
                  <c:v>7.401410761154855</c:v>
                </c:pt>
                <c:pt idx="1868">
                  <c:v>7.401410761154855</c:v>
                </c:pt>
                <c:pt idx="1869">
                  <c:v>7.401410761154855</c:v>
                </c:pt>
                <c:pt idx="1870">
                  <c:v>7.401410761154855</c:v>
                </c:pt>
                <c:pt idx="1872">
                  <c:v>7.401410761154855</c:v>
                </c:pt>
                <c:pt idx="1873">
                  <c:v>7.401410761154855</c:v>
                </c:pt>
                <c:pt idx="1874">
                  <c:v>7.401410761154855</c:v>
                </c:pt>
                <c:pt idx="1875">
                  <c:v>7.401410761154855</c:v>
                </c:pt>
                <c:pt idx="1876">
                  <c:v>7.401410761154855</c:v>
                </c:pt>
                <c:pt idx="1878">
                  <c:v>7.401410761154855</c:v>
                </c:pt>
                <c:pt idx="1879">
                  <c:v>7.401410761154855</c:v>
                </c:pt>
                <c:pt idx="1880">
                  <c:v>7.401410761154855</c:v>
                </c:pt>
                <c:pt idx="1881">
                  <c:v>7.401410761154855</c:v>
                </c:pt>
                <c:pt idx="1882">
                  <c:v>7.401410761154855</c:v>
                </c:pt>
                <c:pt idx="1884">
                  <c:v>7.401410761154855</c:v>
                </c:pt>
                <c:pt idx="1885">
                  <c:v>7.401410761154855</c:v>
                </c:pt>
                <c:pt idx="1886">
                  <c:v>7.401410761154855</c:v>
                </c:pt>
                <c:pt idx="1887">
                  <c:v>7.401410761154855</c:v>
                </c:pt>
                <c:pt idx="1888">
                  <c:v>7.401410761154855</c:v>
                </c:pt>
                <c:pt idx="1890">
                  <c:v>7.401410761154855</c:v>
                </c:pt>
                <c:pt idx="1891">
                  <c:v>7.401410761154855</c:v>
                </c:pt>
                <c:pt idx="1892">
                  <c:v>7.401410761154855</c:v>
                </c:pt>
                <c:pt idx="1893">
                  <c:v>7.401410761154855</c:v>
                </c:pt>
                <c:pt idx="1894">
                  <c:v>7.401410761154855</c:v>
                </c:pt>
                <c:pt idx="1896">
                  <c:v>7.401410761154855</c:v>
                </c:pt>
                <c:pt idx="1897">
                  <c:v>7.401410761154855</c:v>
                </c:pt>
                <c:pt idx="1898">
                  <c:v>7.401410761154855</c:v>
                </c:pt>
                <c:pt idx="1899">
                  <c:v>7.401410761154855</c:v>
                </c:pt>
                <c:pt idx="1900">
                  <c:v>7.401410761154855</c:v>
                </c:pt>
                <c:pt idx="1902">
                  <c:v>7.401410761154855</c:v>
                </c:pt>
                <c:pt idx="1903">
                  <c:v>7.401410761154855</c:v>
                </c:pt>
                <c:pt idx="1904">
                  <c:v>7.401410761154855</c:v>
                </c:pt>
                <c:pt idx="1905">
                  <c:v>7.401410761154855</c:v>
                </c:pt>
                <c:pt idx="1906">
                  <c:v>7.401410761154855</c:v>
                </c:pt>
                <c:pt idx="1908">
                  <c:v>7.401410761154855</c:v>
                </c:pt>
                <c:pt idx="1909">
                  <c:v>7.401410761154855</c:v>
                </c:pt>
                <c:pt idx="1910">
                  <c:v>7.401410761154855</c:v>
                </c:pt>
                <c:pt idx="1911">
                  <c:v>7.401410761154855</c:v>
                </c:pt>
                <c:pt idx="1912">
                  <c:v>7.401410761154855</c:v>
                </c:pt>
                <c:pt idx="1914">
                  <c:v>7.401410761154855</c:v>
                </c:pt>
                <c:pt idx="1915">
                  <c:v>7.401410761154855</c:v>
                </c:pt>
                <c:pt idx="1916">
                  <c:v>7.401410761154855</c:v>
                </c:pt>
                <c:pt idx="1917">
                  <c:v>7.401410761154855</c:v>
                </c:pt>
                <c:pt idx="1918">
                  <c:v>7.401410761154855</c:v>
                </c:pt>
                <c:pt idx="1920">
                  <c:v>7.401410761154855</c:v>
                </c:pt>
                <c:pt idx="1921">
                  <c:v>7.401410761154855</c:v>
                </c:pt>
                <c:pt idx="1922">
                  <c:v>7.401410761154855</c:v>
                </c:pt>
                <c:pt idx="1923">
                  <c:v>7.401410761154855</c:v>
                </c:pt>
                <c:pt idx="1924">
                  <c:v>7.401410761154855</c:v>
                </c:pt>
                <c:pt idx="1926">
                  <c:v>7.401410761154855</c:v>
                </c:pt>
                <c:pt idx="1927">
                  <c:v>7.401410761154855</c:v>
                </c:pt>
                <c:pt idx="1928">
                  <c:v>7.401410761154855</c:v>
                </c:pt>
                <c:pt idx="1929">
                  <c:v>7.401410761154855</c:v>
                </c:pt>
                <c:pt idx="1930">
                  <c:v>7.401410761154855</c:v>
                </c:pt>
                <c:pt idx="1932">
                  <c:v>7.401410761154855</c:v>
                </c:pt>
                <c:pt idx="1933">
                  <c:v>7.401410761154855</c:v>
                </c:pt>
                <c:pt idx="1934">
                  <c:v>7.401410761154855</c:v>
                </c:pt>
                <c:pt idx="1935">
                  <c:v>7.401410761154855</c:v>
                </c:pt>
                <c:pt idx="1936">
                  <c:v>7.401410761154855</c:v>
                </c:pt>
                <c:pt idx="1938">
                  <c:v>7.401410761154855</c:v>
                </c:pt>
                <c:pt idx="1939">
                  <c:v>7.401410761154855</c:v>
                </c:pt>
                <c:pt idx="1940">
                  <c:v>7.401410761154855</c:v>
                </c:pt>
                <c:pt idx="1941">
                  <c:v>7.401410761154855</c:v>
                </c:pt>
                <c:pt idx="1942">
                  <c:v>7.401410761154855</c:v>
                </c:pt>
                <c:pt idx="1944">
                  <c:v>7.401410761154855</c:v>
                </c:pt>
                <c:pt idx="1945">
                  <c:v>7.401410761154855</c:v>
                </c:pt>
                <c:pt idx="1946">
                  <c:v>7.401410761154855</c:v>
                </c:pt>
                <c:pt idx="1947">
                  <c:v>7.401410761154855</c:v>
                </c:pt>
                <c:pt idx="1948">
                  <c:v>7.401410761154855</c:v>
                </c:pt>
                <c:pt idx="1950">
                  <c:v>7.401410761154855</c:v>
                </c:pt>
                <c:pt idx="1951">
                  <c:v>7.401410761154855</c:v>
                </c:pt>
                <c:pt idx="1952">
                  <c:v>7.401410761154855</c:v>
                </c:pt>
                <c:pt idx="1953">
                  <c:v>7.401410761154855</c:v>
                </c:pt>
                <c:pt idx="1954">
                  <c:v>7.401410761154855</c:v>
                </c:pt>
                <c:pt idx="1956">
                  <c:v>7.401410761154855</c:v>
                </c:pt>
                <c:pt idx="1957">
                  <c:v>7.401410761154855</c:v>
                </c:pt>
                <c:pt idx="1958">
                  <c:v>7.401410761154855</c:v>
                </c:pt>
                <c:pt idx="1959">
                  <c:v>7.401410761154855</c:v>
                </c:pt>
                <c:pt idx="1960">
                  <c:v>7.401410761154855</c:v>
                </c:pt>
                <c:pt idx="1962">
                  <c:v>7.401410761154855</c:v>
                </c:pt>
                <c:pt idx="1963">
                  <c:v>7.401410761154855</c:v>
                </c:pt>
                <c:pt idx="1964">
                  <c:v>7.401410761154855</c:v>
                </c:pt>
                <c:pt idx="1965">
                  <c:v>7.401410761154855</c:v>
                </c:pt>
                <c:pt idx="1966">
                  <c:v>7.401410761154855</c:v>
                </c:pt>
                <c:pt idx="1968">
                  <c:v>7.401410761154855</c:v>
                </c:pt>
                <c:pt idx="1969">
                  <c:v>7.401410761154855</c:v>
                </c:pt>
                <c:pt idx="1970">
                  <c:v>7.401410761154855</c:v>
                </c:pt>
                <c:pt idx="1971">
                  <c:v>7.401410761154855</c:v>
                </c:pt>
                <c:pt idx="1972">
                  <c:v>7.401410761154855</c:v>
                </c:pt>
                <c:pt idx="1974">
                  <c:v>7.401410761154855</c:v>
                </c:pt>
                <c:pt idx="1975">
                  <c:v>7.401410761154855</c:v>
                </c:pt>
                <c:pt idx="1976">
                  <c:v>7.401410761154855</c:v>
                </c:pt>
                <c:pt idx="1977">
                  <c:v>7.401410761154855</c:v>
                </c:pt>
                <c:pt idx="1978">
                  <c:v>7.401410761154855</c:v>
                </c:pt>
                <c:pt idx="1980">
                  <c:v>7.401410761154855</c:v>
                </c:pt>
                <c:pt idx="1981">
                  <c:v>7.401410761154855</c:v>
                </c:pt>
                <c:pt idx="1982">
                  <c:v>7.401410761154855</c:v>
                </c:pt>
                <c:pt idx="1983">
                  <c:v>7.401410761154855</c:v>
                </c:pt>
                <c:pt idx="1984">
                  <c:v>7.401410761154855</c:v>
                </c:pt>
                <c:pt idx="1986">
                  <c:v>7.401410761154855</c:v>
                </c:pt>
                <c:pt idx="1987">
                  <c:v>7.401410761154855</c:v>
                </c:pt>
                <c:pt idx="1988">
                  <c:v>7.401410761154855</c:v>
                </c:pt>
                <c:pt idx="1989">
                  <c:v>7.401410761154855</c:v>
                </c:pt>
                <c:pt idx="1990">
                  <c:v>7.401410761154855</c:v>
                </c:pt>
                <c:pt idx="1992">
                  <c:v>7.401410761154855</c:v>
                </c:pt>
                <c:pt idx="1993">
                  <c:v>7.401410761154855</c:v>
                </c:pt>
                <c:pt idx="1994">
                  <c:v>7.401410761154855</c:v>
                </c:pt>
                <c:pt idx="1995">
                  <c:v>7.401410761154855</c:v>
                </c:pt>
                <c:pt idx="1996">
                  <c:v>7.401410761154855</c:v>
                </c:pt>
                <c:pt idx="1998">
                  <c:v>7.401410761154855</c:v>
                </c:pt>
                <c:pt idx="1999">
                  <c:v>7.401410761154855</c:v>
                </c:pt>
                <c:pt idx="2000">
                  <c:v>7.401410761154855</c:v>
                </c:pt>
                <c:pt idx="2001">
                  <c:v>7.401410761154855</c:v>
                </c:pt>
                <c:pt idx="2002">
                  <c:v>7.401410761154855</c:v>
                </c:pt>
                <c:pt idx="2004">
                  <c:v>7.401410761154855</c:v>
                </c:pt>
                <c:pt idx="2005">
                  <c:v>7.401410761154855</c:v>
                </c:pt>
                <c:pt idx="2006">
                  <c:v>7.401410761154855</c:v>
                </c:pt>
                <c:pt idx="2007">
                  <c:v>7.401410761154855</c:v>
                </c:pt>
                <c:pt idx="2008">
                  <c:v>7.401410761154855</c:v>
                </c:pt>
                <c:pt idx="2010">
                  <c:v>7.401410761154855</c:v>
                </c:pt>
                <c:pt idx="2011">
                  <c:v>7.401410761154855</c:v>
                </c:pt>
                <c:pt idx="2012">
                  <c:v>7.401410761154855</c:v>
                </c:pt>
                <c:pt idx="2013">
                  <c:v>7.401410761154855</c:v>
                </c:pt>
                <c:pt idx="2014">
                  <c:v>7.401410761154855</c:v>
                </c:pt>
                <c:pt idx="2016">
                  <c:v>7.401410761154855</c:v>
                </c:pt>
                <c:pt idx="2017">
                  <c:v>7.401410761154855</c:v>
                </c:pt>
                <c:pt idx="2018">
                  <c:v>7.401410761154855</c:v>
                </c:pt>
                <c:pt idx="2019">
                  <c:v>7.401410761154855</c:v>
                </c:pt>
                <c:pt idx="2020">
                  <c:v>7.401410761154855</c:v>
                </c:pt>
                <c:pt idx="2022">
                  <c:v>7.401410761154855</c:v>
                </c:pt>
                <c:pt idx="2023">
                  <c:v>7.401410761154855</c:v>
                </c:pt>
                <c:pt idx="2024">
                  <c:v>7.401410761154855</c:v>
                </c:pt>
                <c:pt idx="2025">
                  <c:v>7.401410761154855</c:v>
                </c:pt>
                <c:pt idx="2026">
                  <c:v>7.401410761154855</c:v>
                </c:pt>
                <c:pt idx="2028">
                  <c:v>7.401410761154855</c:v>
                </c:pt>
                <c:pt idx="2029">
                  <c:v>7.401410761154855</c:v>
                </c:pt>
                <c:pt idx="2030">
                  <c:v>7.401410761154855</c:v>
                </c:pt>
                <c:pt idx="2031">
                  <c:v>7.401410761154855</c:v>
                </c:pt>
                <c:pt idx="2032">
                  <c:v>7.401410761154855</c:v>
                </c:pt>
                <c:pt idx="2034">
                  <c:v>7.401410761154855</c:v>
                </c:pt>
                <c:pt idx="2035">
                  <c:v>7.401410761154855</c:v>
                </c:pt>
                <c:pt idx="2036">
                  <c:v>7.401410761154855</c:v>
                </c:pt>
                <c:pt idx="2037">
                  <c:v>7.401410761154855</c:v>
                </c:pt>
                <c:pt idx="2038">
                  <c:v>7.401410761154855</c:v>
                </c:pt>
                <c:pt idx="2040">
                  <c:v>7.401410761154855</c:v>
                </c:pt>
                <c:pt idx="2041">
                  <c:v>7.401410761154855</c:v>
                </c:pt>
                <c:pt idx="2042">
                  <c:v>7.401410761154855</c:v>
                </c:pt>
                <c:pt idx="2043">
                  <c:v>7.401410761154855</c:v>
                </c:pt>
                <c:pt idx="2044">
                  <c:v>7.401410761154855</c:v>
                </c:pt>
                <c:pt idx="2046">
                  <c:v>7.401410761154855</c:v>
                </c:pt>
                <c:pt idx="2047">
                  <c:v>7.401410761154855</c:v>
                </c:pt>
                <c:pt idx="2048">
                  <c:v>7.401410761154855</c:v>
                </c:pt>
                <c:pt idx="2049">
                  <c:v>7.401410761154855</c:v>
                </c:pt>
                <c:pt idx="2050">
                  <c:v>7.401410761154855</c:v>
                </c:pt>
                <c:pt idx="2052">
                  <c:v>7.401410761154855</c:v>
                </c:pt>
                <c:pt idx="2053">
                  <c:v>7.401410761154855</c:v>
                </c:pt>
                <c:pt idx="2054">
                  <c:v>7.401410761154855</c:v>
                </c:pt>
                <c:pt idx="2055">
                  <c:v>7.401410761154855</c:v>
                </c:pt>
                <c:pt idx="2056">
                  <c:v>7.401410761154855</c:v>
                </c:pt>
                <c:pt idx="2058">
                  <c:v>7.401410761154855</c:v>
                </c:pt>
                <c:pt idx="2059">
                  <c:v>7.401410761154855</c:v>
                </c:pt>
                <c:pt idx="2060">
                  <c:v>7.401410761154855</c:v>
                </c:pt>
                <c:pt idx="2061">
                  <c:v>7.401410761154855</c:v>
                </c:pt>
                <c:pt idx="2062">
                  <c:v>7.401410761154855</c:v>
                </c:pt>
                <c:pt idx="2064">
                  <c:v>7.401410761154855</c:v>
                </c:pt>
                <c:pt idx="2065">
                  <c:v>7.401410761154855</c:v>
                </c:pt>
                <c:pt idx="2066">
                  <c:v>7.401410761154855</c:v>
                </c:pt>
                <c:pt idx="2067">
                  <c:v>7.401410761154855</c:v>
                </c:pt>
                <c:pt idx="2068">
                  <c:v>7.401410761154855</c:v>
                </c:pt>
                <c:pt idx="2070">
                  <c:v>7.401410761154855</c:v>
                </c:pt>
                <c:pt idx="2071">
                  <c:v>7.401410761154855</c:v>
                </c:pt>
                <c:pt idx="2072">
                  <c:v>7.401410761154855</c:v>
                </c:pt>
                <c:pt idx="2073">
                  <c:v>7.401410761154855</c:v>
                </c:pt>
                <c:pt idx="2074">
                  <c:v>7.401410761154855</c:v>
                </c:pt>
                <c:pt idx="2076">
                  <c:v>7.401410761154855</c:v>
                </c:pt>
                <c:pt idx="2077">
                  <c:v>7.401410761154855</c:v>
                </c:pt>
                <c:pt idx="2078">
                  <c:v>7.401410761154855</c:v>
                </c:pt>
                <c:pt idx="2079">
                  <c:v>7.401410761154855</c:v>
                </c:pt>
                <c:pt idx="2080">
                  <c:v>7.401410761154855</c:v>
                </c:pt>
                <c:pt idx="2082">
                  <c:v>7.401410761154855</c:v>
                </c:pt>
                <c:pt idx="2083">
                  <c:v>7.401410761154855</c:v>
                </c:pt>
                <c:pt idx="2084">
                  <c:v>7.401410761154855</c:v>
                </c:pt>
                <c:pt idx="2085">
                  <c:v>7.401410761154855</c:v>
                </c:pt>
                <c:pt idx="2086">
                  <c:v>7.401410761154855</c:v>
                </c:pt>
                <c:pt idx="2088">
                  <c:v>7.401410761154855</c:v>
                </c:pt>
                <c:pt idx="2089">
                  <c:v>7.401410761154855</c:v>
                </c:pt>
                <c:pt idx="2090">
                  <c:v>7.401410761154855</c:v>
                </c:pt>
                <c:pt idx="2091">
                  <c:v>7.401410761154855</c:v>
                </c:pt>
                <c:pt idx="2092">
                  <c:v>7.401410761154855</c:v>
                </c:pt>
                <c:pt idx="2094">
                  <c:v>7.401410761154855</c:v>
                </c:pt>
                <c:pt idx="2095">
                  <c:v>7.401410761154855</c:v>
                </c:pt>
                <c:pt idx="2096">
                  <c:v>7.401410761154855</c:v>
                </c:pt>
                <c:pt idx="2097">
                  <c:v>7.401410761154855</c:v>
                </c:pt>
                <c:pt idx="2098">
                  <c:v>7.401410761154855</c:v>
                </c:pt>
                <c:pt idx="2100">
                  <c:v>7.401410761154855</c:v>
                </c:pt>
                <c:pt idx="2101">
                  <c:v>7.401410761154855</c:v>
                </c:pt>
                <c:pt idx="2102">
                  <c:v>7.401410761154855</c:v>
                </c:pt>
                <c:pt idx="2103">
                  <c:v>7.401410761154855</c:v>
                </c:pt>
                <c:pt idx="2104">
                  <c:v>7.401410761154855</c:v>
                </c:pt>
                <c:pt idx="2106">
                  <c:v>7.401410761154855</c:v>
                </c:pt>
                <c:pt idx="2107">
                  <c:v>7.401410761154855</c:v>
                </c:pt>
                <c:pt idx="2108">
                  <c:v>7.401410761154855</c:v>
                </c:pt>
                <c:pt idx="2109">
                  <c:v>7.401410761154855</c:v>
                </c:pt>
                <c:pt idx="2110">
                  <c:v>7.401410761154855</c:v>
                </c:pt>
                <c:pt idx="2112">
                  <c:v>7.401410761154855</c:v>
                </c:pt>
                <c:pt idx="2113">
                  <c:v>7.401410761154855</c:v>
                </c:pt>
                <c:pt idx="2114">
                  <c:v>7.401410761154855</c:v>
                </c:pt>
                <c:pt idx="2115">
                  <c:v>7.401410761154855</c:v>
                </c:pt>
                <c:pt idx="2116">
                  <c:v>7.401410761154855</c:v>
                </c:pt>
                <c:pt idx="2118">
                  <c:v>7.401410761154855</c:v>
                </c:pt>
                <c:pt idx="2119">
                  <c:v>7.401410761154855</c:v>
                </c:pt>
                <c:pt idx="2120">
                  <c:v>7.401410761154855</c:v>
                </c:pt>
                <c:pt idx="2121">
                  <c:v>7.401410761154855</c:v>
                </c:pt>
                <c:pt idx="2122">
                  <c:v>7.401410761154855</c:v>
                </c:pt>
                <c:pt idx="2124">
                  <c:v>7.401410761154855</c:v>
                </c:pt>
                <c:pt idx="2125">
                  <c:v>7.401410761154855</c:v>
                </c:pt>
                <c:pt idx="2126">
                  <c:v>7.401410761154855</c:v>
                </c:pt>
                <c:pt idx="2127">
                  <c:v>7.401410761154855</c:v>
                </c:pt>
                <c:pt idx="2128">
                  <c:v>7.401410761154855</c:v>
                </c:pt>
                <c:pt idx="2130">
                  <c:v>7.401410761154855</c:v>
                </c:pt>
                <c:pt idx="2131">
                  <c:v>7.401410761154855</c:v>
                </c:pt>
                <c:pt idx="2132">
                  <c:v>7.401410761154855</c:v>
                </c:pt>
                <c:pt idx="2133">
                  <c:v>7.401410761154855</c:v>
                </c:pt>
                <c:pt idx="2134">
                  <c:v>7.401410761154855</c:v>
                </c:pt>
                <c:pt idx="2136">
                  <c:v>7.401410761154855</c:v>
                </c:pt>
                <c:pt idx="2137">
                  <c:v>7.401410761154855</c:v>
                </c:pt>
                <c:pt idx="2138">
                  <c:v>7.401410761154855</c:v>
                </c:pt>
                <c:pt idx="2139">
                  <c:v>7.401410761154855</c:v>
                </c:pt>
                <c:pt idx="2140">
                  <c:v>7.401410761154855</c:v>
                </c:pt>
                <c:pt idx="2142">
                  <c:v>7.401410761154855</c:v>
                </c:pt>
                <c:pt idx="2143">
                  <c:v>7.401410761154855</c:v>
                </c:pt>
                <c:pt idx="2144">
                  <c:v>7.401410761154855</c:v>
                </c:pt>
                <c:pt idx="2145">
                  <c:v>7.401410761154855</c:v>
                </c:pt>
                <c:pt idx="2146">
                  <c:v>7.401410761154855</c:v>
                </c:pt>
                <c:pt idx="2148">
                  <c:v>7.401410761154855</c:v>
                </c:pt>
                <c:pt idx="2149">
                  <c:v>7.401410761154855</c:v>
                </c:pt>
                <c:pt idx="2150">
                  <c:v>7.401410761154855</c:v>
                </c:pt>
                <c:pt idx="2151">
                  <c:v>7.401410761154855</c:v>
                </c:pt>
                <c:pt idx="2152">
                  <c:v>7.401410761154855</c:v>
                </c:pt>
                <c:pt idx="2154">
                  <c:v>7.401410761154855</c:v>
                </c:pt>
                <c:pt idx="2155">
                  <c:v>7.401410761154855</c:v>
                </c:pt>
                <c:pt idx="2156">
                  <c:v>7.401410761154855</c:v>
                </c:pt>
                <c:pt idx="2157">
                  <c:v>7.401410761154855</c:v>
                </c:pt>
                <c:pt idx="2158">
                  <c:v>7.401410761154855</c:v>
                </c:pt>
              </c:numCache>
            </c:numRef>
          </c:yVal>
        </c:ser>
        <c:axId val="122586240"/>
        <c:axId val="122587776"/>
      </c:scatterChart>
      <c:valAx>
        <c:axId val="122586240"/>
        <c:scaling>
          <c:orientation val="maxMin"/>
          <c:max val="340"/>
          <c:min val="0"/>
        </c:scaling>
        <c:axPos val="b"/>
        <c:majorGridlines>
          <c:spPr>
            <a:ln>
              <a:solidFill>
                <a:srgbClr val="C0C0C0"/>
              </a:solidFill>
            </a:ln>
          </c:spPr>
        </c:majorGridlines>
        <c:numFmt formatCode="0" sourceLinked="0"/>
        <c:majorTickMark val="none"/>
        <c:minorTickMark val="in"/>
        <c:tickLblPos val="nextTo"/>
        <c:crossAx val="122587776"/>
        <c:crossesAt val="-100"/>
        <c:crossBetween val="midCat"/>
        <c:majorUnit val="20"/>
        <c:minorUnit val="5"/>
      </c:valAx>
      <c:valAx>
        <c:axId val="122587776"/>
        <c:scaling>
          <c:orientation val="minMax"/>
        </c:scaling>
        <c:axPos val="r"/>
        <c:majorGridlines>
          <c:spPr>
            <a:ln>
              <a:solidFill>
                <a:srgbClr val="C0C0C0"/>
              </a:solidFill>
            </a:ln>
          </c:spPr>
        </c:majorGridlines>
        <c:numFmt formatCode="0" sourceLinked="0"/>
        <c:majorTickMark val="none"/>
        <c:minorTickMark val="in"/>
        <c:tickLblPos val="nextTo"/>
        <c:crossAx val="122586240"/>
        <c:crossesAt val="-100"/>
        <c:crossBetween val="midCat"/>
        <c:majorUnit val="10"/>
        <c:minorUnit val="5"/>
      </c:valAx>
      <c:spPr>
        <a:solidFill>
          <a:srgbClr val="D9FFD9"/>
        </a:solidFill>
      </c:spPr>
    </c:plotArea>
    <c:plotVisOnly val="1"/>
  </c:chart>
  <c:printSettings>
    <c:headerFooter/>
    <c:pageMargins b="0.75000000000000355" l="0.70000000000000062" r="0.70000000000000062" t="0.750000000000003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5663704418223334E-2"/>
          <c:y val="3.7004811898512686E-2"/>
          <c:w val="0.89996402642943263"/>
          <c:h val="0.84854519469313294"/>
        </c:manualLayout>
      </c:layout>
      <c:scatterChart>
        <c:scatterStyle val="lineMarker"/>
        <c:ser>
          <c:idx val="0"/>
          <c:order val="0"/>
          <c:marker>
            <c:symbol val="none"/>
          </c:marker>
          <c:xVal>
            <c:numRef>
              <c:f>Shadow!$Z$3:$Z$8</c:f>
              <c:numCache>
                <c:formatCode>0</c:formatCode>
                <c:ptCount val="6"/>
                <c:pt idx="0">
                  <c:v>0</c:v>
                </c:pt>
                <c:pt idx="1">
                  <c:v>10.80282152230971</c:v>
                </c:pt>
                <c:pt idx="2">
                  <c:v>10.80282152230971</c:v>
                </c:pt>
                <c:pt idx="3">
                  <c:v>0</c:v>
                </c:pt>
                <c:pt idx="4">
                  <c:v>0</c:v>
                </c:pt>
              </c:numCache>
            </c:numRef>
          </c:xVal>
          <c:yVal>
            <c:numRef>
              <c:f>Shadow!$AA$3:$AA$8</c:f>
              <c:numCache>
                <c:formatCode>0</c:formatCode>
                <c:ptCount val="6"/>
                <c:pt idx="0">
                  <c:v>7.401410761154855</c:v>
                </c:pt>
                <c:pt idx="1">
                  <c:v>7.401410761154855</c:v>
                </c:pt>
                <c:pt idx="2">
                  <c:v>7.401410761154855</c:v>
                </c:pt>
                <c:pt idx="3">
                  <c:v>7.401410761154855</c:v>
                </c:pt>
                <c:pt idx="4">
                  <c:v>7.401410761154855</c:v>
                </c:pt>
              </c:numCache>
            </c:numRef>
          </c:yVal>
        </c:ser>
        <c:axId val="122607104"/>
        <c:axId val="122608640"/>
      </c:scatterChart>
      <c:valAx>
        <c:axId val="122607104"/>
        <c:scaling>
          <c:orientation val="minMax"/>
        </c:scaling>
        <c:axPos val="t"/>
        <c:majorGridlines>
          <c:spPr>
            <a:ln>
              <a:solidFill>
                <a:srgbClr val="C0C0C0"/>
              </a:solidFill>
            </a:ln>
          </c:spPr>
        </c:majorGridlines>
        <c:numFmt formatCode="0" sourceLinked="1"/>
        <c:majorTickMark val="none"/>
        <c:minorTickMark val="in"/>
        <c:tickLblPos val="nextTo"/>
        <c:crossAx val="122608640"/>
        <c:crosses val="max"/>
        <c:crossBetween val="midCat"/>
        <c:majorUnit val="1"/>
        <c:minorUnit val="0.5"/>
      </c:valAx>
      <c:valAx>
        <c:axId val="122608640"/>
        <c:scaling>
          <c:orientation val="minMax"/>
        </c:scaling>
        <c:axPos val="r"/>
        <c:majorGridlines>
          <c:spPr>
            <a:ln>
              <a:solidFill>
                <a:srgbClr val="C0C0C0"/>
              </a:solidFill>
            </a:ln>
          </c:spPr>
        </c:majorGridlines>
        <c:numFmt formatCode="0" sourceLinked="1"/>
        <c:majorTickMark val="none"/>
        <c:minorTickMark val="in"/>
        <c:tickLblPos val="nextTo"/>
        <c:crossAx val="122607104"/>
        <c:crosses val="max"/>
        <c:crossBetween val="midCat"/>
        <c:majorUnit val="1"/>
        <c:minorUnit val="0.5"/>
      </c:valAx>
      <c:spPr>
        <a:solidFill>
          <a:srgbClr val="D9FFD9"/>
        </a:solidFill>
      </c:spPr>
    </c:plotArea>
    <c:plotVisOnly val="1"/>
  </c:chart>
  <c:printSettings>
    <c:headerFooter/>
    <c:pageMargins b="0.75000000000000355" l="0.70000000000000062" r="0.70000000000000062" t="0.750000000000003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2.8977316114787401E-2"/>
          <c:y val="0.18007491335888887"/>
          <c:w val="0.87648998617997065"/>
          <c:h val="0.76512109248766336"/>
        </c:manualLayout>
      </c:layout>
      <c:scatterChart>
        <c:scatterStyle val="lineMarker"/>
        <c:ser>
          <c:idx val="0"/>
          <c:order val="0"/>
          <c:spPr>
            <a:ln w="12700">
              <a:solidFill>
                <a:srgbClr val="0000FF"/>
              </a:solidFill>
            </a:ln>
          </c:spPr>
          <c:marker>
            <c:symbol val="none"/>
          </c:marker>
          <c:xVal>
            <c:numRef>
              <c:f>Shadow!$AA$3:$AA$2162</c:f>
              <c:numCache>
                <c:formatCode>0</c:formatCode>
                <c:ptCount val="2160"/>
                <c:pt idx="0">
                  <c:v>7.401410761154855</c:v>
                </c:pt>
                <c:pt idx="1">
                  <c:v>7.401410761154855</c:v>
                </c:pt>
                <c:pt idx="2">
                  <c:v>7.401410761154855</c:v>
                </c:pt>
                <c:pt idx="3">
                  <c:v>7.401410761154855</c:v>
                </c:pt>
                <c:pt idx="4">
                  <c:v>7.401410761154855</c:v>
                </c:pt>
                <c:pt idx="6">
                  <c:v>7.401410761154855</c:v>
                </c:pt>
                <c:pt idx="7">
                  <c:v>7.401410761154855</c:v>
                </c:pt>
                <c:pt idx="8">
                  <c:v>7.401410761154855</c:v>
                </c:pt>
                <c:pt idx="9">
                  <c:v>7.401410761154855</c:v>
                </c:pt>
                <c:pt idx="10">
                  <c:v>7.401410761154855</c:v>
                </c:pt>
                <c:pt idx="12">
                  <c:v>7.401410761154855</c:v>
                </c:pt>
                <c:pt idx="13">
                  <c:v>7.401410761154855</c:v>
                </c:pt>
                <c:pt idx="14">
                  <c:v>7.401410761154855</c:v>
                </c:pt>
                <c:pt idx="15">
                  <c:v>7.401410761154855</c:v>
                </c:pt>
                <c:pt idx="16">
                  <c:v>7.401410761154855</c:v>
                </c:pt>
                <c:pt idx="18">
                  <c:v>7.401410761154855</c:v>
                </c:pt>
                <c:pt idx="19">
                  <c:v>7.401410761154855</c:v>
                </c:pt>
                <c:pt idx="20">
                  <c:v>7.401410761154855</c:v>
                </c:pt>
                <c:pt idx="21">
                  <c:v>7.401410761154855</c:v>
                </c:pt>
                <c:pt idx="22">
                  <c:v>7.401410761154855</c:v>
                </c:pt>
                <c:pt idx="24">
                  <c:v>7.401410761154855</c:v>
                </c:pt>
                <c:pt idx="25">
                  <c:v>7.401410761154855</c:v>
                </c:pt>
                <c:pt idx="26">
                  <c:v>7.401410761154855</c:v>
                </c:pt>
                <c:pt idx="27">
                  <c:v>7.401410761154855</c:v>
                </c:pt>
                <c:pt idx="28">
                  <c:v>7.401410761154855</c:v>
                </c:pt>
                <c:pt idx="30">
                  <c:v>7.401410761154855</c:v>
                </c:pt>
                <c:pt idx="31">
                  <c:v>7.401410761154855</c:v>
                </c:pt>
                <c:pt idx="32">
                  <c:v>7.401410761154855</c:v>
                </c:pt>
                <c:pt idx="33">
                  <c:v>7.401410761154855</c:v>
                </c:pt>
                <c:pt idx="34">
                  <c:v>7.401410761154855</c:v>
                </c:pt>
                <c:pt idx="36">
                  <c:v>7.401410761154855</c:v>
                </c:pt>
                <c:pt idx="37">
                  <c:v>7.401410761154855</c:v>
                </c:pt>
                <c:pt idx="38">
                  <c:v>7.401410761154855</c:v>
                </c:pt>
                <c:pt idx="39">
                  <c:v>7.401410761154855</c:v>
                </c:pt>
                <c:pt idx="40">
                  <c:v>7.401410761154855</c:v>
                </c:pt>
                <c:pt idx="42">
                  <c:v>7.401410761154855</c:v>
                </c:pt>
                <c:pt idx="43">
                  <c:v>7.401410761154855</c:v>
                </c:pt>
                <c:pt idx="44">
                  <c:v>7.401410761154855</c:v>
                </c:pt>
                <c:pt idx="45">
                  <c:v>7.401410761154855</c:v>
                </c:pt>
                <c:pt idx="46">
                  <c:v>7.401410761154855</c:v>
                </c:pt>
                <c:pt idx="48">
                  <c:v>7.401410761154855</c:v>
                </c:pt>
                <c:pt idx="49">
                  <c:v>7.401410761154855</c:v>
                </c:pt>
                <c:pt idx="50">
                  <c:v>7.401410761154855</c:v>
                </c:pt>
                <c:pt idx="51">
                  <c:v>7.401410761154855</c:v>
                </c:pt>
                <c:pt idx="52">
                  <c:v>7.401410761154855</c:v>
                </c:pt>
                <c:pt idx="54">
                  <c:v>7.401410761154855</c:v>
                </c:pt>
                <c:pt idx="55">
                  <c:v>7.401410761154855</c:v>
                </c:pt>
                <c:pt idx="56">
                  <c:v>7.401410761154855</c:v>
                </c:pt>
                <c:pt idx="57">
                  <c:v>7.401410761154855</c:v>
                </c:pt>
                <c:pt idx="58">
                  <c:v>7.401410761154855</c:v>
                </c:pt>
                <c:pt idx="60">
                  <c:v>7.401410761154855</c:v>
                </c:pt>
                <c:pt idx="61">
                  <c:v>7.401410761154855</c:v>
                </c:pt>
                <c:pt idx="62">
                  <c:v>7.401410761154855</c:v>
                </c:pt>
                <c:pt idx="63">
                  <c:v>7.401410761154855</c:v>
                </c:pt>
                <c:pt idx="64">
                  <c:v>7.401410761154855</c:v>
                </c:pt>
                <c:pt idx="66">
                  <c:v>7.401410761154855</c:v>
                </c:pt>
                <c:pt idx="67">
                  <c:v>7.401410761154855</c:v>
                </c:pt>
                <c:pt idx="68">
                  <c:v>7.401410761154855</c:v>
                </c:pt>
                <c:pt idx="69">
                  <c:v>7.401410761154855</c:v>
                </c:pt>
                <c:pt idx="70">
                  <c:v>7.401410761154855</c:v>
                </c:pt>
                <c:pt idx="72">
                  <c:v>7.401410761154855</c:v>
                </c:pt>
                <c:pt idx="73">
                  <c:v>7.401410761154855</c:v>
                </c:pt>
                <c:pt idx="74">
                  <c:v>7.401410761154855</c:v>
                </c:pt>
                <c:pt idx="75">
                  <c:v>7.401410761154855</c:v>
                </c:pt>
                <c:pt idx="76">
                  <c:v>7.401410761154855</c:v>
                </c:pt>
                <c:pt idx="78">
                  <c:v>7.401410761154855</c:v>
                </c:pt>
                <c:pt idx="79">
                  <c:v>7.401410761154855</c:v>
                </c:pt>
                <c:pt idx="80">
                  <c:v>7.401410761154855</c:v>
                </c:pt>
                <c:pt idx="81">
                  <c:v>7.401410761154855</c:v>
                </c:pt>
                <c:pt idx="82">
                  <c:v>7.401410761154855</c:v>
                </c:pt>
                <c:pt idx="84">
                  <c:v>7.401410761154855</c:v>
                </c:pt>
                <c:pt idx="85">
                  <c:v>7.401410761154855</c:v>
                </c:pt>
                <c:pt idx="86">
                  <c:v>7.401410761154855</c:v>
                </c:pt>
                <c:pt idx="87">
                  <c:v>7.401410761154855</c:v>
                </c:pt>
                <c:pt idx="88">
                  <c:v>7.401410761154855</c:v>
                </c:pt>
                <c:pt idx="90">
                  <c:v>7.401410761154855</c:v>
                </c:pt>
                <c:pt idx="91">
                  <c:v>7.401410761154855</c:v>
                </c:pt>
                <c:pt idx="92">
                  <c:v>7.401410761154855</c:v>
                </c:pt>
                <c:pt idx="93">
                  <c:v>7.401410761154855</c:v>
                </c:pt>
                <c:pt idx="94">
                  <c:v>7.401410761154855</c:v>
                </c:pt>
                <c:pt idx="96">
                  <c:v>7.401410761154855</c:v>
                </c:pt>
                <c:pt idx="97">
                  <c:v>7.401410761154855</c:v>
                </c:pt>
                <c:pt idx="98">
                  <c:v>7.401410761154855</c:v>
                </c:pt>
                <c:pt idx="99">
                  <c:v>7.401410761154855</c:v>
                </c:pt>
                <c:pt idx="100">
                  <c:v>7.401410761154855</c:v>
                </c:pt>
                <c:pt idx="102">
                  <c:v>7.401410761154855</c:v>
                </c:pt>
                <c:pt idx="103">
                  <c:v>7.401410761154855</c:v>
                </c:pt>
                <c:pt idx="104">
                  <c:v>7.401410761154855</c:v>
                </c:pt>
                <c:pt idx="105">
                  <c:v>7.401410761154855</c:v>
                </c:pt>
                <c:pt idx="106">
                  <c:v>7.401410761154855</c:v>
                </c:pt>
                <c:pt idx="108">
                  <c:v>7.401410761154855</c:v>
                </c:pt>
                <c:pt idx="109">
                  <c:v>7.401410761154855</c:v>
                </c:pt>
                <c:pt idx="110">
                  <c:v>7.401410761154855</c:v>
                </c:pt>
                <c:pt idx="111">
                  <c:v>7.401410761154855</c:v>
                </c:pt>
                <c:pt idx="112">
                  <c:v>7.401410761154855</c:v>
                </c:pt>
                <c:pt idx="114">
                  <c:v>7.401410761154855</c:v>
                </c:pt>
                <c:pt idx="115">
                  <c:v>7.401410761154855</c:v>
                </c:pt>
                <c:pt idx="116">
                  <c:v>7.401410761154855</c:v>
                </c:pt>
                <c:pt idx="117">
                  <c:v>7.401410761154855</c:v>
                </c:pt>
                <c:pt idx="118">
                  <c:v>7.401410761154855</c:v>
                </c:pt>
                <c:pt idx="120">
                  <c:v>7.401410761154855</c:v>
                </c:pt>
                <c:pt idx="121">
                  <c:v>7.401410761154855</c:v>
                </c:pt>
                <c:pt idx="122">
                  <c:v>7.401410761154855</c:v>
                </c:pt>
                <c:pt idx="123">
                  <c:v>7.401410761154855</c:v>
                </c:pt>
                <c:pt idx="124">
                  <c:v>7.401410761154855</c:v>
                </c:pt>
                <c:pt idx="126">
                  <c:v>7.401410761154855</c:v>
                </c:pt>
                <c:pt idx="127">
                  <c:v>7.401410761154855</c:v>
                </c:pt>
                <c:pt idx="128">
                  <c:v>7.401410761154855</c:v>
                </c:pt>
                <c:pt idx="129">
                  <c:v>7.401410761154855</c:v>
                </c:pt>
                <c:pt idx="130">
                  <c:v>7.401410761154855</c:v>
                </c:pt>
                <c:pt idx="132">
                  <c:v>7.401410761154855</c:v>
                </c:pt>
                <c:pt idx="133">
                  <c:v>7.401410761154855</c:v>
                </c:pt>
                <c:pt idx="134">
                  <c:v>7.401410761154855</c:v>
                </c:pt>
                <c:pt idx="135">
                  <c:v>7.401410761154855</c:v>
                </c:pt>
                <c:pt idx="136">
                  <c:v>7.401410761154855</c:v>
                </c:pt>
                <c:pt idx="138">
                  <c:v>7.401410761154855</c:v>
                </c:pt>
                <c:pt idx="139">
                  <c:v>7.401410761154855</c:v>
                </c:pt>
                <c:pt idx="140">
                  <c:v>7.401410761154855</c:v>
                </c:pt>
                <c:pt idx="141">
                  <c:v>7.401410761154855</c:v>
                </c:pt>
                <c:pt idx="142">
                  <c:v>7.401410761154855</c:v>
                </c:pt>
                <c:pt idx="144">
                  <c:v>7.401410761154855</c:v>
                </c:pt>
                <c:pt idx="145">
                  <c:v>7.401410761154855</c:v>
                </c:pt>
                <c:pt idx="146">
                  <c:v>7.401410761154855</c:v>
                </c:pt>
                <c:pt idx="147">
                  <c:v>7.401410761154855</c:v>
                </c:pt>
                <c:pt idx="148">
                  <c:v>7.401410761154855</c:v>
                </c:pt>
                <c:pt idx="150">
                  <c:v>7.401410761154855</c:v>
                </c:pt>
                <c:pt idx="151">
                  <c:v>7.401410761154855</c:v>
                </c:pt>
                <c:pt idx="152">
                  <c:v>7.401410761154855</c:v>
                </c:pt>
                <c:pt idx="153">
                  <c:v>7.401410761154855</c:v>
                </c:pt>
                <c:pt idx="154">
                  <c:v>7.401410761154855</c:v>
                </c:pt>
                <c:pt idx="156">
                  <c:v>7.401410761154855</c:v>
                </c:pt>
                <c:pt idx="157">
                  <c:v>7.401410761154855</c:v>
                </c:pt>
                <c:pt idx="158">
                  <c:v>7.401410761154855</c:v>
                </c:pt>
                <c:pt idx="159">
                  <c:v>7.401410761154855</c:v>
                </c:pt>
                <c:pt idx="160">
                  <c:v>7.401410761154855</c:v>
                </c:pt>
                <c:pt idx="162">
                  <c:v>7.401410761154855</c:v>
                </c:pt>
                <c:pt idx="163">
                  <c:v>7.401410761154855</c:v>
                </c:pt>
                <c:pt idx="164">
                  <c:v>7.401410761154855</c:v>
                </c:pt>
                <c:pt idx="165">
                  <c:v>7.401410761154855</c:v>
                </c:pt>
                <c:pt idx="166">
                  <c:v>7.401410761154855</c:v>
                </c:pt>
                <c:pt idx="168">
                  <c:v>7.401410761154855</c:v>
                </c:pt>
                <c:pt idx="169">
                  <c:v>7.401410761154855</c:v>
                </c:pt>
                <c:pt idx="170">
                  <c:v>7.401410761154855</c:v>
                </c:pt>
                <c:pt idx="171">
                  <c:v>7.401410761154855</c:v>
                </c:pt>
                <c:pt idx="172">
                  <c:v>7.401410761154855</c:v>
                </c:pt>
                <c:pt idx="174">
                  <c:v>7.401410761154855</c:v>
                </c:pt>
                <c:pt idx="175">
                  <c:v>7.401410761154855</c:v>
                </c:pt>
                <c:pt idx="176">
                  <c:v>7.401410761154855</c:v>
                </c:pt>
                <c:pt idx="177">
                  <c:v>7.401410761154855</c:v>
                </c:pt>
                <c:pt idx="178">
                  <c:v>7.401410761154855</c:v>
                </c:pt>
                <c:pt idx="180">
                  <c:v>7.401410761154855</c:v>
                </c:pt>
                <c:pt idx="181">
                  <c:v>7.401410761154855</c:v>
                </c:pt>
                <c:pt idx="182">
                  <c:v>7.401410761154855</c:v>
                </c:pt>
                <c:pt idx="183">
                  <c:v>7.401410761154855</c:v>
                </c:pt>
                <c:pt idx="184">
                  <c:v>7.401410761154855</c:v>
                </c:pt>
                <c:pt idx="186">
                  <c:v>7.401410761154855</c:v>
                </c:pt>
                <c:pt idx="187">
                  <c:v>7.401410761154855</c:v>
                </c:pt>
                <c:pt idx="188">
                  <c:v>7.401410761154855</c:v>
                </c:pt>
                <c:pt idx="189">
                  <c:v>7.401410761154855</c:v>
                </c:pt>
                <c:pt idx="190">
                  <c:v>7.401410761154855</c:v>
                </c:pt>
                <c:pt idx="192">
                  <c:v>7.401410761154855</c:v>
                </c:pt>
                <c:pt idx="193">
                  <c:v>7.401410761154855</c:v>
                </c:pt>
                <c:pt idx="194">
                  <c:v>7.401410761154855</c:v>
                </c:pt>
                <c:pt idx="195">
                  <c:v>7.401410761154855</c:v>
                </c:pt>
                <c:pt idx="196">
                  <c:v>7.401410761154855</c:v>
                </c:pt>
                <c:pt idx="198">
                  <c:v>7.401410761154855</c:v>
                </c:pt>
                <c:pt idx="199">
                  <c:v>7.401410761154855</c:v>
                </c:pt>
                <c:pt idx="200">
                  <c:v>7.401410761154855</c:v>
                </c:pt>
                <c:pt idx="201">
                  <c:v>7.401410761154855</c:v>
                </c:pt>
                <c:pt idx="202">
                  <c:v>7.401410761154855</c:v>
                </c:pt>
                <c:pt idx="204">
                  <c:v>7.401410761154855</c:v>
                </c:pt>
                <c:pt idx="205">
                  <c:v>7.401410761154855</c:v>
                </c:pt>
                <c:pt idx="206">
                  <c:v>7.401410761154855</c:v>
                </c:pt>
                <c:pt idx="207">
                  <c:v>7.401410761154855</c:v>
                </c:pt>
                <c:pt idx="208">
                  <c:v>7.401410761154855</c:v>
                </c:pt>
                <c:pt idx="210">
                  <c:v>7.401410761154855</c:v>
                </c:pt>
                <c:pt idx="211">
                  <c:v>7.401410761154855</c:v>
                </c:pt>
                <c:pt idx="212">
                  <c:v>7.401410761154855</c:v>
                </c:pt>
                <c:pt idx="213">
                  <c:v>7.401410761154855</c:v>
                </c:pt>
                <c:pt idx="214">
                  <c:v>7.401410761154855</c:v>
                </c:pt>
                <c:pt idx="216">
                  <c:v>7.401410761154855</c:v>
                </c:pt>
                <c:pt idx="217">
                  <c:v>7.401410761154855</c:v>
                </c:pt>
                <c:pt idx="218">
                  <c:v>7.401410761154855</c:v>
                </c:pt>
                <c:pt idx="219">
                  <c:v>7.401410761154855</c:v>
                </c:pt>
                <c:pt idx="220">
                  <c:v>7.401410761154855</c:v>
                </c:pt>
                <c:pt idx="222">
                  <c:v>7.401410761154855</c:v>
                </c:pt>
                <c:pt idx="223">
                  <c:v>7.401410761154855</c:v>
                </c:pt>
                <c:pt idx="224">
                  <c:v>7.401410761154855</c:v>
                </c:pt>
                <c:pt idx="225">
                  <c:v>7.401410761154855</c:v>
                </c:pt>
                <c:pt idx="226">
                  <c:v>7.401410761154855</c:v>
                </c:pt>
                <c:pt idx="228">
                  <c:v>7.401410761154855</c:v>
                </c:pt>
                <c:pt idx="229">
                  <c:v>7.401410761154855</c:v>
                </c:pt>
                <c:pt idx="230">
                  <c:v>7.401410761154855</c:v>
                </c:pt>
                <c:pt idx="231">
                  <c:v>7.401410761154855</c:v>
                </c:pt>
                <c:pt idx="232">
                  <c:v>7.401410761154855</c:v>
                </c:pt>
                <c:pt idx="234">
                  <c:v>7.401410761154855</c:v>
                </c:pt>
                <c:pt idx="235">
                  <c:v>7.401410761154855</c:v>
                </c:pt>
                <c:pt idx="236">
                  <c:v>7.401410761154855</c:v>
                </c:pt>
                <c:pt idx="237">
                  <c:v>7.401410761154855</c:v>
                </c:pt>
                <c:pt idx="238">
                  <c:v>7.401410761154855</c:v>
                </c:pt>
                <c:pt idx="240">
                  <c:v>7.401410761154855</c:v>
                </c:pt>
                <c:pt idx="241">
                  <c:v>7.401410761154855</c:v>
                </c:pt>
                <c:pt idx="242">
                  <c:v>7.401410761154855</c:v>
                </c:pt>
                <c:pt idx="243">
                  <c:v>7.401410761154855</c:v>
                </c:pt>
                <c:pt idx="244">
                  <c:v>7.401410761154855</c:v>
                </c:pt>
                <c:pt idx="246">
                  <c:v>7.401410761154855</c:v>
                </c:pt>
                <c:pt idx="247">
                  <c:v>7.401410761154855</c:v>
                </c:pt>
                <c:pt idx="248">
                  <c:v>7.401410761154855</c:v>
                </c:pt>
                <c:pt idx="249">
                  <c:v>7.401410761154855</c:v>
                </c:pt>
                <c:pt idx="250">
                  <c:v>7.401410761154855</c:v>
                </c:pt>
                <c:pt idx="252">
                  <c:v>7.401410761154855</c:v>
                </c:pt>
                <c:pt idx="253">
                  <c:v>7.401410761154855</c:v>
                </c:pt>
                <c:pt idx="254">
                  <c:v>7.401410761154855</c:v>
                </c:pt>
                <c:pt idx="255">
                  <c:v>7.401410761154855</c:v>
                </c:pt>
                <c:pt idx="256">
                  <c:v>7.401410761154855</c:v>
                </c:pt>
                <c:pt idx="258">
                  <c:v>7.401410761154855</c:v>
                </c:pt>
                <c:pt idx="259">
                  <c:v>7.401410761154855</c:v>
                </c:pt>
                <c:pt idx="260">
                  <c:v>7.401410761154855</c:v>
                </c:pt>
                <c:pt idx="261">
                  <c:v>7.401410761154855</c:v>
                </c:pt>
                <c:pt idx="262">
                  <c:v>7.401410761154855</c:v>
                </c:pt>
                <c:pt idx="264">
                  <c:v>7.401410761154855</c:v>
                </c:pt>
                <c:pt idx="265">
                  <c:v>7.401410761154855</c:v>
                </c:pt>
                <c:pt idx="266">
                  <c:v>7.401410761154855</c:v>
                </c:pt>
                <c:pt idx="267">
                  <c:v>7.401410761154855</c:v>
                </c:pt>
                <c:pt idx="268">
                  <c:v>7.401410761154855</c:v>
                </c:pt>
                <c:pt idx="270">
                  <c:v>7.401410761154855</c:v>
                </c:pt>
                <c:pt idx="271">
                  <c:v>7.401410761154855</c:v>
                </c:pt>
                <c:pt idx="272">
                  <c:v>7.401410761154855</c:v>
                </c:pt>
                <c:pt idx="273">
                  <c:v>7.401410761154855</c:v>
                </c:pt>
                <c:pt idx="274">
                  <c:v>7.401410761154855</c:v>
                </c:pt>
                <c:pt idx="276">
                  <c:v>7.401410761154855</c:v>
                </c:pt>
                <c:pt idx="277">
                  <c:v>7.401410761154855</c:v>
                </c:pt>
                <c:pt idx="278">
                  <c:v>7.401410761154855</c:v>
                </c:pt>
                <c:pt idx="279">
                  <c:v>7.401410761154855</c:v>
                </c:pt>
                <c:pt idx="280">
                  <c:v>7.401410761154855</c:v>
                </c:pt>
                <c:pt idx="282">
                  <c:v>7.401410761154855</c:v>
                </c:pt>
                <c:pt idx="283">
                  <c:v>7.401410761154855</c:v>
                </c:pt>
                <c:pt idx="284">
                  <c:v>7.401410761154855</c:v>
                </c:pt>
                <c:pt idx="285">
                  <c:v>7.401410761154855</c:v>
                </c:pt>
                <c:pt idx="286">
                  <c:v>7.401410761154855</c:v>
                </c:pt>
                <c:pt idx="288">
                  <c:v>7.401410761154855</c:v>
                </c:pt>
                <c:pt idx="289">
                  <c:v>7.401410761154855</c:v>
                </c:pt>
                <c:pt idx="290">
                  <c:v>7.401410761154855</c:v>
                </c:pt>
                <c:pt idx="291">
                  <c:v>7.401410761154855</c:v>
                </c:pt>
                <c:pt idx="292">
                  <c:v>7.401410761154855</c:v>
                </c:pt>
                <c:pt idx="294">
                  <c:v>7.401410761154855</c:v>
                </c:pt>
                <c:pt idx="295">
                  <c:v>7.401410761154855</c:v>
                </c:pt>
                <c:pt idx="296">
                  <c:v>7.401410761154855</c:v>
                </c:pt>
                <c:pt idx="297">
                  <c:v>7.401410761154855</c:v>
                </c:pt>
                <c:pt idx="298">
                  <c:v>7.401410761154855</c:v>
                </c:pt>
                <c:pt idx="300">
                  <c:v>7.401410761154855</c:v>
                </c:pt>
                <c:pt idx="301">
                  <c:v>7.401410761154855</c:v>
                </c:pt>
                <c:pt idx="302">
                  <c:v>7.401410761154855</c:v>
                </c:pt>
                <c:pt idx="303">
                  <c:v>7.401410761154855</c:v>
                </c:pt>
                <c:pt idx="304">
                  <c:v>7.401410761154855</c:v>
                </c:pt>
                <c:pt idx="306">
                  <c:v>7.401410761154855</c:v>
                </c:pt>
                <c:pt idx="307">
                  <c:v>7.401410761154855</c:v>
                </c:pt>
                <c:pt idx="308">
                  <c:v>7.401410761154855</c:v>
                </c:pt>
                <c:pt idx="309">
                  <c:v>7.401410761154855</c:v>
                </c:pt>
                <c:pt idx="310">
                  <c:v>7.401410761154855</c:v>
                </c:pt>
                <c:pt idx="312">
                  <c:v>7.401410761154855</c:v>
                </c:pt>
                <c:pt idx="313">
                  <c:v>7.401410761154855</c:v>
                </c:pt>
                <c:pt idx="314">
                  <c:v>7.401410761154855</c:v>
                </c:pt>
                <c:pt idx="315">
                  <c:v>7.401410761154855</c:v>
                </c:pt>
                <c:pt idx="316">
                  <c:v>7.401410761154855</c:v>
                </c:pt>
                <c:pt idx="318">
                  <c:v>7.401410761154855</c:v>
                </c:pt>
                <c:pt idx="319">
                  <c:v>7.401410761154855</c:v>
                </c:pt>
                <c:pt idx="320">
                  <c:v>7.401410761154855</c:v>
                </c:pt>
                <c:pt idx="321">
                  <c:v>7.401410761154855</c:v>
                </c:pt>
                <c:pt idx="322">
                  <c:v>7.401410761154855</c:v>
                </c:pt>
                <c:pt idx="324">
                  <c:v>7.401410761154855</c:v>
                </c:pt>
                <c:pt idx="325">
                  <c:v>7.401410761154855</c:v>
                </c:pt>
                <c:pt idx="326">
                  <c:v>7.401410761154855</c:v>
                </c:pt>
                <c:pt idx="327">
                  <c:v>7.401410761154855</c:v>
                </c:pt>
                <c:pt idx="328">
                  <c:v>7.401410761154855</c:v>
                </c:pt>
                <c:pt idx="330">
                  <c:v>7.401410761154855</c:v>
                </c:pt>
                <c:pt idx="331">
                  <c:v>7.401410761154855</c:v>
                </c:pt>
                <c:pt idx="332">
                  <c:v>7.401410761154855</c:v>
                </c:pt>
                <c:pt idx="333">
                  <c:v>7.401410761154855</c:v>
                </c:pt>
                <c:pt idx="334">
                  <c:v>7.401410761154855</c:v>
                </c:pt>
                <c:pt idx="336">
                  <c:v>7.401410761154855</c:v>
                </c:pt>
                <c:pt idx="337">
                  <c:v>7.401410761154855</c:v>
                </c:pt>
                <c:pt idx="338">
                  <c:v>7.401410761154855</c:v>
                </c:pt>
                <c:pt idx="339">
                  <c:v>7.401410761154855</c:v>
                </c:pt>
                <c:pt idx="340">
                  <c:v>7.401410761154855</c:v>
                </c:pt>
                <c:pt idx="342">
                  <c:v>7.401410761154855</c:v>
                </c:pt>
                <c:pt idx="343">
                  <c:v>7.401410761154855</c:v>
                </c:pt>
                <c:pt idx="344">
                  <c:v>7.401410761154855</c:v>
                </c:pt>
                <c:pt idx="345">
                  <c:v>7.401410761154855</c:v>
                </c:pt>
                <c:pt idx="346">
                  <c:v>7.401410761154855</c:v>
                </c:pt>
                <c:pt idx="348">
                  <c:v>7.401410761154855</c:v>
                </c:pt>
                <c:pt idx="349">
                  <c:v>7.401410761154855</c:v>
                </c:pt>
                <c:pt idx="350">
                  <c:v>7.401410761154855</c:v>
                </c:pt>
                <c:pt idx="351">
                  <c:v>7.401410761154855</c:v>
                </c:pt>
                <c:pt idx="352">
                  <c:v>7.401410761154855</c:v>
                </c:pt>
                <c:pt idx="354">
                  <c:v>7.401410761154855</c:v>
                </c:pt>
                <c:pt idx="355">
                  <c:v>7.401410761154855</c:v>
                </c:pt>
                <c:pt idx="356">
                  <c:v>7.401410761154855</c:v>
                </c:pt>
                <c:pt idx="357">
                  <c:v>7.401410761154855</c:v>
                </c:pt>
                <c:pt idx="358">
                  <c:v>7.401410761154855</c:v>
                </c:pt>
                <c:pt idx="360">
                  <c:v>7.401410761154855</c:v>
                </c:pt>
                <c:pt idx="361">
                  <c:v>7.401410761154855</c:v>
                </c:pt>
                <c:pt idx="362">
                  <c:v>7.401410761154855</c:v>
                </c:pt>
                <c:pt idx="363">
                  <c:v>7.401410761154855</c:v>
                </c:pt>
                <c:pt idx="364">
                  <c:v>7.401410761154855</c:v>
                </c:pt>
                <c:pt idx="366">
                  <c:v>7.401410761154855</c:v>
                </c:pt>
                <c:pt idx="367">
                  <c:v>7.401410761154855</c:v>
                </c:pt>
                <c:pt idx="368">
                  <c:v>7.401410761154855</c:v>
                </c:pt>
                <c:pt idx="369">
                  <c:v>7.401410761154855</c:v>
                </c:pt>
                <c:pt idx="370">
                  <c:v>7.401410761154855</c:v>
                </c:pt>
                <c:pt idx="372">
                  <c:v>7.401410761154855</c:v>
                </c:pt>
                <c:pt idx="373">
                  <c:v>7.401410761154855</c:v>
                </c:pt>
                <c:pt idx="374">
                  <c:v>7.401410761154855</c:v>
                </c:pt>
                <c:pt idx="375">
                  <c:v>7.401410761154855</c:v>
                </c:pt>
                <c:pt idx="376">
                  <c:v>7.401410761154855</c:v>
                </c:pt>
                <c:pt idx="378">
                  <c:v>7.401410761154855</c:v>
                </c:pt>
                <c:pt idx="379">
                  <c:v>7.401410761154855</c:v>
                </c:pt>
                <c:pt idx="380">
                  <c:v>7.401410761154855</c:v>
                </c:pt>
                <c:pt idx="381">
                  <c:v>7.401410761154855</c:v>
                </c:pt>
                <c:pt idx="382">
                  <c:v>7.401410761154855</c:v>
                </c:pt>
                <c:pt idx="384">
                  <c:v>7.401410761154855</c:v>
                </c:pt>
                <c:pt idx="385">
                  <c:v>7.401410761154855</c:v>
                </c:pt>
                <c:pt idx="386">
                  <c:v>7.401410761154855</c:v>
                </c:pt>
                <c:pt idx="387">
                  <c:v>7.401410761154855</c:v>
                </c:pt>
                <c:pt idx="388">
                  <c:v>7.401410761154855</c:v>
                </c:pt>
                <c:pt idx="390">
                  <c:v>7.401410761154855</c:v>
                </c:pt>
                <c:pt idx="391">
                  <c:v>7.401410761154855</c:v>
                </c:pt>
                <c:pt idx="392">
                  <c:v>7.401410761154855</c:v>
                </c:pt>
                <c:pt idx="393">
                  <c:v>7.401410761154855</c:v>
                </c:pt>
                <c:pt idx="394">
                  <c:v>7.401410761154855</c:v>
                </c:pt>
                <c:pt idx="396">
                  <c:v>7.401410761154855</c:v>
                </c:pt>
                <c:pt idx="397">
                  <c:v>7.401410761154855</c:v>
                </c:pt>
                <c:pt idx="398">
                  <c:v>7.401410761154855</c:v>
                </c:pt>
                <c:pt idx="399">
                  <c:v>7.401410761154855</c:v>
                </c:pt>
                <c:pt idx="400">
                  <c:v>7.401410761154855</c:v>
                </c:pt>
                <c:pt idx="402">
                  <c:v>7.401410761154855</c:v>
                </c:pt>
                <c:pt idx="403">
                  <c:v>7.401410761154855</c:v>
                </c:pt>
                <c:pt idx="404">
                  <c:v>7.401410761154855</c:v>
                </c:pt>
                <c:pt idx="405">
                  <c:v>7.401410761154855</c:v>
                </c:pt>
                <c:pt idx="406">
                  <c:v>7.401410761154855</c:v>
                </c:pt>
                <c:pt idx="408">
                  <c:v>7.401410761154855</c:v>
                </c:pt>
                <c:pt idx="409">
                  <c:v>7.401410761154855</c:v>
                </c:pt>
                <c:pt idx="410">
                  <c:v>7.401410761154855</c:v>
                </c:pt>
                <c:pt idx="411">
                  <c:v>7.401410761154855</c:v>
                </c:pt>
                <c:pt idx="412">
                  <c:v>7.401410761154855</c:v>
                </c:pt>
                <c:pt idx="414">
                  <c:v>7.401410761154855</c:v>
                </c:pt>
                <c:pt idx="415">
                  <c:v>7.401410761154855</c:v>
                </c:pt>
                <c:pt idx="416">
                  <c:v>7.401410761154855</c:v>
                </c:pt>
                <c:pt idx="417">
                  <c:v>7.401410761154855</c:v>
                </c:pt>
                <c:pt idx="418">
                  <c:v>7.401410761154855</c:v>
                </c:pt>
                <c:pt idx="420">
                  <c:v>7.401410761154855</c:v>
                </c:pt>
                <c:pt idx="421">
                  <c:v>7.401410761154855</c:v>
                </c:pt>
                <c:pt idx="422">
                  <c:v>7.401410761154855</c:v>
                </c:pt>
                <c:pt idx="423">
                  <c:v>7.401410761154855</c:v>
                </c:pt>
                <c:pt idx="424">
                  <c:v>7.401410761154855</c:v>
                </c:pt>
                <c:pt idx="426">
                  <c:v>7.401410761154855</c:v>
                </c:pt>
                <c:pt idx="427">
                  <c:v>7.401410761154855</c:v>
                </c:pt>
                <c:pt idx="428">
                  <c:v>7.401410761154855</c:v>
                </c:pt>
                <c:pt idx="429">
                  <c:v>7.401410761154855</c:v>
                </c:pt>
                <c:pt idx="430">
                  <c:v>7.401410761154855</c:v>
                </c:pt>
                <c:pt idx="432">
                  <c:v>7.401410761154855</c:v>
                </c:pt>
                <c:pt idx="433">
                  <c:v>7.401410761154855</c:v>
                </c:pt>
                <c:pt idx="434">
                  <c:v>7.401410761154855</c:v>
                </c:pt>
                <c:pt idx="435">
                  <c:v>7.401410761154855</c:v>
                </c:pt>
                <c:pt idx="436">
                  <c:v>7.401410761154855</c:v>
                </c:pt>
                <c:pt idx="438">
                  <c:v>7.401410761154855</c:v>
                </c:pt>
                <c:pt idx="439">
                  <c:v>7.401410761154855</c:v>
                </c:pt>
                <c:pt idx="440">
                  <c:v>7.401410761154855</c:v>
                </c:pt>
                <c:pt idx="441">
                  <c:v>7.401410761154855</c:v>
                </c:pt>
                <c:pt idx="442">
                  <c:v>7.401410761154855</c:v>
                </c:pt>
                <c:pt idx="444">
                  <c:v>7.401410761154855</c:v>
                </c:pt>
                <c:pt idx="445">
                  <c:v>7.401410761154855</c:v>
                </c:pt>
                <c:pt idx="446">
                  <c:v>7.401410761154855</c:v>
                </c:pt>
                <c:pt idx="447">
                  <c:v>7.401410761154855</c:v>
                </c:pt>
                <c:pt idx="448">
                  <c:v>7.401410761154855</c:v>
                </c:pt>
                <c:pt idx="450">
                  <c:v>7.401410761154855</c:v>
                </c:pt>
                <c:pt idx="451">
                  <c:v>7.401410761154855</c:v>
                </c:pt>
                <c:pt idx="452">
                  <c:v>7.401410761154855</c:v>
                </c:pt>
                <c:pt idx="453">
                  <c:v>7.401410761154855</c:v>
                </c:pt>
                <c:pt idx="454">
                  <c:v>7.401410761154855</c:v>
                </c:pt>
                <c:pt idx="456">
                  <c:v>7.401410761154855</c:v>
                </c:pt>
                <c:pt idx="457">
                  <c:v>7.401410761154855</c:v>
                </c:pt>
                <c:pt idx="458">
                  <c:v>7.401410761154855</c:v>
                </c:pt>
                <c:pt idx="459">
                  <c:v>7.401410761154855</c:v>
                </c:pt>
                <c:pt idx="460">
                  <c:v>7.401410761154855</c:v>
                </c:pt>
                <c:pt idx="462">
                  <c:v>7.401410761154855</c:v>
                </c:pt>
                <c:pt idx="463">
                  <c:v>7.401410761154855</c:v>
                </c:pt>
                <c:pt idx="464">
                  <c:v>7.401410761154855</c:v>
                </c:pt>
                <c:pt idx="465">
                  <c:v>7.401410761154855</c:v>
                </c:pt>
                <c:pt idx="466">
                  <c:v>7.401410761154855</c:v>
                </c:pt>
                <c:pt idx="468">
                  <c:v>7.401410761154855</c:v>
                </c:pt>
                <c:pt idx="469">
                  <c:v>7.401410761154855</c:v>
                </c:pt>
                <c:pt idx="470">
                  <c:v>7.401410761154855</c:v>
                </c:pt>
                <c:pt idx="471">
                  <c:v>7.401410761154855</c:v>
                </c:pt>
                <c:pt idx="472">
                  <c:v>7.401410761154855</c:v>
                </c:pt>
                <c:pt idx="474">
                  <c:v>7.401410761154855</c:v>
                </c:pt>
                <c:pt idx="475">
                  <c:v>7.401410761154855</c:v>
                </c:pt>
                <c:pt idx="476">
                  <c:v>7.401410761154855</c:v>
                </c:pt>
                <c:pt idx="477">
                  <c:v>7.401410761154855</c:v>
                </c:pt>
                <c:pt idx="478">
                  <c:v>7.401410761154855</c:v>
                </c:pt>
                <c:pt idx="480">
                  <c:v>7.401410761154855</c:v>
                </c:pt>
                <c:pt idx="481">
                  <c:v>7.401410761154855</c:v>
                </c:pt>
                <c:pt idx="482">
                  <c:v>7.401410761154855</c:v>
                </c:pt>
                <c:pt idx="483">
                  <c:v>7.401410761154855</c:v>
                </c:pt>
                <c:pt idx="484">
                  <c:v>7.401410761154855</c:v>
                </c:pt>
                <c:pt idx="486">
                  <c:v>7.401410761154855</c:v>
                </c:pt>
                <c:pt idx="487">
                  <c:v>7.401410761154855</c:v>
                </c:pt>
                <c:pt idx="488">
                  <c:v>7.401410761154855</c:v>
                </c:pt>
                <c:pt idx="489">
                  <c:v>7.401410761154855</c:v>
                </c:pt>
                <c:pt idx="490">
                  <c:v>7.401410761154855</c:v>
                </c:pt>
                <c:pt idx="492">
                  <c:v>7.401410761154855</c:v>
                </c:pt>
                <c:pt idx="493">
                  <c:v>7.401410761154855</c:v>
                </c:pt>
                <c:pt idx="494">
                  <c:v>7.401410761154855</c:v>
                </c:pt>
                <c:pt idx="495">
                  <c:v>7.401410761154855</c:v>
                </c:pt>
                <c:pt idx="496">
                  <c:v>7.401410761154855</c:v>
                </c:pt>
                <c:pt idx="498">
                  <c:v>7.401410761154855</c:v>
                </c:pt>
                <c:pt idx="499">
                  <c:v>7.401410761154855</c:v>
                </c:pt>
                <c:pt idx="500">
                  <c:v>7.401410761154855</c:v>
                </c:pt>
                <c:pt idx="501">
                  <c:v>7.401410761154855</c:v>
                </c:pt>
                <c:pt idx="502">
                  <c:v>7.401410761154855</c:v>
                </c:pt>
                <c:pt idx="504">
                  <c:v>7.401410761154855</c:v>
                </c:pt>
                <c:pt idx="505">
                  <c:v>7.401410761154855</c:v>
                </c:pt>
                <c:pt idx="506">
                  <c:v>7.401410761154855</c:v>
                </c:pt>
                <c:pt idx="507">
                  <c:v>7.401410761154855</c:v>
                </c:pt>
                <c:pt idx="508">
                  <c:v>7.401410761154855</c:v>
                </c:pt>
                <c:pt idx="510">
                  <c:v>7.401410761154855</c:v>
                </c:pt>
                <c:pt idx="511">
                  <c:v>7.401410761154855</c:v>
                </c:pt>
                <c:pt idx="512">
                  <c:v>7.401410761154855</c:v>
                </c:pt>
                <c:pt idx="513">
                  <c:v>7.401410761154855</c:v>
                </c:pt>
                <c:pt idx="514">
                  <c:v>7.401410761154855</c:v>
                </c:pt>
                <c:pt idx="516">
                  <c:v>7.401410761154855</c:v>
                </c:pt>
                <c:pt idx="517">
                  <c:v>7.401410761154855</c:v>
                </c:pt>
                <c:pt idx="518">
                  <c:v>7.401410761154855</c:v>
                </c:pt>
                <c:pt idx="519">
                  <c:v>7.401410761154855</c:v>
                </c:pt>
                <c:pt idx="520">
                  <c:v>7.401410761154855</c:v>
                </c:pt>
                <c:pt idx="522">
                  <c:v>7.401410761154855</c:v>
                </c:pt>
                <c:pt idx="523">
                  <c:v>7.401410761154855</c:v>
                </c:pt>
                <c:pt idx="524">
                  <c:v>7.401410761154855</c:v>
                </c:pt>
                <c:pt idx="525">
                  <c:v>7.401410761154855</c:v>
                </c:pt>
                <c:pt idx="526">
                  <c:v>7.401410761154855</c:v>
                </c:pt>
                <c:pt idx="528">
                  <c:v>7.401410761154855</c:v>
                </c:pt>
                <c:pt idx="529">
                  <c:v>7.401410761154855</c:v>
                </c:pt>
                <c:pt idx="530">
                  <c:v>7.401410761154855</c:v>
                </c:pt>
                <c:pt idx="531">
                  <c:v>7.401410761154855</c:v>
                </c:pt>
                <c:pt idx="532">
                  <c:v>7.401410761154855</c:v>
                </c:pt>
                <c:pt idx="534">
                  <c:v>7.401410761154855</c:v>
                </c:pt>
                <c:pt idx="535">
                  <c:v>7.401410761154855</c:v>
                </c:pt>
                <c:pt idx="536">
                  <c:v>7.401410761154855</c:v>
                </c:pt>
                <c:pt idx="537">
                  <c:v>7.401410761154855</c:v>
                </c:pt>
                <c:pt idx="538">
                  <c:v>7.401410761154855</c:v>
                </c:pt>
                <c:pt idx="540">
                  <c:v>7.401410761154855</c:v>
                </c:pt>
                <c:pt idx="541">
                  <c:v>7.401410761154855</c:v>
                </c:pt>
                <c:pt idx="542">
                  <c:v>7.401410761154855</c:v>
                </c:pt>
                <c:pt idx="543">
                  <c:v>7.401410761154855</c:v>
                </c:pt>
                <c:pt idx="544">
                  <c:v>7.401410761154855</c:v>
                </c:pt>
                <c:pt idx="546">
                  <c:v>7.401410761154855</c:v>
                </c:pt>
                <c:pt idx="547">
                  <c:v>7.401410761154855</c:v>
                </c:pt>
                <c:pt idx="548">
                  <c:v>7.401410761154855</c:v>
                </c:pt>
                <c:pt idx="549">
                  <c:v>7.401410761154855</c:v>
                </c:pt>
                <c:pt idx="550">
                  <c:v>7.401410761154855</c:v>
                </c:pt>
                <c:pt idx="552">
                  <c:v>7.401410761154855</c:v>
                </c:pt>
                <c:pt idx="553">
                  <c:v>7.401410761154855</c:v>
                </c:pt>
                <c:pt idx="554">
                  <c:v>7.401410761154855</c:v>
                </c:pt>
                <c:pt idx="555">
                  <c:v>7.401410761154855</c:v>
                </c:pt>
                <c:pt idx="556">
                  <c:v>7.401410761154855</c:v>
                </c:pt>
                <c:pt idx="558">
                  <c:v>7.401410761154855</c:v>
                </c:pt>
                <c:pt idx="559">
                  <c:v>7.401410761154855</c:v>
                </c:pt>
                <c:pt idx="560">
                  <c:v>7.401410761154855</c:v>
                </c:pt>
                <c:pt idx="561">
                  <c:v>7.401410761154855</c:v>
                </c:pt>
                <c:pt idx="562">
                  <c:v>7.401410761154855</c:v>
                </c:pt>
                <c:pt idx="564">
                  <c:v>7.401410761154855</c:v>
                </c:pt>
                <c:pt idx="565">
                  <c:v>7.401410761154855</c:v>
                </c:pt>
                <c:pt idx="566">
                  <c:v>7.401410761154855</c:v>
                </c:pt>
                <c:pt idx="567">
                  <c:v>7.401410761154855</c:v>
                </c:pt>
                <c:pt idx="568">
                  <c:v>7.401410761154855</c:v>
                </c:pt>
                <c:pt idx="570">
                  <c:v>7.401410761154855</c:v>
                </c:pt>
                <c:pt idx="571">
                  <c:v>7.401410761154855</c:v>
                </c:pt>
                <c:pt idx="572">
                  <c:v>7.401410761154855</c:v>
                </c:pt>
                <c:pt idx="573">
                  <c:v>7.401410761154855</c:v>
                </c:pt>
                <c:pt idx="574">
                  <c:v>7.401410761154855</c:v>
                </c:pt>
                <c:pt idx="576">
                  <c:v>7.401410761154855</c:v>
                </c:pt>
                <c:pt idx="577">
                  <c:v>7.401410761154855</c:v>
                </c:pt>
                <c:pt idx="578">
                  <c:v>7.401410761154855</c:v>
                </c:pt>
                <c:pt idx="579">
                  <c:v>7.401410761154855</c:v>
                </c:pt>
                <c:pt idx="580">
                  <c:v>7.401410761154855</c:v>
                </c:pt>
                <c:pt idx="582">
                  <c:v>7.401410761154855</c:v>
                </c:pt>
                <c:pt idx="583">
                  <c:v>7.401410761154855</c:v>
                </c:pt>
                <c:pt idx="584">
                  <c:v>7.401410761154855</c:v>
                </c:pt>
                <c:pt idx="585">
                  <c:v>7.401410761154855</c:v>
                </c:pt>
                <c:pt idx="586">
                  <c:v>7.401410761154855</c:v>
                </c:pt>
                <c:pt idx="588">
                  <c:v>7.401410761154855</c:v>
                </c:pt>
                <c:pt idx="589">
                  <c:v>7.401410761154855</c:v>
                </c:pt>
                <c:pt idx="590">
                  <c:v>7.401410761154855</c:v>
                </c:pt>
                <c:pt idx="591">
                  <c:v>7.401410761154855</c:v>
                </c:pt>
                <c:pt idx="592">
                  <c:v>7.401410761154855</c:v>
                </c:pt>
                <c:pt idx="594">
                  <c:v>7.401410761154855</c:v>
                </c:pt>
                <c:pt idx="595">
                  <c:v>7.401410761154855</c:v>
                </c:pt>
                <c:pt idx="596">
                  <c:v>7.401410761154855</c:v>
                </c:pt>
                <c:pt idx="597">
                  <c:v>7.401410761154855</c:v>
                </c:pt>
                <c:pt idx="598">
                  <c:v>7.401410761154855</c:v>
                </c:pt>
                <c:pt idx="600">
                  <c:v>7.401410761154855</c:v>
                </c:pt>
                <c:pt idx="601">
                  <c:v>7.401410761154855</c:v>
                </c:pt>
                <c:pt idx="602">
                  <c:v>7.401410761154855</c:v>
                </c:pt>
                <c:pt idx="603">
                  <c:v>7.401410761154855</c:v>
                </c:pt>
                <c:pt idx="604">
                  <c:v>7.401410761154855</c:v>
                </c:pt>
                <c:pt idx="606">
                  <c:v>7.401410761154855</c:v>
                </c:pt>
                <c:pt idx="607">
                  <c:v>7.401410761154855</c:v>
                </c:pt>
                <c:pt idx="608">
                  <c:v>7.401410761154855</c:v>
                </c:pt>
                <c:pt idx="609">
                  <c:v>7.401410761154855</c:v>
                </c:pt>
                <c:pt idx="610">
                  <c:v>7.401410761154855</c:v>
                </c:pt>
                <c:pt idx="612">
                  <c:v>7.401410761154855</c:v>
                </c:pt>
                <c:pt idx="613">
                  <c:v>7.401410761154855</c:v>
                </c:pt>
                <c:pt idx="614">
                  <c:v>7.401410761154855</c:v>
                </c:pt>
                <c:pt idx="615">
                  <c:v>7.401410761154855</c:v>
                </c:pt>
                <c:pt idx="616">
                  <c:v>7.401410761154855</c:v>
                </c:pt>
                <c:pt idx="618">
                  <c:v>7.401410761154855</c:v>
                </c:pt>
                <c:pt idx="619">
                  <c:v>7.401410761154855</c:v>
                </c:pt>
                <c:pt idx="620">
                  <c:v>7.401410761154855</c:v>
                </c:pt>
                <c:pt idx="621">
                  <c:v>7.401410761154855</c:v>
                </c:pt>
                <c:pt idx="622">
                  <c:v>7.401410761154855</c:v>
                </c:pt>
                <c:pt idx="624">
                  <c:v>7.401410761154855</c:v>
                </c:pt>
                <c:pt idx="625">
                  <c:v>7.401410761154855</c:v>
                </c:pt>
                <c:pt idx="626">
                  <c:v>7.401410761154855</c:v>
                </c:pt>
                <c:pt idx="627">
                  <c:v>7.401410761154855</c:v>
                </c:pt>
                <c:pt idx="628">
                  <c:v>7.401410761154855</c:v>
                </c:pt>
                <c:pt idx="630">
                  <c:v>7.401410761154855</c:v>
                </c:pt>
                <c:pt idx="631">
                  <c:v>7.401410761154855</c:v>
                </c:pt>
                <c:pt idx="632">
                  <c:v>7.401410761154855</c:v>
                </c:pt>
                <c:pt idx="633">
                  <c:v>7.401410761154855</c:v>
                </c:pt>
                <c:pt idx="634">
                  <c:v>7.401410761154855</c:v>
                </c:pt>
                <c:pt idx="636">
                  <c:v>7.401410761154855</c:v>
                </c:pt>
                <c:pt idx="637">
                  <c:v>7.401410761154855</c:v>
                </c:pt>
                <c:pt idx="638">
                  <c:v>7.401410761154855</c:v>
                </c:pt>
                <c:pt idx="639">
                  <c:v>7.401410761154855</c:v>
                </c:pt>
                <c:pt idx="640">
                  <c:v>7.401410761154855</c:v>
                </c:pt>
                <c:pt idx="642">
                  <c:v>7.401410761154855</c:v>
                </c:pt>
                <c:pt idx="643">
                  <c:v>7.401410761154855</c:v>
                </c:pt>
                <c:pt idx="644">
                  <c:v>7.401410761154855</c:v>
                </c:pt>
                <c:pt idx="645">
                  <c:v>7.401410761154855</c:v>
                </c:pt>
                <c:pt idx="646">
                  <c:v>7.401410761154855</c:v>
                </c:pt>
                <c:pt idx="648">
                  <c:v>7.401410761154855</c:v>
                </c:pt>
                <c:pt idx="649">
                  <c:v>7.401410761154855</c:v>
                </c:pt>
                <c:pt idx="650">
                  <c:v>7.401410761154855</c:v>
                </c:pt>
                <c:pt idx="651">
                  <c:v>7.401410761154855</c:v>
                </c:pt>
                <c:pt idx="652">
                  <c:v>7.401410761154855</c:v>
                </c:pt>
                <c:pt idx="654">
                  <c:v>7.401410761154855</c:v>
                </c:pt>
                <c:pt idx="655">
                  <c:v>7.401410761154855</c:v>
                </c:pt>
                <c:pt idx="656">
                  <c:v>7.401410761154855</c:v>
                </c:pt>
                <c:pt idx="657">
                  <c:v>7.401410761154855</c:v>
                </c:pt>
                <c:pt idx="658">
                  <c:v>7.401410761154855</c:v>
                </c:pt>
                <c:pt idx="660">
                  <c:v>7.401410761154855</c:v>
                </c:pt>
                <c:pt idx="661">
                  <c:v>7.401410761154855</c:v>
                </c:pt>
                <c:pt idx="662">
                  <c:v>7.401410761154855</c:v>
                </c:pt>
                <c:pt idx="663">
                  <c:v>7.401410761154855</c:v>
                </c:pt>
                <c:pt idx="664">
                  <c:v>7.401410761154855</c:v>
                </c:pt>
                <c:pt idx="666">
                  <c:v>7.401410761154855</c:v>
                </c:pt>
                <c:pt idx="667">
                  <c:v>7.401410761154855</c:v>
                </c:pt>
                <c:pt idx="668">
                  <c:v>7.401410761154855</c:v>
                </c:pt>
                <c:pt idx="669">
                  <c:v>7.401410761154855</c:v>
                </c:pt>
                <c:pt idx="670">
                  <c:v>7.401410761154855</c:v>
                </c:pt>
                <c:pt idx="672">
                  <c:v>7.401410761154855</c:v>
                </c:pt>
                <c:pt idx="673">
                  <c:v>7.401410761154855</c:v>
                </c:pt>
                <c:pt idx="674">
                  <c:v>7.401410761154855</c:v>
                </c:pt>
                <c:pt idx="675">
                  <c:v>7.401410761154855</c:v>
                </c:pt>
                <c:pt idx="676">
                  <c:v>7.401410761154855</c:v>
                </c:pt>
                <c:pt idx="678">
                  <c:v>7.401410761154855</c:v>
                </c:pt>
                <c:pt idx="679">
                  <c:v>7.401410761154855</c:v>
                </c:pt>
                <c:pt idx="680">
                  <c:v>7.401410761154855</c:v>
                </c:pt>
                <c:pt idx="681">
                  <c:v>7.401410761154855</c:v>
                </c:pt>
                <c:pt idx="682">
                  <c:v>7.401410761154855</c:v>
                </c:pt>
                <c:pt idx="684">
                  <c:v>7.401410761154855</c:v>
                </c:pt>
                <c:pt idx="685">
                  <c:v>7.401410761154855</c:v>
                </c:pt>
                <c:pt idx="686">
                  <c:v>7.401410761154855</c:v>
                </c:pt>
                <c:pt idx="687">
                  <c:v>7.401410761154855</c:v>
                </c:pt>
                <c:pt idx="688">
                  <c:v>7.401410761154855</c:v>
                </c:pt>
                <c:pt idx="690">
                  <c:v>7.401410761154855</c:v>
                </c:pt>
                <c:pt idx="691">
                  <c:v>7.401410761154855</c:v>
                </c:pt>
                <c:pt idx="692">
                  <c:v>7.401410761154855</c:v>
                </c:pt>
                <c:pt idx="693">
                  <c:v>7.401410761154855</c:v>
                </c:pt>
                <c:pt idx="694">
                  <c:v>7.401410761154855</c:v>
                </c:pt>
                <c:pt idx="696">
                  <c:v>7.401410761154855</c:v>
                </c:pt>
                <c:pt idx="697">
                  <c:v>7.401410761154855</c:v>
                </c:pt>
                <c:pt idx="698">
                  <c:v>7.401410761154855</c:v>
                </c:pt>
                <c:pt idx="699">
                  <c:v>7.401410761154855</c:v>
                </c:pt>
                <c:pt idx="700">
                  <c:v>7.401410761154855</c:v>
                </c:pt>
                <c:pt idx="702">
                  <c:v>7.401410761154855</c:v>
                </c:pt>
                <c:pt idx="703">
                  <c:v>7.401410761154855</c:v>
                </c:pt>
                <c:pt idx="704">
                  <c:v>7.401410761154855</c:v>
                </c:pt>
                <c:pt idx="705">
                  <c:v>7.401410761154855</c:v>
                </c:pt>
                <c:pt idx="706">
                  <c:v>7.401410761154855</c:v>
                </c:pt>
                <c:pt idx="708">
                  <c:v>7.401410761154855</c:v>
                </c:pt>
                <c:pt idx="709">
                  <c:v>7.401410761154855</c:v>
                </c:pt>
                <c:pt idx="710">
                  <c:v>7.401410761154855</c:v>
                </c:pt>
                <c:pt idx="711">
                  <c:v>7.401410761154855</c:v>
                </c:pt>
                <c:pt idx="712">
                  <c:v>7.401410761154855</c:v>
                </c:pt>
                <c:pt idx="714">
                  <c:v>7.401410761154855</c:v>
                </c:pt>
                <c:pt idx="715">
                  <c:v>7.401410761154855</c:v>
                </c:pt>
                <c:pt idx="716">
                  <c:v>7.401410761154855</c:v>
                </c:pt>
                <c:pt idx="717">
                  <c:v>7.401410761154855</c:v>
                </c:pt>
                <c:pt idx="718">
                  <c:v>7.401410761154855</c:v>
                </c:pt>
                <c:pt idx="720">
                  <c:v>7.401410761154855</c:v>
                </c:pt>
                <c:pt idx="721">
                  <c:v>7.401410761154855</c:v>
                </c:pt>
                <c:pt idx="722">
                  <c:v>7.401410761154855</c:v>
                </c:pt>
                <c:pt idx="723">
                  <c:v>7.401410761154855</c:v>
                </c:pt>
                <c:pt idx="724">
                  <c:v>7.401410761154855</c:v>
                </c:pt>
                <c:pt idx="726">
                  <c:v>7.401410761154855</c:v>
                </c:pt>
                <c:pt idx="727">
                  <c:v>7.401410761154855</c:v>
                </c:pt>
                <c:pt idx="728">
                  <c:v>7.401410761154855</c:v>
                </c:pt>
                <c:pt idx="729">
                  <c:v>7.401410761154855</c:v>
                </c:pt>
                <c:pt idx="730">
                  <c:v>7.401410761154855</c:v>
                </c:pt>
                <c:pt idx="732">
                  <c:v>7.401410761154855</c:v>
                </c:pt>
                <c:pt idx="733">
                  <c:v>7.401410761154855</c:v>
                </c:pt>
                <c:pt idx="734">
                  <c:v>7.401410761154855</c:v>
                </c:pt>
                <c:pt idx="735">
                  <c:v>7.401410761154855</c:v>
                </c:pt>
                <c:pt idx="736">
                  <c:v>7.401410761154855</c:v>
                </c:pt>
                <c:pt idx="738">
                  <c:v>7.401410761154855</c:v>
                </c:pt>
                <c:pt idx="739">
                  <c:v>7.401410761154855</c:v>
                </c:pt>
                <c:pt idx="740">
                  <c:v>7.401410761154855</c:v>
                </c:pt>
                <c:pt idx="741">
                  <c:v>7.401410761154855</c:v>
                </c:pt>
                <c:pt idx="742">
                  <c:v>7.401410761154855</c:v>
                </c:pt>
                <c:pt idx="744">
                  <c:v>7.401410761154855</c:v>
                </c:pt>
                <c:pt idx="745">
                  <c:v>7.401410761154855</c:v>
                </c:pt>
                <c:pt idx="746">
                  <c:v>7.401410761154855</c:v>
                </c:pt>
                <c:pt idx="747">
                  <c:v>7.401410761154855</c:v>
                </c:pt>
                <c:pt idx="748">
                  <c:v>7.401410761154855</c:v>
                </c:pt>
                <c:pt idx="750">
                  <c:v>7.401410761154855</c:v>
                </c:pt>
                <c:pt idx="751">
                  <c:v>7.401410761154855</c:v>
                </c:pt>
                <c:pt idx="752">
                  <c:v>7.401410761154855</c:v>
                </c:pt>
                <c:pt idx="753">
                  <c:v>7.401410761154855</c:v>
                </c:pt>
                <c:pt idx="754">
                  <c:v>7.401410761154855</c:v>
                </c:pt>
                <c:pt idx="756">
                  <c:v>7.401410761154855</c:v>
                </c:pt>
                <c:pt idx="757">
                  <c:v>7.401410761154855</c:v>
                </c:pt>
                <c:pt idx="758">
                  <c:v>7.401410761154855</c:v>
                </c:pt>
                <c:pt idx="759">
                  <c:v>7.401410761154855</c:v>
                </c:pt>
                <c:pt idx="760">
                  <c:v>7.401410761154855</c:v>
                </c:pt>
                <c:pt idx="762">
                  <c:v>7.401410761154855</c:v>
                </c:pt>
                <c:pt idx="763">
                  <c:v>7.401410761154855</c:v>
                </c:pt>
                <c:pt idx="764">
                  <c:v>7.401410761154855</c:v>
                </c:pt>
                <c:pt idx="765">
                  <c:v>7.401410761154855</c:v>
                </c:pt>
                <c:pt idx="766">
                  <c:v>7.401410761154855</c:v>
                </c:pt>
                <c:pt idx="768">
                  <c:v>7.401410761154855</c:v>
                </c:pt>
                <c:pt idx="769">
                  <c:v>7.401410761154855</c:v>
                </c:pt>
                <c:pt idx="770">
                  <c:v>7.401410761154855</c:v>
                </c:pt>
                <c:pt idx="771">
                  <c:v>7.401410761154855</c:v>
                </c:pt>
                <c:pt idx="772">
                  <c:v>7.401410761154855</c:v>
                </c:pt>
                <c:pt idx="774">
                  <c:v>7.401410761154855</c:v>
                </c:pt>
                <c:pt idx="775">
                  <c:v>7.401410761154855</c:v>
                </c:pt>
                <c:pt idx="776">
                  <c:v>7.401410761154855</c:v>
                </c:pt>
                <c:pt idx="777">
                  <c:v>7.401410761154855</c:v>
                </c:pt>
                <c:pt idx="778">
                  <c:v>7.401410761154855</c:v>
                </c:pt>
                <c:pt idx="780">
                  <c:v>7.401410761154855</c:v>
                </c:pt>
                <c:pt idx="781">
                  <c:v>7.401410761154855</c:v>
                </c:pt>
                <c:pt idx="782">
                  <c:v>7.401410761154855</c:v>
                </c:pt>
                <c:pt idx="783">
                  <c:v>7.401410761154855</c:v>
                </c:pt>
                <c:pt idx="784">
                  <c:v>7.401410761154855</c:v>
                </c:pt>
                <c:pt idx="786">
                  <c:v>7.401410761154855</c:v>
                </c:pt>
                <c:pt idx="787">
                  <c:v>7.401410761154855</c:v>
                </c:pt>
                <c:pt idx="788">
                  <c:v>7.401410761154855</c:v>
                </c:pt>
                <c:pt idx="789">
                  <c:v>7.401410761154855</c:v>
                </c:pt>
                <c:pt idx="790">
                  <c:v>7.401410761154855</c:v>
                </c:pt>
                <c:pt idx="792">
                  <c:v>7.401410761154855</c:v>
                </c:pt>
                <c:pt idx="793">
                  <c:v>7.401410761154855</c:v>
                </c:pt>
                <c:pt idx="794">
                  <c:v>7.401410761154855</c:v>
                </c:pt>
                <c:pt idx="795">
                  <c:v>7.401410761154855</c:v>
                </c:pt>
                <c:pt idx="796">
                  <c:v>7.401410761154855</c:v>
                </c:pt>
                <c:pt idx="798">
                  <c:v>7.401410761154855</c:v>
                </c:pt>
                <c:pt idx="799">
                  <c:v>7.401410761154855</c:v>
                </c:pt>
                <c:pt idx="800">
                  <c:v>7.401410761154855</c:v>
                </c:pt>
                <c:pt idx="801">
                  <c:v>7.401410761154855</c:v>
                </c:pt>
                <c:pt idx="802">
                  <c:v>7.401410761154855</c:v>
                </c:pt>
                <c:pt idx="804">
                  <c:v>7.401410761154855</c:v>
                </c:pt>
                <c:pt idx="805">
                  <c:v>7.401410761154855</c:v>
                </c:pt>
                <c:pt idx="806">
                  <c:v>7.401410761154855</c:v>
                </c:pt>
                <c:pt idx="807">
                  <c:v>7.401410761154855</c:v>
                </c:pt>
                <c:pt idx="808">
                  <c:v>7.401410761154855</c:v>
                </c:pt>
                <c:pt idx="810">
                  <c:v>7.401410761154855</c:v>
                </c:pt>
                <c:pt idx="811">
                  <c:v>7.401410761154855</c:v>
                </c:pt>
                <c:pt idx="812">
                  <c:v>7.401410761154855</c:v>
                </c:pt>
                <c:pt idx="813">
                  <c:v>7.401410761154855</c:v>
                </c:pt>
                <c:pt idx="814">
                  <c:v>7.401410761154855</c:v>
                </c:pt>
                <c:pt idx="816">
                  <c:v>7.401410761154855</c:v>
                </c:pt>
                <c:pt idx="817">
                  <c:v>7.401410761154855</c:v>
                </c:pt>
                <c:pt idx="818">
                  <c:v>7.401410761154855</c:v>
                </c:pt>
                <c:pt idx="819">
                  <c:v>7.401410761154855</c:v>
                </c:pt>
                <c:pt idx="820">
                  <c:v>7.401410761154855</c:v>
                </c:pt>
                <c:pt idx="822">
                  <c:v>7.401410761154855</c:v>
                </c:pt>
                <c:pt idx="823">
                  <c:v>7.401410761154855</c:v>
                </c:pt>
                <c:pt idx="824">
                  <c:v>7.401410761154855</c:v>
                </c:pt>
                <c:pt idx="825">
                  <c:v>7.401410761154855</c:v>
                </c:pt>
                <c:pt idx="826">
                  <c:v>7.401410761154855</c:v>
                </c:pt>
                <c:pt idx="828">
                  <c:v>7.401410761154855</c:v>
                </c:pt>
                <c:pt idx="829">
                  <c:v>7.401410761154855</c:v>
                </c:pt>
                <c:pt idx="830">
                  <c:v>7.401410761154855</c:v>
                </c:pt>
                <c:pt idx="831">
                  <c:v>7.401410761154855</c:v>
                </c:pt>
                <c:pt idx="832">
                  <c:v>7.401410761154855</c:v>
                </c:pt>
                <c:pt idx="834">
                  <c:v>7.401410761154855</c:v>
                </c:pt>
                <c:pt idx="835">
                  <c:v>7.401410761154855</c:v>
                </c:pt>
                <c:pt idx="836">
                  <c:v>7.401410761154855</c:v>
                </c:pt>
                <c:pt idx="837">
                  <c:v>7.401410761154855</c:v>
                </c:pt>
                <c:pt idx="838">
                  <c:v>7.401410761154855</c:v>
                </c:pt>
                <c:pt idx="840">
                  <c:v>7.401410761154855</c:v>
                </c:pt>
                <c:pt idx="841">
                  <c:v>7.401410761154855</c:v>
                </c:pt>
                <c:pt idx="842">
                  <c:v>7.401410761154855</c:v>
                </c:pt>
                <c:pt idx="843">
                  <c:v>7.401410761154855</c:v>
                </c:pt>
                <c:pt idx="844">
                  <c:v>7.401410761154855</c:v>
                </c:pt>
                <c:pt idx="846">
                  <c:v>7.401410761154855</c:v>
                </c:pt>
                <c:pt idx="847">
                  <c:v>7.401410761154855</c:v>
                </c:pt>
                <c:pt idx="848">
                  <c:v>7.401410761154855</c:v>
                </c:pt>
                <c:pt idx="849">
                  <c:v>7.401410761154855</c:v>
                </c:pt>
                <c:pt idx="850">
                  <c:v>7.401410761154855</c:v>
                </c:pt>
                <c:pt idx="852">
                  <c:v>7.401410761154855</c:v>
                </c:pt>
                <c:pt idx="853">
                  <c:v>7.401410761154855</c:v>
                </c:pt>
                <c:pt idx="854">
                  <c:v>7.401410761154855</c:v>
                </c:pt>
                <c:pt idx="855">
                  <c:v>7.401410761154855</c:v>
                </c:pt>
                <c:pt idx="856">
                  <c:v>7.401410761154855</c:v>
                </c:pt>
                <c:pt idx="858">
                  <c:v>7.401410761154855</c:v>
                </c:pt>
                <c:pt idx="859">
                  <c:v>7.401410761154855</c:v>
                </c:pt>
                <c:pt idx="860">
                  <c:v>7.401410761154855</c:v>
                </c:pt>
                <c:pt idx="861">
                  <c:v>7.401410761154855</c:v>
                </c:pt>
                <c:pt idx="862">
                  <c:v>7.401410761154855</c:v>
                </c:pt>
                <c:pt idx="864">
                  <c:v>7.401410761154855</c:v>
                </c:pt>
                <c:pt idx="865">
                  <c:v>7.401410761154855</c:v>
                </c:pt>
                <c:pt idx="866">
                  <c:v>7.401410761154855</c:v>
                </c:pt>
                <c:pt idx="867">
                  <c:v>7.401410761154855</c:v>
                </c:pt>
                <c:pt idx="868">
                  <c:v>7.401410761154855</c:v>
                </c:pt>
                <c:pt idx="870">
                  <c:v>7.401410761154855</c:v>
                </c:pt>
                <c:pt idx="871">
                  <c:v>7.401410761154855</c:v>
                </c:pt>
                <c:pt idx="872">
                  <c:v>7.401410761154855</c:v>
                </c:pt>
                <c:pt idx="873">
                  <c:v>7.401410761154855</c:v>
                </c:pt>
                <c:pt idx="874">
                  <c:v>7.401410761154855</c:v>
                </c:pt>
                <c:pt idx="876">
                  <c:v>7.401410761154855</c:v>
                </c:pt>
                <c:pt idx="877">
                  <c:v>7.401410761154855</c:v>
                </c:pt>
                <c:pt idx="878">
                  <c:v>7.401410761154855</c:v>
                </c:pt>
                <c:pt idx="879">
                  <c:v>7.401410761154855</c:v>
                </c:pt>
                <c:pt idx="880">
                  <c:v>7.401410761154855</c:v>
                </c:pt>
                <c:pt idx="882">
                  <c:v>7.401410761154855</c:v>
                </c:pt>
                <c:pt idx="883">
                  <c:v>7.401410761154855</c:v>
                </c:pt>
                <c:pt idx="884">
                  <c:v>7.401410761154855</c:v>
                </c:pt>
                <c:pt idx="885">
                  <c:v>7.401410761154855</c:v>
                </c:pt>
                <c:pt idx="886">
                  <c:v>7.401410761154855</c:v>
                </c:pt>
                <c:pt idx="888">
                  <c:v>7.401410761154855</c:v>
                </c:pt>
                <c:pt idx="889">
                  <c:v>7.401410761154855</c:v>
                </c:pt>
                <c:pt idx="890">
                  <c:v>7.401410761154855</c:v>
                </c:pt>
                <c:pt idx="891">
                  <c:v>7.401410761154855</c:v>
                </c:pt>
                <c:pt idx="892">
                  <c:v>7.401410761154855</c:v>
                </c:pt>
                <c:pt idx="894">
                  <c:v>7.401410761154855</c:v>
                </c:pt>
                <c:pt idx="895">
                  <c:v>7.401410761154855</c:v>
                </c:pt>
                <c:pt idx="896">
                  <c:v>7.401410761154855</c:v>
                </c:pt>
                <c:pt idx="897">
                  <c:v>7.401410761154855</c:v>
                </c:pt>
                <c:pt idx="898">
                  <c:v>7.401410761154855</c:v>
                </c:pt>
                <c:pt idx="900">
                  <c:v>7.401410761154855</c:v>
                </c:pt>
                <c:pt idx="901">
                  <c:v>7.401410761154855</c:v>
                </c:pt>
                <c:pt idx="902">
                  <c:v>7.401410761154855</c:v>
                </c:pt>
                <c:pt idx="903">
                  <c:v>7.401410761154855</c:v>
                </c:pt>
                <c:pt idx="904">
                  <c:v>7.401410761154855</c:v>
                </c:pt>
                <c:pt idx="906">
                  <c:v>7.401410761154855</c:v>
                </c:pt>
                <c:pt idx="907">
                  <c:v>7.401410761154855</c:v>
                </c:pt>
                <c:pt idx="908">
                  <c:v>7.401410761154855</c:v>
                </c:pt>
                <c:pt idx="909">
                  <c:v>7.401410761154855</c:v>
                </c:pt>
                <c:pt idx="910">
                  <c:v>7.401410761154855</c:v>
                </c:pt>
                <c:pt idx="912">
                  <c:v>7.401410761154855</c:v>
                </c:pt>
                <c:pt idx="913">
                  <c:v>7.401410761154855</c:v>
                </c:pt>
                <c:pt idx="914">
                  <c:v>7.401410761154855</c:v>
                </c:pt>
                <c:pt idx="915">
                  <c:v>7.401410761154855</c:v>
                </c:pt>
                <c:pt idx="916">
                  <c:v>7.401410761154855</c:v>
                </c:pt>
                <c:pt idx="918">
                  <c:v>7.401410761154855</c:v>
                </c:pt>
                <c:pt idx="919">
                  <c:v>7.401410761154855</c:v>
                </c:pt>
                <c:pt idx="920">
                  <c:v>7.401410761154855</c:v>
                </c:pt>
                <c:pt idx="921">
                  <c:v>7.401410761154855</c:v>
                </c:pt>
                <c:pt idx="922">
                  <c:v>7.401410761154855</c:v>
                </c:pt>
                <c:pt idx="924">
                  <c:v>7.401410761154855</c:v>
                </c:pt>
                <c:pt idx="925">
                  <c:v>7.401410761154855</c:v>
                </c:pt>
                <c:pt idx="926">
                  <c:v>7.401410761154855</c:v>
                </c:pt>
                <c:pt idx="927">
                  <c:v>7.401410761154855</c:v>
                </c:pt>
                <c:pt idx="928">
                  <c:v>7.401410761154855</c:v>
                </c:pt>
                <c:pt idx="930">
                  <c:v>7.401410761154855</c:v>
                </c:pt>
                <c:pt idx="931">
                  <c:v>7.401410761154855</c:v>
                </c:pt>
                <c:pt idx="932">
                  <c:v>7.401410761154855</c:v>
                </c:pt>
                <c:pt idx="933">
                  <c:v>7.401410761154855</c:v>
                </c:pt>
                <c:pt idx="934">
                  <c:v>7.401410761154855</c:v>
                </c:pt>
                <c:pt idx="936">
                  <c:v>7.401410761154855</c:v>
                </c:pt>
                <c:pt idx="937">
                  <c:v>7.401410761154855</c:v>
                </c:pt>
                <c:pt idx="938">
                  <c:v>7.401410761154855</c:v>
                </c:pt>
                <c:pt idx="939">
                  <c:v>7.401410761154855</c:v>
                </c:pt>
                <c:pt idx="940">
                  <c:v>7.401410761154855</c:v>
                </c:pt>
                <c:pt idx="942">
                  <c:v>7.401410761154855</c:v>
                </c:pt>
                <c:pt idx="943">
                  <c:v>7.401410761154855</c:v>
                </c:pt>
                <c:pt idx="944">
                  <c:v>7.401410761154855</c:v>
                </c:pt>
                <c:pt idx="945">
                  <c:v>7.401410761154855</c:v>
                </c:pt>
                <c:pt idx="946">
                  <c:v>7.401410761154855</c:v>
                </c:pt>
                <c:pt idx="948">
                  <c:v>7.401410761154855</c:v>
                </c:pt>
                <c:pt idx="949">
                  <c:v>7.401410761154855</c:v>
                </c:pt>
                <c:pt idx="950">
                  <c:v>7.401410761154855</c:v>
                </c:pt>
                <c:pt idx="951">
                  <c:v>7.401410761154855</c:v>
                </c:pt>
                <c:pt idx="952">
                  <c:v>7.401410761154855</c:v>
                </c:pt>
                <c:pt idx="954">
                  <c:v>7.401410761154855</c:v>
                </c:pt>
                <c:pt idx="955">
                  <c:v>7.401410761154855</c:v>
                </c:pt>
                <c:pt idx="956">
                  <c:v>7.401410761154855</c:v>
                </c:pt>
                <c:pt idx="957">
                  <c:v>7.401410761154855</c:v>
                </c:pt>
                <c:pt idx="958">
                  <c:v>7.401410761154855</c:v>
                </c:pt>
                <c:pt idx="960">
                  <c:v>7.401410761154855</c:v>
                </c:pt>
                <c:pt idx="961">
                  <c:v>7.401410761154855</c:v>
                </c:pt>
                <c:pt idx="962">
                  <c:v>7.401410761154855</c:v>
                </c:pt>
                <c:pt idx="963">
                  <c:v>7.401410761154855</c:v>
                </c:pt>
                <c:pt idx="964">
                  <c:v>7.401410761154855</c:v>
                </c:pt>
                <c:pt idx="966">
                  <c:v>7.401410761154855</c:v>
                </c:pt>
                <c:pt idx="967">
                  <c:v>7.401410761154855</c:v>
                </c:pt>
                <c:pt idx="968">
                  <c:v>7.401410761154855</c:v>
                </c:pt>
                <c:pt idx="969">
                  <c:v>7.401410761154855</c:v>
                </c:pt>
                <c:pt idx="970">
                  <c:v>7.401410761154855</c:v>
                </c:pt>
                <c:pt idx="972">
                  <c:v>7.401410761154855</c:v>
                </c:pt>
                <c:pt idx="973">
                  <c:v>7.401410761154855</c:v>
                </c:pt>
                <c:pt idx="974">
                  <c:v>7.401410761154855</c:v>
                </c:pt>
                <c:pt idx="975">
                  <c:v>7.401410761154855</c:v>
                </c:pt>
                <c:pt idx="976">
                  <c:v>7.401410761154855</c:v>
                </c:pt>
                <c:pt idx="978">
                  <c:v>7.401410761154855</c:v>
                </c:pt>
                <c:pt idx="979">
                  <c:v>7.401410761154855</c:v>
                </c:pt>
                <c:pt idx="980">
                  <c:v>7.401410761154855</c:v>
                </c:pt>
                <c:pt idx="981">
                  <c:v>7.401410761154855</c:v>
                </c:pt>
                <c:pt idx="982">
                  <c:v>7.401410761154855</c:v>
                </c:pt>
                <c:pt idx="984">
                  <c:v>7.401410761154855</c:v>
                </c:pt>
                <c:pt idx="985">
                  <c:v>7.401410761154855</c:v>
                </c:pt>
                <c:pt idx="986">
                  <c:v>7.401410761154855</c:v>
                </c:pt>
                <c:pt idx="987">
                  <c:v>7.401410761154855</c:v>
                </c:pt>
                <c:pt idx="988">
                  <c:v>7.401410761154855</c:v>
                </c:pt>
                <c:pt idx="990">
                  <c:v>7.401410761154855</c:v>
                </c:pt>
                <c:pt idx="991">
                  <c:v>7.401410761154855</c:v>
                </c:pt>
                <c:pt idx="992">
                  <c:v>7.401410761154855</c:v>
                </c:pt>
                <c:pt idx="993">
                  <c:v>7.401410761154855</c:v>
                </c:pt>
                <c:pt idx="994">
                  <c:v>7.401410761154855</c:v>
                </c:pt>
                <c:pt idx="996">
                  <c:v>7.401410761154855</c:v>
                </c:pt>
                <c:pt idx="997">
                  <c:v>7.401410761154855</c:v>
                </c:pt>
                <c:pt idx="998">
                  <c:v>7.401410761154855</c:v>
                </c:pt>
                <c:pt idx="999">
                  <c:v>7.401410761154855</c:v>
                </c:pt>
                <c:pt idx="1000">
                  <c:v>7.401410761154855</c:v>
                </c:pt>
                <c:pt idx="1002">
                  <c:v>7.401410761154855</c:v>
                </c:pt>
                <c:pt idx="1003">
                  <c:v>7.401410761154855</c:v>
                </c:pt>
                <c:pt idx="1004">
                  <c:v>7.401410761154855</c:v>
                </c:pt>
                <c:pt idx="1005">
                  <c:v>7.401410761154855</c:v>
                </c:pt>
                <c:pt idx="1006">
                  <c:v>7.401410761154855</c:v>
                </c:pt>
                <c:pt idx="1008">
                  <c:v>7.401410761154855</c:v>
                </c:pt>
                <c:pt idx="1009">
                  <c:v>7.401410761154855</c:v>
                </c:pt>
                <c:pt idx="1010">
                  <c:v>7.401410761154855</c:v>
                </c:pt>
                <c:pt idx="1011">
                  <c:v>7.401410761154855</c:v>
                </c:pt>
                <c:pt idx="1012">
                  <c:v>7.401410761154855</c:v>
                </c:pt>
                <c:pt idx="1014">
                  <c:v>7.401410761154855</c:v>
                </c:pt>
                <c:pt idx="1015">
                  <c:v>7.401410761154855</c:v>
                </c:pt>
                <c:pt idx="1016">
                  <c:v>7.401410761154855</c:v>
                </c:pt>
                <c:pt idx="1017">
                  <c:v>7.401410761154855</c:v>
                </c:pt>
                <c:pt idx="1018">
                  <c:v>7.401410761154855</c:v>
                </c:pt>
                <c:pt idx="1020">
                  <c:v>7.401410761154855</c:v>
                </c:pt>
                <c:pt idx="1021">
                  <c:v>7.401410761154855</c:v>
                </c:pt>
                <c:pt idx="1022">
                  <c:v>7.401410761154855</c:v>
                </c:pt>
                <c:pt idx="1023">
                  <c:v>7.401410761154855</c:v>
                </c:pt>
                <c:pt idx="1024">
                  <c:v>7.401410761154855</c:v>
                </c:pt>
                <c:pt idx="1026">
                  <c:v>7.401410761154855</c:v>
                </c:pt>
                <c:pt idx="1027">
                  <c:v>7.401410761154855</c:v>
                </c:pt>
                <c:pt idx="1028">
                  <c:v>7.401410761154855</c:v>
                </c:pt>
                <c:pt idx="1029">
                  <c:v>7.401410761154855</c:v>
                </c:pt>
                <c:pt idx="1030">
                  <c:v>7.401410761154855</c:v>
                </c:pt>
                <c:pt idx="1032">
                  <c:v>7.401410761154855</c:v>
                </c:pt>
                <c:pt idx="1033">
                  <c:v>7.401410761154855</c:v>
                </c:pt>
                <c:pt idx="1034">
                  <c:v>7.401410761154855</c:v>
                </c:pt>
                <c:pt idx="1035">
                  <c:v>7.401410761154855</c:v>
                </c:pt>
                <c:pt idx="1036">
                  <c:v>7.401410761154855</c:v>
                </c:pt>
                <c:pt idx="1038">
                  <c:v>7.401410761154855</c:v>
                </c:pt>
                <c:pt idx="1039">
                  <c:v>7.401410761154855</c:v>
                </c:pt>
                <c:pt idx="1040">
                  <c:v>7.401410761154855</c:v>
                </c:pt>
                <c:pt idx="1041">
                  <c:v>7.401410761154855</c:v>
                </c:pt>
                <c:pt idx="1042">
                  <c:v>7.401410761154855</c:v>
                </c:pt>
                <c:pt idx="1044">
                  <c:v>7.401410761154855</c:v>
                </c:pt>
                <c:pt idx="1045">
                  <c:v>7.401410761154855</c:v>
                </c:pt>
                <c:pt idx="1046">
                  <c:v>7.401410761154855</c:v>
                </c:pt>
                <c:pt idx="1047">
                  <c:v>7.401410761154855</c:v>
                </c:pt>
                <c:pt idx="1048">
                  <c:v>7.401410761154855</c:v>
                </c:pt>
                <c:pt idx="1050">
                  <c:v>7.401410761154855</c:v>
                </c:pt>
                <c:pt idx="1051">
                  <c:v>7.401410761154855</c:v>
                </c:pt>
                <c:pt idx="1052">
                  <c:v>7.401410761154855</c:v>
                </c:pt>
                <c:pt idx="1053">
                  <c:v>7.401410761154855</c:v>
                </c:pt>
                <c:pt idx="1054">
                  <c:v>7.401410761154855</c:v>
                </c:pt>
                <c:pt idx="1056">
                  <c:v>7.401410761154855</c:v>
                </c:pt>
                <c:pt idx="1057">
                  <c:v>7.401410761154855</c:v>
                </c:pt>
                <c:pt idx="1058">
                  <c:v>7.401410761154855</c:v>
                </c:pt>
                <c:pt idx="1059">
                  <c:v>7.401410761154855</c:v>
                </c:pt>
                <c:pt idx="1060">
                  <c:v>7.401410761154855</c:v>
                </c:pt>
                <c:pt idx="1062">
                  <c:v>7.401410761154855</c:v>
                </c:pt>
                <c:pt idx="1063">
                  <c:v>7.401410761154855</c:v>
                </c:pt>
                <c:pt idx="1064">
                  <c:v>7.401410761154855</c:v>
                </c:pt>
                <c:pt idx="1065">
                  <c:v>7.401410761154855</c:v>
                </c:pt>
                <c:pt idx="1066">
                  <c:v>7.401410761154855</c:v>
                </c:pt>
                <c:pt idx="1068">
                  <c:v>7.401410761154855</c:v>
                </c:pt>
                <c:pt idx="1069">
                  <c:v>7.401410761154855</c:v>
                </c:pt>
                <c:pt idx="1070">
                  <c:v>7.401410761154855</c:v>
                </c:pt>
                <c:pt idx="1071">
                  <c:v>7.401410761154855</c:v>
                </c:pt>
                <c:pt idx="1072">
                  <c:v>7.401410761154855</c:v>
                </c:pt>
                <c:pt idx="1074">
                  <c:v>7.401410761154855</c:v>
                </c:pt>
                <c:pt idx="1075">
                  <c:v>7.401410761154855</c:v>
                </c:pt>
                <c:pt idx="1076">
                  <c:v>7.401410761154855</c:v>
                </c:pt>
                <c:pt idx="1077">
                  <c:v>7.401410761154855</c:v>
                </c:pt>
                <c:pt idx="1078">
                  <c:v>7.401410761154855</c:v>
                </c:pt>
                <c:pt idx="1080">
                  <c:v>7.401410761154855</c:v>
                </c:pt>
                <c:pt idx="1081">
                  <c:v>7.401410761154855</c:v>
                </c:pt>
                <c:pt idx="1082">
                  <c:v>7.401410761154855</c:v>
                </c:pt>
                <c:pt idx="1083">
                  <c:v>7.401410761154855</c:v>
                </c:pt>
                <c:pt idx="1084">
                  <c:v>7.401410761154855</c:v>
                </c:pt>
                <c:pt idx="1086">
                  <c:v>7.401410761154855</c:v>
                </c:pt>
                <c:pt idx="1087">
                  <c:v>7.401410761154855</c:v>
                </c:pt>
                <c:pt idx="1088">
                  <c:v>7.401410761154855</c:v>
                </c:pt>
                <c:pt idx="1089">
                  <c:v>7.401410761154855</c:v>
                </c:pt>
                <c:pt idx="1090">
                  <c:v>7.401410761154855</c:v>
                </c:pt>
                <c:pt idx="1092">
                  <c:v>7.401410761154855</c:v>
                </c:pt>
                <c:pt idx="1093">
                  <c:v>7.401410761154855</c:v>
                </c:pt>
                <c:pt idx="1094">
                  <c:v>7.401410761154855</c:v>
                </c:pt>
                <c:pt idx="1095">
                  <c:v>7.401410761154855</c:v>
                </c:pt>
                <c:pt idx="1096">
                  <c:v>7.401410761154855</c:v>
                </c:pt>
                <c:pt idx="1098">
                  <c:v>7.401410761154855</c:v>
                </c:pt>
                <c:pt idx="1099">
                  <c:v>7.401410761154855</c:v>
                </c:pt>
                <c:pt idx="1100">
                  <c:v>7.401410761154855</c:v>
                </c:pt>
                <c:pt idx="1101">
                  <c:v>7.401410761154855</c:v>
                </c:pt>
                <c:pt idx="1102">
                  <c:v>7.401410761154855</c:v>
                </c:pt>
                <c:pt idx="1104">
                  <c:v>7.401410761154855</c:v>
                </c:pt>
                <c:pt idx="1105">
                  <c:v>7.401410761154855</c:v>
                </c:pt>
                <c:pt idx="1106">
                  <c:v>7.401410761154855</c:v>
                </c:pt>
                <c:pt idx="1107">
                  <c:v>7.401410761154855</c:v>
                </c:pt>
                <c:pt idx="1108">
                  <c:v>7.401410761154855</c:v>
                </c:pt>
                <c:pt idx="1110">
                  <c:v>7.401410761154855</c:v>
                </c:pt>
                <c:pt idx="1111">
                  <c:v>7.401410761154855</c:v>
                </c:pt>
                <c:pt idx="1112">
                  <c:v>7.401410761154855</c:v>
                </c:pt>
                <c:pt idx="1113">
                  <c:v>7.401410761154855</c:v>
                </c:pt>
                <c:pt idx="1114">
                  <c:v>7.401410761154855</c:v>
                </c:pt>
                <c:pt idx="1116">
                  <c:v>7.401410761154855</c:v>
                </c:pt>
                <c:pt idx="1117">
                  <c:v>7.401410761154855</c:v>
                </c:pt>
                <c:pt idx="1118">
                  <c:v>7.401410761154855</c:v>
                </c:pt>
                <c:pt idx="1119">
                  <c:v>7.401410761154855</c:v>
                </c:pt>
                <c:pt idx="1120">
                  <c:v>7.401410761154855</c:v>
                </c:pt>
                <c:pt idx="1122">
                  <c:v>7.401410761154855</c:v>
                </c:pt>
                <c:pt idx="1123">
                  <c:v>7.401410761154855</c:v>
                </c:pt>
                <c:pt idx="1124">
                  <c:v>7.401410761154855</c:v>
                </c:pt>
                <c:pt idx="1125">
                  <c:v>7.401410761154855</c:v>
                </c:pt>
                <c:pt idx="1126">
                  <c:v>7.401410761154855</c:v>
                </c:pt>
                <c:pt idx="1128">
                  <c:v>7.401410761154855</c:v>
                </c:pt>
                <c:pt idx="1129">
                  <c:v>7.401410761154855</c:v>
                </c:pt>
                <c:pt idx="1130">
                  <c:v>7.401410761154855</c:v>
                </c:pt>
                <c:pt idx="1131">
                  <c:v>7.401410761154855</c:v>
                </c:pt>
                <c:pt idx="1132">
                  <c:v>7.401410761154855</c:v>
                </c:pt>
                <c:pt idx="1134">
                  <c:v>7.401410761154855</c:v>
                </c:pt>
                <c:pt idx="1135">
                  <c:v>7.401410761154855</c:v>
                </c:pt>
                <c:pt idx="1136">
                  <c:v>7.401410761154855</c:v>
                </c:pt>
                <c:pt idx="1137">
                  <c:v>7.401410761154855</c:v>
                </c:pt>
                <c:pt idx="1138">
                  <c:v>7.401410761154855</c:v>
                </c:pt>
                <c:pt idx="1140">
                  <c:v>7.401410761154855</c:v>
                </c:pt>
                <c:pt idx="1141">
                  <c:v>7.401410761154855</c:v>
                </c:pt>
                <c:pt idx="1142">
                  <c:v>7.401410761154855</c:v>
                </c:pt>
                <c:pt idx="1143">
                  <c:v>7.401410761154855</c:v>
                </c:pt>
                <c:pt idx="1144">
                  <c:v>7.401410761154855</c:v>
                </c:pt>
                <c:pt idx="1146">
                  <c:v>7.401410761154855</c:v>
                </c:pt>
                <c:pt idx="1147">
                  <c:v>7.401410761154855</c:v>
                </c:pt>
                <c:pt idx="1148">
                  <c:v>7.401410761154855</c:v>
                </c:pt>
                <c:pt idx="1149">
                  <c:v>7.401410761154855</c:v>
                </c:pt>
                <c:pt idx="1150">
                  <c:v>7.401410761154855</c:v>
                </c:pt>
                <c:pt idx="1152">
                  <c:v>7.401410761154855</c:v>
                </c:pt>
                <c:pt idx="1153">
                  <c:v>7.401410761154855</c:v>
                </c:pt>
                <c:pt idx="1154">
                  <c:v>7.401410761154855</c:v>
                </c:pt>
                <c:pt idx="1155">
                  <c:v>7.401410761154855</c:v>
                </c:pt>
                <c:pt idx="1156">
                  <c:v>7.401410761154855</c:v>
                </c:pt>
                <c:pt idx="1158">
                  <c:v>7.401410761154855</c:v>
                </c:pt>
                <c:pt idx="1159">
                  <c:v>7.401410761154855</c:v>
                </c:pt>
                <c:pt idx="1160">
                  <c:v>7.401410761154855</c:v>
                </c:pt>
                <c:pt idx="1161">
                  <c:v>7.401410761154855</c:v>
                </c:pt>
                <c:pt idx="1162">
                  <c:v>7.401410761154855</c:v>
                </c:pt>
                <c:pt idx="1164">
                  <c:v>7.401410761154855</c:v>
                </c:pt>
                <c:pt idx="1165">
                  <c:v>7.401410761154855</c:v>
                </c:pt>
                <c:pt idx="1166">
                  <c:v>7.401410761154855</c:v>
                </c:pt>
                <c:pt idx="1167">
                  <c:v>7.401410761154855</c:v>
                </c:pt>
                <c:pt idx="1168">
                  <c:v>7.401410761154855</c:v>
                </c:pt>
                <c:pt idx="1170">
                  <c:v>7.401410761154855</c:v>
                </c:pt>
                <c:pt idx="1171">
                  <c:v>7.401410761154855</c:v>
                </c:pt>
                <c:pt idx="1172">
                  <c:v>7.401410761154855</c:v>
                </c:pt>
                <c:pt idx="1173">
                  <c:v>7.401410761154855</c:v>
                </c:pt>
                <c:pt idx="1174">
                  <c:v>7.401410761154855</c:v>
                </c:pt>
                <c:pt idx="1176">
                  <c:v>7.401410761154855</c:v>
                </c:pt>
                <c:pt idx="1177">
                  <c:v>7.401410761154855</c:v>
                </c:pt>
                <c:pt idx="1178">
                  <c:v>7.401410761154855</c:v>
                </c:pt>
                <c:pt idx="1179">
                  <c:v>7.401410761154855</c:v>
                </c:pt>
                <c:pt idx="1180">
                  <c:v>7.401410761154855</c:v>
                </c:pt>
                <c:pt idx="1182">
                  <c:v>7.401410761154855</c:v>
                </c:pt>
                <c:pt idx="1183">
                  <c:v>7.401410761154855</c:v>
                </c:pt>
                <c:pt idx="1184">
                  <c:v>7.401410761154855</c:v>
                </c:pt>
                <c:pt idx="1185">
                  <c:v>7.401410761154855</c:v>
                </c:pt>
                <c:pt idx="1186">
                  <c:v>7.401410761154855</c:v>
                </c:pt>
                <c:pt idx="1188">
                  <c:v>7.401410761154855</c:v>
                </c:pt>
                <c:pt idx="1189">
                  <c:v>7.401410761154855</c:v>
                </c:pt>
                <c:pt idx="1190">
                  <c:v>7.401410761154855</c:v>
                </c:pt>
                <c:pt idx="1191">
                  <c:v>7.401410761154855</c:v>
                </c:pt>
                <c:pt idx="1192">
                  <c:v>7.401410761154855</c:v>
                </c:pt>
                <c:pt idx="1194">
                  <c:v>7.401410761154855</c:v>
                </c:pt>
                <c:pt idx="1195">
                  <c:v>7.401410761154855</c:v>
                </c:pt>
                <c:pt idx="1196">
                  <c:v>7.401410761154855</c:v>
                </c:pt>
                <c:pt idx="1197">
                  <c:v>7.401410761154855</c:v>
                </c:pt>
                <c:pt idx="1198">
                  <c:v>7.401410761154855</c:v>
                </c:pt>
                <c:pt idx="1200">
                  <c:v>7.401410761154855</c:v>
                </c:pt>
                <c:pt idx="1201">
                  <c:v>7.401410761154855</c:v>
                </c:pt>
                <c:pt idx="1202">
                  <c:v>7.401410761154855</c:v>
                </c:pt>
                <c:pt idx="1203">
                  <c:v>7.401410761154855</c:v>
                </c:pt>
                <c:pt idx="1204">
                  <c:v>7.401410761154855</c:v>
                </c:pt>
                <c:pt idx="1206">
                  <c:v>7.401410761154855</c:v>
                </c:pt>
                <c:pt idx="1207">
                  <c:v>7.401410761154855</c:v>
                </c:pt>
                <c:pt idx="1208">
                  <c:v>7.401410761154855</c:v>
                </c:pt>
                <c:pt idx="1209">
                  <c:v>7.401410761154855</c:v>
                </c:pt>
                <c:pt idx="1210">
                  <c:v>7.401410761154855</c:v>
                </c:pt>
                <c:pt idx="1212">
                  <c:v>7.401410761154855</c:v>
                </c:pt>
                <c:pt idx="1213">
                  <c:v>7.401410761154855</c:v>
                </c:pt>
                <c:pt idx="1214">
                  <c:v>7.401410761154855</c:v>
                </c:pt>
                <c:pt idx="1215">
                  <c:v>7.401410761154855</c:v>
                </c:pt>
                <c:pt idx="1216">
                  <c:v>7.401410761154855</c:v>
                </c:pt>
                <c:pt idx="1218">
                  <c:v>7.401410761154855</c:v>
                </c:pt>
                <c:pt idx="1219">
                  <c:v>7.401410761154855</c:v>
                </c:pt>
                <c:pt idx="1220">
                  <c:v>7.401410761154855</c:v>
                </c:pt>
                <c:pt idx="1221">
                  <c:v>7.401410761154855</c:v>
                </c:pt>
                <c:pt idx="1222">
                  <c:v>7.401410761154855</c:v>
                </c:pt>
                <c:pt idx="1224">
                  <c:v>7.401410761154855</c:v>
                </c:pt>
                <c:pt idx="1225">
                  <c:v>7.401410761154855</c:v>
                </c:pt>
                <c:pt idx="1226">
                  <c:v>7.401410761154855</c:v>
                </c:pt>
                <c:pt idx="1227">
                  <c:v>7.401410761154855</c:v>
                </c:pt>
                <c:pt idx="1228">
                  <c:v>7.401410761154855</c:v>
                </c:pt>
                <c:pt idx="1230">
                  <c:v>7.401410761154855</c:v>
                </c:pt>
                <c:pt idx="1231">
                  <c:v>7.401410761154855</c:v>
                </c:pt>
                <c:pt idx="1232">
                  <c:v>7.401410761154855</c:v>
                </c:pt>
                <c:pt idx="1233">
                  <c:v>7.401410761154855</c:v>
                </c:pt>
                <c:pt idx="1234">
                  <c:v>7.401410761154855</c:v>
                </c:pt>
                <c:pt idx="1236">
                  <c:v>7.401410761154855</c:v>
                </c:pt>
                <c:pt idx="1237">
                  <c:v>7.401410761154855</c:v>
                </c:pt>
                <c:pt idx="1238">
                  <c:v>7.401410761154855</c:v>
                </c:pt>
                <c:pt idx="1239">
                  <c:v>7.401410761154855</c:v>
                </c:pt>
                <c:pt idx="1240">
                  <c:v>7.401410761154855</c:v>
                </c:pt>
                <c:pt idx="1242">
                  <c:v>7.401410761154855</c:v>
                </c:pt>
                <c:pt idx="1243">
                  <c:v>7.401410761154855</c:v>
                </c:pt>
                <c:pt idx="1244">
                  <c:v>7.401410761154855</c:v>
                </c:pt>
                <c:pt idx="1245">
                  <c:v>7.401410761154855</c:v>
                </c:pt>
                <c:pt idx="1246">
                  <c:v>7.401410761154855</c:v>
                </c:pt>
                <c:pt idx="1248">
                  <c:v>7.401410761154855</c:v>
                </c:pt>
                <c:pt idx="1249">
                  <c:v>7.401410761154855</c:v>
                </c:pt>
                <c:pt idx="1250">
                  <c:v>7.401410761154855</c:v>
                </c:pt>
                <c:pt idx="1251">
                  <c:v>7.401410761154855</c:v>
                </c:pt>
                <c:pt idx="1252">
                  <c:v>7.401410761154855</c:v>
                </c:pt>
                <c:pt idx="1254">
                  <c:v>7.401410761154855</c:v>
                </c:pt>
                <c:pt idx="1255">
                  <c:v>7.401410761154855</c:v>
                </c:pt>
                <c:pt idx="1256">
                  <c:v>7.401410761154855</c:v>
                </c:pt>
                <c:pt idx="1257">
                  <c:v>7.401410761154855</c:v>
                </c:pt>
                <c:pt idx="1258">
                  <c:v>7.401410761154855</c:v>
                </c:pt>
                <c:pt idx="1260">
                  <c:v>7.401410761154855</c:v>
                </c:pt>
                <c:pt idx="1261">
                  <c:v>7.401410761154855</c:v>
                </c:pt>
                <c:pt idx="1262">
                  <c:v>7.401410761154855</c:v>
                </c:pt>
                <c:pt idx="1263">
                  <c:v>7.401410761154855</c:v>
                </c:pt>
                <c:pt idx="1264">
                  <c:v>7.401410761154855</c:v>
                </c:pt>
                <c:pt idx="1266">
                  <c:v>7.401410761154855</c:v>
                </c:pt>
                <c:pt idx="1267">
                  <c:v>7.401410761154855</c:v>
                </c:pt>
                <c:pt idx="1268">
                  <c:v>7.401410761154855</c:v>
                </c:pt>
                <c:pt idx="1269">
                  <c:v>7.401410761154855</c:v>
                </c:pt>
                <c:pt idx="1270">
                  <c:v>7.401410761154855</c:v>
                </c:pt>
                <c:pt idx="1272">
                  <c:v>7.401410761154855</c:v>
                </c:pt>
                <c:pt idx="1273">
                  <c:v>7.401410761154855</c:v>
                </c:pt>
                <c:pt idx="1274">
                  <c:v>7.401410761154855</c:v>
                </c:pt>
                <c:pt idx="1275">
                  <c:v>7.401410761154855</c:v>
                </c:pt>
                <c:pt idx="1276">
                  <c:v>7.401410761154855</c:v>
                </c:pt>
                <c:pt idx="1278">
                  <c:v>7.401410761154855</c:v>
                </c:pt>
                <c:pt idx="1279">
                  <c:v>7.401410761154855</c:v>
                </c:pt>
                <c:pt idx="1280">
                  <c:v>7.401410761154855</c:v>
                </c:pt>
                <c:pt idx="1281">
                  <c:v>7.401410761154855</c:v>
                </c:pt>
                <c:pt idx="1282">
                  <c:v>7.401410761154855</c:v>
                </c:pt>
                <c:pt idx="1284">
                  <c:v>7.401410761154855</c:v>
                </c:pt>
                <c:pt idx="1285">
                  <c:v>7.401410761154855</c:v>
                </c:pt>
                <c:pt idx="1286">
                  <c:v>7.401410761154855</c:v>
                </c:pt>
                <c:pt idx="1287">
                  <c:v>7.401410761154855</c:v>
                </c:pt>
                <c:pt idx="1288">
                  <c:v>7.401410761154855</c:v>
                </c:pt>
                <c:pt idx="1290">
                  <c:v>7.401410761154855</c:v>
                </c:pt>
                <c:pt idx="1291">
                  <c:v>7.401410761154855</c:v>
                </c:pt>
                <c:pt idx="1292">
                  <c:v>7.401410761154855</c:v>
                </c:pt>
                <c:pt idx="1293">
                  <c:v>7.401410761154855</c:v>
                </c:pt>
                <c:pt idx="1294">
                  <c:v>7.401410761154855</c:v>
                </c:pt>
                <c:pt idx="1296">
                  <c:v>7.401410761154855</c:v>
                </c:pt>
                <c:pt idx="1297">
                  <c:v>7.401410761154855</c:v>
                </c:pt>
                <c:pt idx="1298">
                  <c:v>7.401410761154855</c:v>
                </c:pt>
                <c:pt idx="1299">
                  <c:v>7.401410761154855</c:v>
                </c:pt>
                <c:pt idx="1300">
                  <c:v>7.401410761154855</c:v>
                </c:pt>
                <c:pt idx="1302">
                  <c:v>7.401410761154855</c:v>
                </c:pt>
                <c:pt idx="1303">
                  <c:v>7.401410761154855</c:v>
                </c:pt>
                <c:pt idx="1304">
                  <c:v>7.401410761154855</c:v>
                </c:pt>
                <c:pt idx="1305">
                  <c:v>7.401410761154855</c:v>
                </c:pt>
                <c:pt idx="1306">
                  <c:v>7.401410761154855</c:v>
                </c:pt>
                <c:pt idx="1308">
                  <c:v>7.401410761154855</c:v>
                </c:pt>
                <c:pt idx="1309">
                  <c:v>7.401410761154855</c:v>
                </c:pt>
                <c:pt idx="1310">
                  <c:v>7.401410761154855</c:v>
                </c:pt>
                <c:pt idx="1311">
                  <c:v>7.401410761154855</c:v>
                </c:pt>
                <c:pt idx="1312">
                  <c:v>7.401410761154855</c:v>
                </c:pt>
                <c:pt idx="1314">
                  <c:v>7.401410761154855</c:v>
                </c:pt>
                <c:pt idx="1315">
                  <c:v>7.401410761154855</c:v>
                </c:pt>
                <c:pt idx="1316">
                  <c:v>7.401410761154855</c:v>
                </c:pt>
                <c:pt idx="1317">
                  <c:v>7.401410761154855</c:v>
                </c:pt>
                <c:pt idx="1318">
                  <c:v>7.401410761154855</c:v>
                </c:pt>
                <c:pt idx="1320">
                  <c:v>7.401410761154855</c:v>
                </c:pt>
                <c:pt idx="1321">
                  <c:v>7.401410761154855</c:v>
                </c:pt>
                <c:pt idx="1322">
                  <c:v>7.401410761154855</c:v>
                </c:pt>
                <c:pt idx="1323">
                  <c:v>7.401410761154855</c:v>
                </c:pt>
                <c:pt idx="1324">
                  <c:v>7.401410761154855</c:v>
                </c:pt>
                <c:pt idx="1326">
                  <c:v>7.401410761154855</c:v>
                </c:pt>
                <c:pt idx="1327">
                  <c:v>7.401410761154855</c:v>
                </c:pt>
                <c:pt idx="1328">
                  <c:v>7.401410761154855</c:v>
                </c:pt>
                <c:pt idx="1329">
                  <c:v>7.401410761154855</c:v>
                </c:pt>
                <c:pt idx="1330">
                  <c:v>7.401410761154855</c:v>
                </c:pt>
                <c:pt idx="1332">
                  <c:v>7.401410761154855</c:v>
                </c:pt>
                <c:pt idx="1333">
                  <c:v>7.401410761154855</c:v>
                </c:pt>
                <c:pt idx="1334">
                  <c:v>7.401410761154855</c:v>
                </c:pt>
                <c:pt idx="1335">
                  <c:v>7.401410761154855</c:v>
                </c:pt>
                <c:pt idx="1336">
                  <c:v>7.401410761154855</c:v>
                </c:pt>
                <c:pt idx="1338">
                  <c:v>7.401410761154855</c:v>
                </c:pt>
                <c:pt idx="1339">
                  <c:v>7.401410761154855</c:v>
                </c:pt>
                <c:pt idx="1340">
                  <c:v>7.401410761154855</c:v>
                </c:pt>
                <c:pt idx="1341">
                  <c:v>7.401410761154855</c:v>
                </c:pt>
                <c:pt idx="1342">
                  <c:v>7.401410761154855</c:v>
                </c:pt>
                <c:pt idx="1344">
                  <c:v>7.401410761154855</c:v>
                </c:pt>
                <c:pt idx="1345">
                  <c:v>7.401410761154855</c:v>
                </c:pt>
                <c:pt idx="1346">
                  <c:v>7.401410761154855</c:v>
                </c:pt>
                <c:pt idx="1347">
                  <c:v>7.401410761154855</c:v>
                </c:pt>
                <c:pt idx="1348">
                  <c:v>7.401410761154855</c:v>
                </c:pt>
                <c:pt idx="1350">
                  <c:v>7.401410761154855</c:v>
                </c:pt>
                <c:pt idx="1351">
                  <c:v>7.401410761154855</c:v>
                </c:pt>
                <c:pt idx="1352">
                  <c:v>7.401410761154855</c:v>
                </c:pt>
                <c:pt idx="1353">
                  <c:v>7.401410761154855</c:v>
                </c:pt>
                <c:pt idx="1354">
                  <c:v>7.401410761154855</c:v>
                </c:pt>
                <c:pt idx="1356">
                  <c:v>7.401410761154855</c:v>
                </c:pt>
                <c:pt idx="1357">
                  <c:v>7.401410761154855</c:v>
                </c:pt>
                <c:pt idx="1358">
                  <c:v>7.401410761154855</c:v>
                </c:pt>
                <c:pt idx="1359">
                  <c:v>7.401410761154855</c:v>
                </c:pt>
                <c:pt idx="1360">
                  <c:v>7.401410761154855</c:v>
                </c:pt>
                <c:pt idx="1362">
                  <c:v>7.401410761154855</c:v>
                </c:pt>
                <c:pt idx="1363">
                  <c:v>7.401410761154855</c:v>
                </c:pt>
                <c:pt idx="1364">
                  <c:v>7.401410761154855</c:v>
                </c:pt>
                <c:pt idx="1365">
                  <c:v>7.401410761154855</c:v>
                </c:pt>
                <c:pt idx="1366">
                  <c:v>7.401410761154855</c:v>
                </c:pt>
                <c:pt idx="1368">
                  <c:v>7.401410761154855</c:v>
                </c:pt>
                <c:pt idx="1369">
                  <c:v>7.401410761154855</c:v>
                </c:pt>
                <c:pt idx="1370">
                  <c:v>7.401410761154855</c:v>
                </c:pt>
                <c:pt idx="1371">
                  <c:v>7.401410761154855</c:v>
                </c:pt>
                <c:pt idx="1372">
                  <c:v>7.401410761154855</c:v>
                </c:pt>
                <c:pt idx="1374">
                  <c:v>7.401410761154855</c:v>
                </c:pt>
                <c:pt idx="1375">
                  <c:v>7.401410761154855</c:v>
                </c:pt>
                <c:pt idx="1376">
                  <c:v>7.401410761154855</c:v>
                </c:pt>
                <c:pt idx="1377">
                  <c:v>7.401410761154855</c:v>
                </c:pt>
                <c:pt idx="1378">
                  <c:v>7.401410761154855</c:v>
                </c:pt>
                <c:pt idx="1380">
                  <c:v>7.401410761154855</c:v>
                </c:pt>
                <c:pt idx="1381">
                  <c:v>7.401410761154855</c:v>
                </c:pt>
                <c:pt idx="1382">
                  <c:v>7.401410761154855</c:v>
                </c:pt>
                <c:pt idx="1383">
                  <c:v>7.401410761154855</c:v>
                </c:pt>
                <c:pt idx="1384">
                  <c:v>7.401410761154855</c:v>
                </c:pt>
                <c:pt idx="1386">
                  <c:v>7.401410761154855</c:v>
                </c:pt>
                <c:pt idx="1387">
                  <c:v>7.401410761154855</c:v>
                </c:pt>
                <c:pt idx="1388">
                  <c:v>7.401410761154855</c:v>
                </c:pt>
                <c:pt idx="1389">
                  <c:v>7.401410761154855</c:v>
                </c:pt>
                <c:pt idx="1390">
                  <c:v>7.401410761154855</c:v>
                </c:pt>
                <c:pt idx="1392">
                  <c:v>7.401410761154855</c:v>
                </c:pt>
                <c:pt idx="1393">
                  <c:v>7.401410761154855</c:v>
                </c:pt>
                <c:pt idx="1394">
                  <c:v>7.401410761154855</c:v>
                </c:pt>
                <c:pt idx="1395">
                  <c:v>7.401410761154855</c:v>
                </c:pt>
                <c:pt idx="1396">
                  <c:v>7.401410761154855</c:v>
                </c:pt>
                <c:pt idx="1398">
                  <c:v>7.401410761154855</c:v>
                </c:pt>
                <c:pt idx="1399">
                  <c:v>7.401410761154855</c:v>
                </c:pt>
                <c:pt idx="1400">
                  <c:v>7.401410761154855</c:v>
                </c:pt>
                <c:pt idx="1401">
                  <c:v>7.401410761154855</c:v>
                </c:pt>
                <c:pt idx="1402">
                  <c:v>7.401410761154855</c:v>
                </c:pt>
                <c:pt idx="1404">
                  <c:v>7.401410761154855</c:v>
                </c:pt>
                <c:pt idx="1405">
                  <c:v>7.401410761154855</c:v>
                </c:pt>
                <c:pt idx="1406">
                  <c:v>7.401410761154855</c:v>
                </c:pt>
                <c:pt idx="1407">
                  <c:v>7.401410761154855</c:v>
                </c:pt>
                <c:pt idx="1408">
                  <c:v>7.401410761154855</c:v>
                </c:pt>
                <c:pt idx="1410">
                  <c:v>7.401410761154855</c:v>
                </c:pt>
                <c:pt idx="1411">
                  <c:v>7.401410761154855</c:v>
                </c:pt>
                <c:pt idx="1412">
                  <c:v>7.401410761154855</c:v>
                </c:pt>
                <c:pt idx="1413">
                  <c:v>7.401410761154855</c:v>
                </c:pt>
                <c:pt idx="1414">
                  <c:v>7.401410761154855</c:v>
                </c:pt>
                <c:pt idx="1416">
                  <c:v>7.401410761154855</c:v>
                </c:pt>
                <c:pt idx="1417">
                  <c:v>7.401410761154855</c:v>
                </c:pt>
                <c:pt idx="1418">
                  <c:v>7.401410761154855</c:v>
                </c:pt>
                <c:pt idx="1419">
                  <c:v>7.401410761154855</c:v>
                </c:pt>
                <c:pt idx="1420">
                  <c:v>7.401410761154855</c:v>
                </c:pt>
                <c:pt idx="1422">
                  <c:v>7.401410761154855</c:v>
                </c:pt>
                <c:pt idx="1423">
                  <c:v>7.401410761154855</c:v>
                </c:pt>
                <c:pt idx="1424">
                  <c:v>7.401410761154855</c:v>
                </c:pt>
                <c:pt idx="1425">
                  <c:v>7.401410761154855</c:v>
                </c:pt>
                <c:pt idx="1426">
                  <c:v>7.401410761154855</c:v>
                </c:pt>
                <c:pt idx="1428">
                  <c:v>7.401410761154855</c:v>
                </c:pt>
                <c:pt idx="1429">
                  <c:v>7.401410761154855</c:v>
                </c:pt>
                <c:pt idx="1430">
                  <c:v>7.401410761154855</c:v>
                </c:pt>
                <c:pt idx="1431">
                  <c:v>7.401410761154855</c:v>
                </c:pt>
                <c:pt idx="1432">
                  <c:v>7.401410761154855</c:v>
                </c:pt>
                <c:pt idx="1434">
                  <c:v>7.401410761154855</c:v>
                </c:pt>
                <c:pt idx="1435">
                  <c:v>7.401410761154855</c:v>
                </c:pt>
                <c:pt idx="1436">
                  <c:v>7.401410761154855</c:v>
                </c:pt>
                <c:pt idx="1437">
                  <c:v>7.401410761154855</c:v>
                </c:pt>
                <c:pt idx="1438">
                  <c:v>7.401410761154855</c:v>
                </c:pt>
                <c:pt idx="1440">
                  <c:v>7.401410761154855</c:v>
                </c:pt>
                <c:pt idx="1441">
                  <c:v>7.401410761154855</c:v>
                </c:pt>
                <c:pt idx="1442">
                  <c:v>7.401410761154855</c:v>
                </c:pt>
                <c:pt idx="1443">
                  <c:v>7.401410761154855</c:v>
                </c:pt>
                <c:pt idx="1444">
                  <c:v>7.401410761154855</c:v>
                </c:pt>
                <c:pt idx="1446">
                  <c:v>7.401410761154855</c:v>
                </c:pt>
                <c:pt idx="1447">
                  <c:v>7.401410761154855</c:v>
                </c:pt>
                <c:pt idx="1448">
                  <c:v>7.401410761154855</c:v>
                </c:pt>
                <c:pt idx="1449">
                  <c:v>7.401410761154855</c:v>
                </c:pt>
                <c:pt idx="1450">
                  <c:v>7.401410761154855</c:v>
                </c:pt>
                <c:pt idx="1452">
                  <c:v>7.401410761154855</c:v>
                </c:pt>
                <c:pt idx="1453">
                  <c:v>7.401410761154855</c:v>
                </c:pt>
                <c:pt idx="1454">
                  <c:v>7.401410761154855</c:v>
                </c:pt>
                <c:pt idx="1455">
                  <c:v>7.401410761154855</c:v>
                </c:pt>
                <c:pt idx="1456">
                  <c:v>7.401410761154855</c:v>
                </c:pt>
                <c:pt idx="1458">
                  <c:v>7.401410761154855</c:v>
                </c:pt>
                <c:pt idx="1459">
                  <c:v>7.401410761154855</c:v>
                </c:pt>
                <c:pt idx="1460">
                  <c:v>7.401410761154855</c:v>
                </c:pt>
                <c:pt idx="1461">
                  <c:v>7.401410761154855</c:v>
                </c:pt>
                <c:pt idx="1462">
                  <c:v>7.401410761154855</c:v>
                </c:pt>
                <c:pt idx="1464">
                  <c:v>7.401410761154855</c:v>
                </c:pt>
                <c:pt idx="1465">
                  <c:v>7.401410761154855</c:v>
                </c:pt>
                <c:pt idx="1466">
                  <c:v>7.401410761154855</c:v>
                </c:pt>
                <c:pt idx="1467">
                  <c:v>7.401410761154855</c:v>
                </c:pt>
                <c:pt idx="1468">
                  <c:v>7.401410761154855</c:v>
                </c:pt>
                <c:pt idx="1470">
                  <c:v>7.401410761154855</c:v>
                </c:pt>
                <c:pt idx="1471">
                  <c:v>7.401410761154855</c:v>
                </c:pt>
                <c:pt idx="1472">
                  <c:v>7.401410761154855</c:v>
                </c:pt>
                <c:pt idx="1473">
                  <c:v>7.401410761154855</c:v>
                </c:pt>
                <c:pt idx="1474">
                  <c:v>7.401410761154855</c:v>
                </c:pt>
                <c:pt idx="1476">
                  <c:v>7.401410761154855</c:v>
                </c:pt>
                <c:pt idx="1477">
                  <c:v>7.401410761154855</c:v>
                </c:pt>
                <c:pt idx="1478">
                  <c:v>7.401410761154855</c:v>
                </c:pt>
                <c:pt idx="1479">
                  <c:v>7.401410761154855</c:v>
                </c:pt>
                <c:pt idx="1480">
                  <c:v>7.401410761154855</c:v>
                </c:pt>
                <c:pt idx="1482">
                  <c:v>7.401410761154855</c:v>
                </c:pt>
                <c:pt idx="1483">
                  <c:v>7.401410761154855</c:v>
                </c:pt>
                <c:pt idx="1484">
                  <c:v>7.401410761154855</c:v>
                </c:pt>
                <c:pt idx="1485">
                  <c:v>7.401410761154855</c:v>
                </c:pt>
                <c:pt idx="1486">
                  <c:v>7.401410761154855</c:v>
                </c:pt>
                <c:pt idx="1488">
                  <c:v>7.401410761154855</c:v>
                </c:pt>
                <c:pt idx="1489">
                  <c:v>7.401410761154855</c:v>
                </c:pt>
                <c:pt idx="1490">
                  <c:v>7.401410761154855</c:v>
                </c:pt>
                <c:pt idx="1491">
                  <c:v>7.401410761154855</c:v>
                </c:pt>
                <c:pt idx="1492">
                  <c:v>7.401410761154855</c:v>
                </c:pt>
                <c:pt idx="1494">
                  <c:v>7.401410761154855</c:v>
                </c:pt>
                <c:pt idx="1495">
                  <c:v>7.401410761154855</c:v>
                </c:pt>
                <c:pt idx="1496">
                  <c:v>7.401410761154855</c:v>
                </c:pt>
                <c:pt idx="1497">
                  <c:v>7.401410761154855</c:v>
                </c:pt>
                <c:pt idx="1498">
                  <c:v>7.401410761154855</c:v>
                </c:pt>
                <c:pt idx="1500">
                  <c:v>7.401410761154855</c:v>
                </c:pt>
                <c:pt idx="1501">
                  <c:v>7.401410761154855</c:v>
                </c:pt>
                <c:pt idx="1502">
                  <c:v>7.401410761154855</c:v>
                </c:pt>
                <c:pt idx="1503">
                  <c:v>7.401410761154855</c:v>
                </c:pt>
                <c:pt idx="1504">
                  <c:v>7.401410761154855</c:v>
                </c:pt>
                <c:pt idx="1506">
                  <c:v>7.401410761154855</c:v>
                </c:pt>
                <c:pt idx="1507">
                  <c:v>7.401410761154855</c:v>
                </c:pt>
                <c:pt idx="1508">
                  <c:v>7.401410761154855</c:v>
                </c:pt>
                <c:pt idx="1509">
                  <c:v>7.401410761154855</c:v>
                </c:pt>
                <c:pt idx="1510">
                  <c:v>7.401410761154855</c:v>
                </c:pt>
                <c:pt idx="1512">
                  <c:v>7.401410761154855</c:v>
                </c:pt>
                <c:pt idx="1513">
                  <c:v>7.401410761154855</c:v>
                </c:pt>
                <c:pt idx="1514">
                  <c:v>7.401410761154855</c:v>
                </c:pt>
                <c:pt idx="1515">
                  <c:v>7.401410761154855</c:v>
                </c:pt>
                <c:pt idx="1516">
                  <c:v>7.401410761154855</c:v>
                </c:pt>
                <c:pt idx="1518">
                  <c:v>7.401410761154855</c:v>
                </c:pt>
                <c:pt idx="1519">
                  <c:v>7.401410761154855</c:v>
                </c:pt>
                <c:pt idx="1520">
                  <c:v>7.401410761154855</c:v>
                </c:pt>
                <c:pt idx="1521">
                  <c:v>7.401410761154855</c:v>
                </c:pt>
                <c:pt idx="1522">
                  <c:v>7.401410761154855</c:v>
                </c:pt>
                <c:pt idx="1524">
                  <c:v>7.401410761154855</c:v>
                </c:pt>
                <c:pt idx="1525">
                  <c:v>7.401410761154855</c:v>
                </c:pt>
                <c:pt idx="1526">
                  <c:v>7.401410761154855</c:v>
                </c:pt>
                <c:pt idx="1527">
                  <c:v>7.401410761154855</c:v>
                </c:pt>
                <c:pt idx="1528">
                  <c:v>7.401410761154855</c:v>
                </c:pt>
                <c:pt idx="1530">
                  <c:v>7.401410761154855</c:v>
                </c:pt>
                <c:pt idx="1531">
                  <c:v>7.401410761154855</c:v>
                </c:pt>
                <c:pt idx="1532">
                  <c:v>7.401410761154855</c:v>
                </c:pt>
                <c:pt idx="1533">
                  <c:v>7.401410761154855</c:v>
                </c:pt>
                <c:pt idx="1534">
                  <c:v>7.401410761154855</c:v>
                </c:pt>
                <c:pt idx="1536">
                  <c:v>7.401410761154855</c:v>
                </c:pt>
                <c:pt idx="1537">
                  <c:v>7.401410761154855</c:v>
                </c:pt>
                <c:pt idx="1538">
                  <c:v>7.401410761154855</c:v>
                </c:pt>
                <c:pt idx="1539">
                  <c:v>7.401410761154855</c:v>
                </c:pt>
                <c:pt idx="1540">
                  <c:v>7.401410761154855</c:v>
                </c:pt>
                <c:pt idx="1542">
                  <c:v>7.401410761154855</c:v>
                </c:pt>
                <c:pt idx="1543">
                  <c:v>7.401410761154855</c:v>
                </c:pt>
                <c:pt idx="1544">
                  <c:v>7.401410761154855</c:v>
                </c:pt>
                <c:pt idx="1545">
                  <c:v>7.401410761154855</c:v>
                </c:pt>
                <c:pt idx="1546">
                  <c:v>7.401410761154855</c:v>
                </c:pt>
                <c:pt idx="1548">
                  <c:v>7.401410761154855</c:v>
                </c:pt>
                <c:pt idx="1549">
                  <c:v>7.401410761154855</c:v>
                </c:pt>
                <c:pt idx="1550">
                  <c:v>7.401410761154855</c:v>
                </c:pt>
                <c:pt idx="1551">
                  <c:v>7.401410761154855</c:v>
                </c:pt>
                <c:pt idx="1552">
                  <c:v>7.401410761154855</c:v>
                </c:pt>
                <c:pt idx="1554">
                  <c:v>7.401410761154855</c:v>
                </c:pt>
                <c:pt idx="1555">
                  <c:v>7.401410761154855</c:v>
                </c:pt>
                <c:pt idx="1556">
                  <c:v>7.401410761154855</c:v>
                </c:pt>
                <c:pt idx="1557">
                  <c:v>7.401410761154855</c:v>
                </c:pt>
                <c:pt idx="1558">
                  <c:v>7.401410761154855</c:v>
                </c:pt>
                <c:pt idx="1560">
                  <c:v>7.401410761154855</c:v>
                </c:pt>
                <c:pt idx="1561">
                  <c:v>7.401410761154855</c:v>
                </c:pt>
                <c:pt idx="1562">
                  <c:v>7.401410761154855</c:v>
                </c:pt>
                <c:pt idx="1563">
                  <c:v>7.401410761154855</c:v>
                </c:pt>
                <c:pt idx="1564">
                  <c:v>7.401410761154855</c:v>
                </c:pt>
                <c:pt idx="1566">
                  <c:v>7.401410761154855</c:v>
                </c:pt>
                <c:pt idx="1567">
                  <c:v>7.401410761154855</c:v>
                </c:pt>
                <c:pt idx="1568">
                  <c:v>7.401410761154855</c:v>
                </c:pt>
                <c:pt idx="1569">
                  <c:v>7.401410761154855</c:v>
                </c:pt>
                <c:pt idx="1570">
                  <c:v>7.401410761154855</c:v>
                </c:pt>
                <c:pt idx="1572">
                  <c:v>7.401410761154855</c:v>
                </c:pt>
                <c:pt idx="1573">
                  <c:v>7.401410761154855</c:v>
                </c:pt>
                <c:pt idx="1574">
                  <c:v>7.401410761154855</c:v>
                </c:pt>
                <c:pt idx="1575">
                  <c:v>7.401410761154855</c:v>
                </c:pt>
                <c:pt idx="1576">
                  <c:v>7.401410761154855</c:v>
                </c:pt>
                <c:pt idx="1578">
                  <c:v>7.401410761154855</c:v>
                </c:pt>
                <c:pt idx="1579">
                  <c:v>7.401410761154855</c:v>
                </c:pt>
                <c:pt idx="1580">
                  <c:v>7.401410761154855</c:v>
                </c:pt>
                <c:pt idx="1581">
                  <c:v>7.401410761154855</c:v>
                </c:pt>
                <c:pt idx="1582">
                  <c:v>7.401410761154855</c:v>
                </c:pt>
                <c:pt idx="1584">
                  <c:v>7.401410761154855</c:v>
                </c:pt>
                <c:pt idx="1585">
                  <c:v>7.401410761154855</c:v>
                </c:pt>
                <c:pt idx="1586">
                  <c:v>7.401410761154855</c:v>
                </c:pt>
                <c:pt idx="1587">
                  <c:v>7.401410761154855</c:v>
                </c:pt>
                <c:pt idx="1588">
                  <c:v>7.401410761154855</c:v>
                </c:pt>
                <c:pt idx="1590">
                  <c:v>7.401410761154855</c:v>
                </c:pt>
                <c:pt idx="1591">
                  <c:v>7.401410761154855</c:v>
                </c:pt>
                <c:pt idx="1592">
                  <c:v>7.401410761154855</c:v>
                </c:pt>
                <c:pt idx="1593">
                  <c:v>7.401410761154855</c:v>
                </c:pt>
                <c:pt idx="1594">
                  <c:v>7.401410761154855</c:v>
                </c:pt>
                <c:pt idx="1596">
                  <c:v>7.401410761154855</c:v>
                </c:pt>
                <c:pt idx="1597">
                  <c:v>7.401410761154855</c:v>
                </c:pt>
                <c:pt idx="1598">
                  <c:v>7.401410761154855</c:v>
                </c:pt>
                <c:pt idx="1599">
                  <c:v>7.401410761154855</c:v>
                </c:pt>
                <c:pt idx="1600">
                  <c:v>7.401410761154855</c:v>
                </c:pt>
                <c:pt idx="1602">
                  <c:v>7.401410761154855</c:v>
                </c:pt>
                <c:pt idx="1603">
                  <c:v>7.401410761154855</c:v>
                </c:pt>
                <c:pt idx="1604">
                  <c:v>7.401410761154855</c:v>
                </c:pt>
                <c:pt idx="1605">
                  <c:v>7.401410761154855</c:v>
                </c:pt>
                <c:pt idx="1606">
                  <c:v>7.401410761154855</c:v>
                </c:pt>
                <c:pt idx="1608">
                  <c:v>7.401410761154855</c:v>
                </c:pt>
                <c:pt idx="1609">
                  <c:v>7.401410761154855</c:v>
                </c:pt>
                <c:pt idx="1610">
                  <c:v>7.401410761154855</c:v>
                </c:pt>
                <c:pt idx="1611">
                  <c:v>7.401410761154855</c:v>
                </c:pt>
                <c:pt idx="1612">
                  <c:v>7.401410761154855</c:v>
                </c:pt>
                <c:pt idx="1614">
                  <c:v>7.401410761154855</c:v>
                </c:pt>
                <c:pt idx="1615">
                  <c:v>7.401410761154855</c:v>
                </c:pt>
                <c:pt idx="1616">
                  <c:v>7.401410761154855</c:v>
                </c:pt>
                <c:pt idx="1617">
                  <c:v>7.401410761154855</c:v>
                </c:pt>
                <c:pt idx="1618">
                  <c:v>7.401410761154855</c:v>
                </c:pt>
                <c:pt idx="1620">
                  <c:v>7.401410761154855</c:v>
                </c:pt>
                <c:pt idx="1621">
                  <c:v>7.401410761154855</c:v>
                </c:pt>
                <c:pt idx="1622">
                  <c:v>7.401410761154855</c:v>
                </c:pt>
                <c:pt idx="1623">
                  <c:v>7.401410761154855</c:v>
                </c:pt>
                <c:pt idx="1624">
                  <c:v>7.401410761154855</c:v>
                </c:pt>
                <c:pt idx="1626">
                  <c:v>7.401410761154855</c:v>
                </c:pt>
                <c:pt idx="1627">
                  <c:v>7.401410761154855</c:v>
                </c:pt>
                <c:pt idx="1628">
                  <c:v>7.401410761154855</c:v>
                </c:pt>
                <c:pt idx="1629">
                  <c:v>7.401410761154855</c:v>
                </c:pt>
                <c:pt idx="1630">
                  <c:v>7.401410761154855</c:v>
                </c:pt>
                <c:pt idx="1632">
                  <c:v>7.401410761154855</c:v>
                </c:pt>
                <c:pt idx="1633">
                  <c:v>7.401410761154855</c:v>
                </c:pt>
                <c:pt idx="1634">
                  <c:v>7.401410761154855</c:v>
                </c:pt>
                <c:pt idx="1635">
                  <c:v>7.401410761154855</c:v>
                </c:pt>
                <c:pt idx="1636">
                  <c:v>7.401410761154855</c:v>
                </c:pt>
                <c:pt idx="1638">
                  <c:v>7.401410761154855</c:v>
                </c:pt>
                <c:pt idx="1639">
                  <c:v>7.401410761154855</c:v>
                </c:pt>
                <c:pt idx="1640">
                  <c:v>7.401410761154855</c:v>
                </c:pt>
                <c:pt idx="1641">
                  <c:v>7.401410761154855</c:v>
                </c:pt>
                <c:pt idx="1642">
                  <c:v>7.401410761154855</c:v>
                </c:pt>
                <c:pt idx="1644">
                  <c:v>7.401410761154855</c:v>
                </c:pt>
                <c:pt idx="1645">
                  <c:v>7.401410761154855</c:v>
                </c:pt>
                <c:pt idx="1646">
                  <c:v>7.401410761154855</c:v>
                </c:pt>
                <c:pt idx="1647">
                  <c:v>7.401410761154855</c:v>
                </c:pt>
                <c:pt idx="1648">
                  <c:v>7.401410761154855</c:v>
                </c:pt>
                <c:pt idx="1650">
                  <c:v>7.401410761154855</c:v>
                </c:pt>
                <c:pt idx="1651">
                  <c:v>7.401410761154855</c:v>
                </c:pt>
                <c:pt idx="1652">
                  <c:v>7.401410761154855</c:v>
                </c:pt>
                <c:pt idx="1653">
                  <c:v>7.401410761154855</c:v>
                </c:pt>
                <c:pt idx="1654">
                  <c:v>7.401410761154855</c:v>
                </c:pt>
                <c:pt idx="1656">
                  <c:v>7.401410761154855</c:v>
                </c:pt>
                <c:pt idx="1657">
                  <c:v>7.401410761154855</c:v>
                </c:pt>
                <c:pt idx="1658">
                  <c:v>7.401410761154855</c:v>
                </c:pt>
                <c:pt idx="1659">
                  <c:v>7.401410761154855</c:v>
                </c:pt>
                <c:pt idx="1660">
                  <c:v>7.401410761154855</c:v>
                </c:pt>
                <c:pt idx="1662">
                  <c:v>7.401410761154855</c:v>
                </c:pt>
                <c:pt idx="1663">
                  <c:v>7.401410761154855</c:v>
                </c:pt>
                <c:pt idx="1664">
                  <c:v>7.401410761154855</c:v>
                </c:pt>
                <c:pt idx="1665">
                  <c:v>7.401410761154855</c:v>
                </c:pt>
                <c:pt idx="1666">
                  <c:v>7.401410761154855</c:v>
                </c:pt>
                <c:pt idx="1668">
                  <c:v>7.401410761154855</c:v>
                </c:pt>
                <c:pt idx="1669">
                  <c:v>7.401410761154855</c:v>
                </c:pt>
                <c:pt idx="1670">
                  <c:v>7.401410761154855</c:v>
                </c:pt>
                <c:pt idx="1671">
                  <c:v>7.401410761154855</c:v>
                </c:pt>
                <c:pt idx="1672">
                  <c:v>7.401410761154855</c:v>
                </c:pt>
                <c:pt idx="1674">
                  <c:v>7.401410761154855</c:v>
                </c:pt>
                <c:pt idx="1675">
                  <c:v>7.401410761154855</c:v>
                </c:pt>
                <c:pt idx="1676">
                  <c:v>7.401410761154855</c:v>
                </c:pt>
                <c:pt idx="1677">
                  <c:v>7.401410761154855</c:v>
                </c:pt>
                <c:pt idx="1678">
                  <c:v>7.401410761154855</c:v>
                </c:pt>
                <c:pt idx="1680">
                  <c:v>7.401410761154855</c:v>
                </c:pt>
                <c:pt idx="1681">
                  <c:v>7.401410761154855</c:v>
                </c:pt>
                <c:pt idx="1682">
                  <c:v>7.401410761154855</c:v>
                </c:pt>
                <c:pt idx="1683">
                  <c:v>7.401410761154855</c:v>
                </c:pt>
                <c:pt idx="1684">
                  <c:v>7.401410761154855</c:v>
                </c:pt>
                <c:pt idx="1686">
                  <c:v>7.401410761154855</c:v>
                </c:pt>
                <c:pt idx="1687">
                  <c:v>7.401410761154855</c:v>
                </c:pt>
                <c:pt idx="1688">
                  <c:v>7.401410761154855</c:v>
                </c:pt>
                <c:pt idx="1689">
                  <c:v>7.401410761154855</c:v>
                </c:pt>
                <c:pt idx="1690">
                  <c:v>7.401410761154855</c:v>
                </c:pt>
                <c:pt idx="1692">
                  <c:v>7.401410761154855</c:v>
                </c:pt>
                <c:pt idx="1693">
                  <c:v>7.401410761154855</c:v>
                </c:pt>
                <c:pt idx="1694">
                  <c:v>7.401410761154855</c:v>
                </c:pt>
                <c:pt idx="1695">
                  <c:v>7.401410761154855</c:v>
                </c:pt>
                <c:pt idx="1696">
                  <c:v>7.401410761154855</c:v>
                </c:pt>
                <c:pt idx="1698">
                  <c:v>7.401410761154855</c:v>
                </c:pt>
                <c:pt idx="1699">
                  <c:v>7.401410761154855</c:v>
                </c:pt>
                <c:pt idx="1700">
                  <c:v>7.401410761154855</c:v>
                </c:pt>
                <c:pt idx="1701">
                  <c:v>7.401410761154855</c:v>
                </c:pt>
                <c:pt idx="1702">
                  <c:v>7.401410761154855</c:v>
                </c:pt>
                <c:pt idx="1704">
                  <c:v>7.401410761154855</c:v>
                </c:pt>
                <c:pt idx="1705">
                  <c:v>7.401410761154855</c:v>
                </c:pt>
                <c:pt idx="1706">
                  <c:v>7.401410761154855</c:v>
                </c:pt>
                <c:pt idx="1707">
                  <c:v>7.401410761154855</c:v>
                </c:pt>
                <c:pt idx="1708">
                  <c:v>7.401410761154855</c:v>
                </c:pt>
                <c:pt idx="1710">
                  <c:v>7.401410761154855</c:v>
                </c:pt>
                <c:pt idx="1711">
                  <c:v>7.401410761154855</c:v>
                </c:pt>
                <c:pt idx="1712">
                  <c:v>7.401410761154855</c:v>
                </c:pt>
                <c:pt idx="1713">
                  <c:v>7.401410761154855</c:v>
                </c:pt>
                <c:pt idx="1714">
                  <c:v>7.401410761154855</c:v>
                </c:pt>
                <c:pt idx="1716">
                  <c:v>7.401410761154855</c:v>
                </c:pt>
                <c:pt idx="1717">
                  <c:v>7.401410761154855</c:v>
                </c:pt>
                <c:pt idx="1718">
                  <c:v>7.401410761154855</c:v>
                </c:pt>
                <c:pt idx="1719">
                  <c:v>7.401410761154855</c:v>
                </c:pt>
                <c:pt idx="1720">
                  <c:v>7.401410761154855</c:v>
                </c:pt>
                <c:pt idx="1722">
                  <c:v>7.401410761154855</c:v>
                </c:pt>
                <c:pt idx="1723">
                  <c:v>7.401410761154855</c:v>
                </c:pt>
                <c:pt idx="1724">
                  <c:v>7.401410761154855</c:v>
                </c:pt>
                <c:pt idx="1725">
                  <c:v>7.401410761154855</c:v>
                </c:pt>
                <c:pt idx="1726">
                  <c:v>7.401410761154855</c:v>
                </c:pt>
                <c:pt idx="1728">
                  <c:v>7.401410761154855</c:v>
                </c:pt>
                <c:pt idx="1729">
                  <c:v>7.401410761154855</c:v>
                </c:pt>
                <c:pt idx="1730">
                  <c:v>7.401410761154855</c:v>
                </c:pt>
                <c:pt idx="1731">
                  <c:v>7.401410761154855</c:v>
                </c:pt>
                <c:pt idx="1732">
                  <c:v>7.401410761154855</c:v>
                </c:pt>
                <c:pt idx="1734">
                  <c:v>7.401410761154855</c:v>
                </c:pt>
                <c:pt idx="1735">
                  <c:v>7.401410761154855</c:v>
                </c:pt>
                <c:pt idx="1736">
                  <c:v>7.401410761154855</c:v>
                </c:pt>
                <c:pt idx="1737">
                  <c:v>7.401410761154855</c:v>
                </c:pt>
                <c:pt idx="1738">
                  <c:v>7.401410761154855</c:v>
                </c:pt>
                <c:pt idx="1740">
                  <c:v>7.401410761154855</c:v>
                </c:pt>
                <c:pt idx="1741">
                  <c:v>7.401410761154855</c:v>
                </c:pt>
                <c:pt idx="1742">
                  <c:v>7.401410761154855</c:v>
                </c:pt>
                <c:pt idx="1743">
                  <c:v>7.401410761154855</c:v>
                </c:pt>
                <c:pt idx="1744">
                  <c:v>7.401410761154855</c:v>
                </c:pt>
                <c:pt idx="1746">
                  <c:v>7.401410761154855</c:v>
                </c:pt>
                <c:pt idx="1747">
                  <c:v>7.401410761154855</c:v>
                </c:pt>
                <c:pt idx="1748">
                  <c:v>7.401410761154855</c:v>
                </c:pt>
                <c:pt idx="1749">
                  <c:v>7.401410761154855</c:v>
                </c:pt>
                <c:pt idx="1750">
                  <c:v>7.401410761154855</c:v>
                </c:pt>
                <c:pt idx="1752">
                  <c:v>7.401410761154855</c:v>
                </c:pt>
                <c:pt idx="1753">
                  <c:v>7.401410761154855</c:v>
                </c:pt>
                <c:pt idx="1754">
                  <c:v>7.401410761154855</c:v>
                </c:pt>
                <c:pt idx="1755">
                  <c:v>7.401410761154855</c:v>
                </c:pt>
                <c:pt idx="1756">
                  <c:v>7.401410761154855</c:v>
                </c:pt>
                <c:pt idx="1758">
                  <c:v>7.401410761154855</c:v>
                </c:pt>
                <c:pt idx="1759">
                  <c:v>7.401410761154855</c:v>
                </c:pt>
                <c:pt idx="1760">
                  <c:v>7.401410761154855</c:v>
                </c:pt>
                <c:pt idx="1761">
                  <c:v>7.401410761154855</c:v>
                </c:pt>
                <c:pt idx="1762">
                  <c:v>7.401410761154855</c:v>
                </c:pt>
                <c:pt idx="1764">
                  <c:v>7.401410761154855</c:v>
                </c:pt>
                <c:pt idx="1765">
                  <c:v>7.401410761154855</c:v>
                </c:pt>
                <c:pt idx="1766">
                  <c:v>7.401410761154855</c:v>
                </c:pt>
                <c:pt idx="1767">
                  <c:v>7.401410761154855</c:v>
                </c:pt>
                <c:pt idx="1768">
                  <c:v>7.401410761154855</c:v>
                </c:pt>
                <c:pt idx="1770">
                  <c:v>7.401410761154855</c:v>
                </c:pt>
                <c:pt idx="1771">
                  <c:v>7.401410761154855</c:v>
                </c:pt>
                <c:pt idx="1772">
                  <c:v>7.401410761154855</c:v>
                </c:pt>
                <c:pt idx="1773">
                  <c:v>7.401410761154855</c:v>
                </c:pt>
                <c:pt idx="1774">
                  <c:v>7.401410761154855</c:v>
                </c:pt>
                <c:pt idx="1776">
                  <c:v>7.401410761154855</c:v>
                </c:pt>
                <c:pt idx="1777">
                  <c:v>7.401410761154855</c:v>
                </c:pt>
                <c:pt idx="1778">
                  <c:v>7.401410761154855</c:v>
                </c:pt>
                <c:pt idx="1779">
                  <c:v>7.401410761154855</c:v>
                </c:pt>
                <c:pt idx="1780">
                  <c:v>7.401410761154855</c:v>
                </c:pt>
                <c:pt idx="1782">
                  <c:v>7.401410761154855</c:v>
                </c:pt>
                <c:pt idx="1783">
                  <c:v>7.401410761154855</c:v>
                </c:pt>
                <c:pt idx="1784">
                  <c:v>7.401410761154855</c:v>
                </c:pt>
                <c:pt idx="1785">
                  <c:v>7.401410761154855</c:v>
                </c:pt>
                <c:pt idx="1786">
                  <c:v>7.401410761154855</c:v>
                </c:pt>
                <c:pt idx="1788">
                  <c:v>7.401410761154855</c:v>
                </c:pt>
                <c:pt idx="1789">
                  <c:v>7.401410761154855</c:v>
                </c:pt>
                <c:pt idx="1790">
                  <c:v>7.401410761154855</c:v>
                </c:pt>
                <c:pt idx="1791">
                  <c:v>7.401410761154855</c:v>
                </c:pt>
                <c:pt idx="1792">
                  <c:v>7.401410761154855</c:v>
                </c:pt>
                <c:pt idx="1794">
                  <c:v>7.401410761154855</c:v>
                </c:pt>
                <c:pt idx="1795">
                  <c:v>7.401410761154855</c:v>
                </c:pt>
                <c:pt idx="1796">
                  <c:v>7.401410761154855</c:v>
                </c:pt>
                <c:pt idx="1797">
                  <c:v>7.401410761154855</c:v>
                </c:pt>
                <c:pt idx="1798">
                  <c:v>7.401410761154855</c:v>
                </c:pt>
                <c:pt idx="1800">
                  <c:v>7.401410761154855</c:v>
                </c:pt>
                <c:pt idx="1801">
                  <c:v>7.401410761154855</c:v>
                </c:pt>
                <c:pt idx="1802">
                  <c:v>7.401410761154855</c:v>
                </c:pt>
                <c:pt idx="1803">
                  <c:v>7.401410761154855</c:v>
                </c:pt>
                <c:pt idx="1804">
                  <c:v>7.401410761154855</c:v>
                </c:pt>
                <c:pt idx="1806">
                  <c:v>7.401410761154855</c:v>
                </c:pt>
                <c:pt idx="1807">
                  <c:v>7.401410761154855</c:v>
                </c:pt>
                <c:pt idx="1808">
                  <c:v>7.401410761154855</c:v>
                </c:pt>
                <c:pt idx="1809">
                  <c:v>7.401410761154855</c:v>
                </c:pt>
                <c:pt idx="1810">
                  <c:v>7.401410761154855</c:v>
                </c:pt>
                <c:pt idx="1812">
                  <c:v>7.401410761154855</c:v>
                </c:pt>
                <c:pt idx="1813">
                  <c:v>7.401410761154855</c:v>
                </c:pt>
                <c:pt idx="1814">
                  <c:v>7.401410761154855</c:v>
                </c:pt>
                <c:pt idx="1815">
                  <c:v>7.401410761154855</c:v>
                </c:pt>
                <c:pt idx="1816">
                  <c:v>7.401410761154855</c:v>
                </c:pt>
                <c:pt idx="1818">
                  <c:v>7.401410761154855</c:v>
                </c:pt>
                <c:pt idx="1819">
                  <c:v>7.401410761154855</c:v>
                </c:pt>
                <c:pt idx="1820">
                  <c:v>7.401410761154855</c:v>
                </c:pt>
                <c:pt idx="1821">
                  <c:v>7.401410761154855</c:v>
                </c:pt>
                <c:pt idx="1822">
                  <c:v>7.401410761154855</c:v>
                </c:pt>
                <c:pt idx="1824">
                  <c:v>7.401410761154855</c:v>
                </c:pt>
                <c:pt idx="1825">
                  <c:v>7.401410761154855</c:v>
                </c:pt>
                <c:pt idx="1826">
                  <c:v>7.401410761154855</c:v>
                </c:pt>
                <c:pt idx="1827">
                  <c:v>7.401410761154855</c:v>
                </c:pt>
                <c:pt idx="1828">
                  <c:v>7.401410761154855</c:v>
                </c:pt>
                <c:pt idx="1830">
                  <c:v>7.401410761154855</c:v>
                </c:pt>
                <c:pt idx="1831">
                  <c:v>7.401410761154855</c:v>
                </c:pt>
                <c:pt idx="1832">
                  <c:v>7.401410761154855</c:v>
                </c:pt>
                <c:pt idx="1833">
                  <c:v>7.401410761154855</c:v>
                </c:pt>
                <c:pt idx="1834">
                  <c:v>7.401410761154855</c:v>
                </c:pt>
                <c:pt idx="1836">
                  <c:v>7.401410761154855</c:v>
                </c:pt>
                <c:pt idx="1837">
                  <c:v>7.401410761154855</c:v>
                </c:pt>
                <c:pt idx="1838">
                  <c:v>7.401410761154855</c:v>
                </c:pt>
                <c:pt idx="1839">
                  <c:v>7.401410761154855</c:v>
                </c:pt>
                <c:pt idx="1840">
                  <c:v>7.401410761154855</c:v>
                </c:pt>
                <c:pt idx="1842">
                  <c:v>7.401410761154855</c:v>
                </c:pt>
                <c:pt idx="1843">
                  <c:v>7.401410761154855</c:v>
                </c:pt>
                <c:pt idx="1844">
                  <c:v>7.401410761154855</c:v>
                </c:pt>
                <c:pt idx="1845">
                  <c:v>7.401410761154855</c:v>
                </c:pt>
                <c:pt idx="1846">
                  <c:v>7.401410761154855</c:v>
                </c:pt>
                <c:pt idx="1848">
                  <c:v>7.401410761154855</c:v>
                </c:pt>
                <c:pt idx="1849">
                  <c:v>7.401410761154855</c:v>
                </c:pt>
                <c:pt idx="1850">
                  <c:v>7.401410761154855</c:v>
                </c:pt>
                <c:pt idx="1851">
                  <c:v>7.401410761154855</c:v>
                </c:pt>
                <c:pt idx="1852">
                  <c:v>7.401410761154855</c:v>
                </c:pt>
                <c:pt idx="1854">
                  <c:v>7.401410761154855</c:v>
                </c:pt>
                <c:pt idx="1855">
                  <c:v>7.401410761154855</c:v>
                </c:pt>
                <c:pt idx="1856">
                  <c:v>7.401410761154855</c:v>
                </c:pt>
                <c:pt idx="1857">
                  <c:v>7.401410761154855</c:v>
                </c:pt>
                <c:pt idx="1858">
                  <c:v>7.401410761154855</c:v>
                </c:pt>
                <c:pt idx="1860">
                  <c:v>7.401410761154855</c:v>
                </c:pt>
                <c:pt idx="1861">
                  <c:v>7.401410761154855</c:v>
                </c:pt>
                <c:pt idx="1862">
                  <c:v>7.401410761154855</c:v>
                </c:pt>
                <c:pt idx="1863">
                  <c:v>7.401410761154855</c:v>
                </c:pt>
                <c:pt idx="1864">
                  <c:v>7.401410761154855</c:v>
                </c:pt>
                <c:pt idx="1866">
                  <c:v>7.401410761154855</c:v>
                </c:pt>
                <c:pt idx="1867">
                  <c:v>7.401410761154855</c:v>
                </c:pt>
                <c:pt idx="1868">
                  <c:v>7.401410761154855</c:v>
                </c:pt>
                <c:pt idx="1869">
                  <c:v>7.401410761154855</c:v>
                </c:pt>
                <c:pt idx="1870">
                  <c:v>7.401410761154855</c:v>
                </c:pt>
                <c:pt idx="1872">
                  <c:v>7.401410761154855</c:v>
                </c:pt>
                <c:pt idx="1873">
                  <c:v>7.401410761154855</c:v>
                </c:pt>
                <c:pt idx="1874">
                  <c:v>7.401410761154855</c:v>
                </c:pt>
                <c:pt idx="1875">
                  <c:v>7.401410761154855</c:v>
                </c:pt>
                <c:pt idx="1876">
                  <c:v>7.401410761154855</c:v>
                </c:pt>
                <c:pt idx="1878">
                  <c:v>7.401410761154855</c:v>
                </c:pt>
                <c:pt idx="1879">
                  <c:v>7.401410761154855</c:v>
                </c:pt>
                <c:pt idx="1880">
                  <c:v>7.401410761154855</c:v>
                </c:pt>
                <c:pt idx="1881">
                  <c:v>7.401410761154855</c:v>
                </c:pt>
                <c:pt idx="1882">
                  <c:v>7.401410761154855</c:v>
                </c:pt>
                <c:pt idx="1884">
                  <c:v>7.401410761154855</c:v>
                </c:pt>
                <c:pt idx="1885">
                  <c:v>7.401410761154855</c:v>
                </c:pt>
                <c:pt idx="1886">
                  <c:v>7.401410761154855</c:v>
                </c:pt>
                <c:pt idx="1887">
                  <c:v>7.401410761154855</c:v>
                </c:pt>
                <c:pt idx="1888">
                  <c:v>7.401410761154855</c:v>
                </c:pt>
                <c:pt idx="1890">
                  <c:v>7.401410761154855</c:v>
                </c:pt>
                <c:pt idx="1891">
                  <c:v>7.401410761154855</c:v>
                </c:pt>
                <c:pt idx="1892">
                  <c:v>7.401410761154855</c:v>
                </c:pt>
                <c:pt idx="1893">
                  <c:v>7.401410761154855</c:v>
                </c:pt>
                <c:pt idx="1894">
                  <c:v>7.401410761154855</c:v>
                </c:pt>
                <c:pt idx="1896">
                  <c:v>7.401410761154855</c:v>
                </c:pt>
                <c:pt idx="1897">
                  <c:v>7.401410761154855</c:v>
                </c:pt>
                <c:pt idx="1898">
                  <c:v>7.401410761154855</c:v>
                </c:pt>
                <c:pt idx="1899">
                  <c:v>7.401410761154855</c:v>
                </c:pt>
                <c:pt idx="1900">
                  <c:v>7.401410761154855</c:v>
                </c:pt>
                <c:pt idx="1902">
                  <c:v>7.401410761154855</c:v>
                </c:pt>
                <c:pt idx="1903">
                  <c:v>7.401410761154855</c:v>
                </c:pt>
                <c:pt idx="1904">
                  <c:v>7.401410761154855</c:v>
                </c:pt>
                <c:pt idx="1905">
                  <c:v>7.401410761154855</c:v>
                </c:pt>
                <c:pt idx="1906">
                  <c:v>7.401410761154855</c:v>
                </c:pt>
                <c:pt idx="1908">
                  <c:v>7.401410761154855</c:v>
                </c:pt>
                <c:pt idx="1909">
                  <c:v>7.401410761154855</c:v>
                </c:pt>
                <c:pt idx="1910">
                  <c:v>7.401410761154855</c:v>
                </c:pt>
                <c:pt idx="1911">
                  <c:v>7.401410761154855</c:v>
                </c:pt>
                <c:pt idx="1912">
                  <c:v>7.401410761154855</c:v>
                </c:pt>
                <c:pt idx="1914">
                  <c:v>7.401410761154855</c:v>
                </c:pt>
                <c:pt idx="1915">
                  <c:v>7.401410761154855</c:v>
                </c:pt>
                <c:pt idx="1916">
                  <c:v>7.401410761154855</c:v>
                </c:pt>
                <c:pt idx="1917">
                  <c:v>7.401410761154855</c:v>
                </c:pt>
                <c:pt idx="1918">
                  <c:v>7.401410761154855</c:v>
                </c:pt>
                <c:pt idx="1920">
                  <c:v>7.401410761154855</c:v>
                </c:pt>
                <c:pt idx="1921">
                  <c:v>7.401410761154855</c:v>
                </c:pt>
                <c:pt idx="1922">
                  <c:v>7.401410761154855</c:v>
                </c:pt>
                <c:pt idx="1923">
                  <c:v>7.401410761154855</c:v>
                </c:pt>
                <c:pt idx="1924">
                  <c:v>7.401410761154855</c:v>
                </c:pt>
                <c:pt idx="1926">
                  <c:v>7.401410761154855</c:v>
                </c:pt>
                <c:pt idx="1927">
                  <c:v>7.401410761154855</c:v>
                </c:pt>
                <c:pt idx="1928">
                  <c:v>7.401410761154855</c:v>
                </c:pt>
                <c:pt idx="1929">
                  <c:v>7.401410761154855</c:v>
                </c:pt>
                <c:pt idx="1930">
                  <c:v>7.401410761154855</c:v>
                </c:pt>
                <c:pt idx="1932">
                  <c:v>7.401410761154855</c:v>
                </c:pt>
                <c:pt idx="1933">
                  <c:v>7.401410761154855</c:v>
                </c:pt>
                <c:pt idx="1934">
                  <c:v>7.401410761154855</c:v>
                </c:pt>
                <c:pt idx="1935">
                  <c:v>7.401410761154855</c:v>
                </c:pt>
                <c:pt idx="1936">
                  <c:v>7.401410761154855</c:v>
                </c:pt>
                <c:pt idx="1938">
                  <c:v>7.401410761154855</c:v>
                </c:pt>
                <c:pt idx="1939">
                  <c:v>7.401410761154855</c:v>
                </c:pt>
                <c:pt idx="1940">
                  <c:v>7.401410761154855</c:v>
                </c:pt>
                <c:pt idx="1941">
                  <c:v>7.401410761154855</c:v>
                </c:pt>
                <c:pt idx="1942">
                  <c:v>7.401410761154855</c:v>
                </c:pt>
                <c:pt idx="1944">
                  <c:v>7.401410761154855</c:v>
                </c:pt>
                <c:pt idx="1945">
                  <c:v>7.401410761154855</c:v>
                </c:pt>
                <c:pt idx="1946">
                  <c:v>7.401410761154855</c:v>
                </c:pt>
                <c:pt idx="1947">
                  <c:v>7.401410761154855</c:v>
                </c:pt>
                <c:pt idx="1948">
                  <c:v>7.401410761154855</c:v>
                </c:pt>
                <c:pt idx="1950">
                  <c:v>7.401410761154855</c:v>
                </c:pt>
                <c:pt idx="1951">
                  <c:v>7.401410761154855</c:v>
                </c:pt>
                <c:pt idx="1952">
                  <c:v>7.401410761154855</c:v>
                </c:pt>
                <c:pt idx="1953">
                  <c:v>7.401410761154855</c:v>
                </c:pt>
                <c:pt idx="1954">
                  <c:v>7.401410761154855</c:v>
                </c:pt>
                <c:pt idx="1956">
                  <c:v>7.401410761154855</c:v>
                </c:pt>
                <c:pt idx="1957">
                  <c:v>7.401410761154855</c:v>
                </c:pt>
                <c:pt idx="1958">
                  <c:v>7.401410761154855</c:v>
                </c:pt>
                <c:pt idx="1959">
                  <c:v>7.401410761154855</c:v>
                </c:pt>
                <c:pt idx="1960">
                  <c:v>7.401410761154855</c:v>
                </c:pt>
                <c:pt idx="1962">
                  <c:v>7.401410761154855</c:v>
                </c:pt>
                <c:pt idx="1963">
                  <c:v>7.401410761154855</c:v>
                </c:pt>
                <c:pt idx="1964">
                  <c:v>7.401410761154855</c:v>
                </c:pt>
                <c:pt idx="1965">
                  <c:v>7.401410761154855</c:v>
                </c:pt>
                <c:pt idx="1966">
                  <c:v>7.401410761154855</c:v>
                </c:pt>
                <c:pt idx="1968">
                  <c:v>7.401410761154855</c:v>
                </c:pt>
                <c:pt idx="1969">
                  <c:v>7.401410761154855</c:v>
                </c:pt>
                <c:pt idx="1970">
                  <c:v>7.401410761154855</c:v>
                </c:pt>
                <c:pt idx="1971">
                  <c:v>7.401410761154855</c:v>
                </c:pt>
                <c:pt idx="1972">
                  <c:v>7.401410761154855</c:v>
                </c:pt>
                <c:pt idx="1974">
                  <c:v>7.401410761154855</c:v>
                </c:pt>
                <c:pt idx="1975">
                  <c:v>7.401410761154855</c:v>
                </c:pt>
                <c:pt idx="1976">
                  <c:v>7.401410761154855</c:v>
                </c:pt>
                <c:pt idx="1977">
                  <c:v>7.401410761154855</c:v>
                </c:pt>
                <c:pt idx="1978">
                  <c:v>7.401410761154855</c:v>
                </c:pt>
                <c:pt idx="1980">
                  <c:v>7.401410761154855</c:v>
                </c:pt>
                <c:pt idx="1981">
                  <c:v>7.401410761154855</c:v>
                </c:pt>
                <c:pt idx="1982">
                  <c:v>7.401410761154855</c:v>
                </c:pt>
                <c:pt idx="1983">
                  <c:v>7.401410761154855</c:v>
                </c:pt>
                <c:pt idx="1984">
                  <c:v>7.401410761154855</c:v>
                </c:pt>
                <c:pt idx="1986">
                  <c:v>7.401410761154855</c:v>
                </c:pt>
                <c:pt idx="1987">
                  <c:v>7.401410761154855</c:v>
                </c:pt>
                <c:pt idx="1988">
                  <c:v>7.401410761154855</c:v>
                </c:pt>
                <c:pt idx="1989">
                  <c:v>7.401410761154855</c:v>
                </c:pt>
                <c:pt idx="1990">
                  <c:v>7.401410761154855</c:v>
                </c:pt>
                <c:pt idx="1992">
                  <c:v>7.401410761154855</c:v>
                </c:pt>
                <c:pt idx="1993">
                  <c:v>7.401410761154855</c:v>
                </c:pt>
                <c:pt idx="1994">
                  <c:v>7.401410761154855</c:v>
                </c:pt>
                <c:pt idx="1995">
                  <c:v>7.401410761154855</c:v>
                </c:pt>
                <c:pt idx="1996">
                  <c:v>7.401410761154855</c:v>
                </c:pt>
                <c:pt idx="1998">
                  <c:v>7.401410761154855</c:v>
                </c:pt>
                <c:pt idx="1999">
                  <c:v>7.401410761154855</c:v>
                </c:pt>
                <c:pt idx="2000">
                  <c:v>7.401410761154855</c:v>
                </c:pt>
                <c:pt idx="2001">
                  <c:v>7.401410761154855</c:v>
                </c:pt>
                <c:pt idx="2002">
                  <c:v>7.401410761154855</c:v>
                </c:pt>
                <c:pt idx="2004">
                  <c:v>7.401410761154855</c:v>
                </c:pt>
                <c:pt idx="2005">
                  <c:v>7.401410761154855</c:v>
                </c:pt>
                <c:pt idx="2006">
                  <c:v>7.401410761154855</c:v>
                </c:pt>
                <c:pt idx="2007">
                  <c:v>7.401410761154855</c:v>
                </c:pt>
                <c:pt idx="2008">
                  <c:v>7.401410761154855</c:v>
                </c:pt>
                <c:pt idx="2010">
                  <c:v>7.401410761154855</c:v>
                </c:pt>
                <c:pt idx="2011">
                  <c:v>7.401410761154855</c:v>
                </c:pt>
                <c:pt idx="2012">
                  <c:v>7.401410761154855</c:v>
                </c:pt>
                <c:pt idx="2013">
                  <c:v>7.401410761154855</c:v>
                </c:pt>
                <c:pt idx="2014">
                  <c:v>7.401410761154855</c:v>
                </c:pt>
                <c:pt idx="2016">
                  <c:v>7.401410761154855</c:v>
                </c:pt>
                <c:pt idx="2017">
                  <c:v>7.401410761154855</c:v>
                </c:pt>
                <c:pt idx="2018">
                  <c:v>7.401410761154855</c:v>
                </c:pt>
                <c:pt idx="2019">
                  <c:v>7.401410761154855</c:v>
                </c:pt>
                <c:pt idx="2020">
                  <c:v>7.401410761154855</c:v>
                </c:pt>
                <c:pt idx="2022">
                  <c:v>7.401410761154855</c:v>
                </c:pt>
                <c:pt idx="2023">
                  <c:v>7.401410761154855</c:v>
                </c:pt>
                <c:pt idx="2024">
                  <c:v>7.401410761154855</c:v>
                </c:pt>
                <c:pt idx="2025">
                  <c:v>7.401410761154855</c:v>
                </c:pt>
                <c:pt idx="2026">
                  <c:v>7.401410761154855</c:v>
                </c:pt>
                <c:pt idx="2028">
                  <c:v>7.401410761154855</c:v>
                </c:pt>
                <c:pt idx="2029">
                  <c:v>7.401410761154855</c:v>
                </c:pt>
                <c:pt idx="2030">
                  <c:v>7.401410761154855</c:v>
                </c:pt>
                <c:pt idx="2031">
                  <c:v>7.401410761154855</c:v>
                </c:pt>
                <c:pt idx="2032">
                  <c:v>7.401410761154855</c:v>
                </c:pt>
                <c:pt idx="2034">
                  <c:v>7.401410761154855</c:v>
                </c:pt>
                <c:pt idx="2035">
                  <c:v>7.401410761154855</c:v>
                </c:pt>
                <c:pt idx="2036">
                  <c:v>7.401410761154855</c:v>
                </c:pt>
                <c:pt idx="2037">
                  <c:v>7.401410761154855</c:v>
                </c:pt>
                <c:pt idx="2038">
                  <c:v>7.401410761154855</c:v>
                </c:pt>
                <c:pt idx="2040">
                  <c:v>7.401410761154855</c:v>
                </c:pt>
                <c:pt idx="2041">
                  <c:v>7.401410761154855</c:v>
                </c:pt>
                <c:pt idx="2042">
                  <c:v>7.401410761154855</c:v>
                </c:pt>
                <c:pt idx="2043">
                  <c:v>7.401410761154855</c:v>
                </c:pt>
                <c:pt idx="2044">
                  <c:v>7.401410761154855</c:v>
                </c:pt>
                <c:pt idx="2046">
                  <c:v>7.401410761154855</c:v>
                </c:pt>
                <c:pt idx="2047">
                  <c:v>7.401410761154855</c:v>
                </c:pt>
                <c:pt idx="2048">
                  <c:v>7.401410761154855</c:v>
                </c:pt>
                <c:pt idx="2049">
                  <c:v>7.401410761154855</c:v>
                </c:pt>
                <c:pt idx="2050">
                  <c:v>7.401410761154855</c:v>
                </c:pt>
                <c:pt idx="2052">
                  <c:v>7.401410761154855</c:v>
                </c:pt>
                <c:pt idx="2053">
                  <c:v>7.401410761154855</c:v>
                </c:pt>
                <c:pt idx="2054">
                  <c:v>7.401410761154855</c:v>
                </c:pt>
                <c:pt idx="2055">
                  <c:v>7.401410761154855</c:v>
                </c:pt>
                <c:pt idx="2056">
                  <c:v>7.401410761154855</c:v>
                </c:pt>
                <c:pt idx="2058">
                  <c:v>7.401410761154855</c:v>
                </c:pt>
                <c:pt idx="2059">
                  <c:v>7.401410761154855</c:v>
                </c:pt>
                <c:pt idx="2060">
                  <c:v>7.401410761154855</c:v>
                </c:pt>
                <c:pt idx="2061">
                  <c:v>7.401410761154855</c:v>
                </c:pt>
                <c:pt idx="2062">
                  <c:v>7.401410761154855</c:v>
                </c:pt>
                <c:pt idx="2064">
                  <c:v>7.401410761154855</c:v>
                </c:pt>
                <c:pt idx="2065">
                  <c:v>7.401410761154855</c:v>
                </c:pt>
                <c:pt idx="2066">
                  <c:v>7.401410761154855</c:v>
                </c:pt>
                <c:pt idx="2067">
                  <c:v>7.401410761154855</c:v>
                </c:pt>
                <c:pt idx="2068">
                  <c:v>7.401410761154855</c:v>
                </c:pt>
                <c:pt idx="2070">
                  <c:v>7.401410761154855</c:v>
                </c:pt>
                <c:pt idx="2071">
                  <c:v>7.401410761154855</c:v>
                </c:pt>
                <c:pt idx="2072">
                  <c:v>7.401410761154855</c:v>
                </c:pt>
                <c:pt idx="2073">
                  <c:v>7.401410761154855</c:v>
                </c:pt>
                <c:pt idx="2074">
                  <c:v>7.401410761154855</c:v>
                </c:pt>
                <c:pt idx="2076">
                  <c:v>7.401410761154855</c:v>
                </c:pt>
                <c:pt idx="2077">
                  <c:v>7.401410761154855</c:v>
                </c:pt>
                <c:pt idx="2078">
                  <c:v>7.401410761154855</c:v>
                </c:pt>
                <c:pt idx="2079">
                  <c:v>7.401410761154855</c:v>
                </c:pt>
                <c:pt idx="2080">
                  <c:v>7.401410761154855</c:v>
                </c:pt>
                <c:pt idx="2082">
                  <c:v>7.401410761154855</c:v>
                </c:pt>
                <c:pt idx="2083">
                  <c:v>7.401410761154855</c:v>
                </c:pt>
                <c:pt idx="2084">
                  <c:v>7.401410761154855</c:v>
                </c:pt>
                <c:pt idx="2085">
                  <c:v>7.401410761154855</c:v>
                </c:pt>
                <c:pt idx="2086">
                  <c:v>7.401410761154855</c:v>
                </c:pt>
                <c:pt idx="2088">
                  <c:v>7.401410761154855</c:v>
                </c:pt>
                <c:pt idx="2089">
                  <c:v>7.401410761154855</c:v>
                </c:pt>
                <c:pt idx="2090">
                  <c:v>7.401410761154855</c:v>
                </c:pt>
                <c:pt idx="2091">
                  <c:v>7.401410761154855</c:v>
                </c:pt>
                <c:pt idx="2092">
                  <c:v>7.401410761154855</c:v>
                </c:pt>
                <c:pt idx="2094">
                  <c:v>7.401410761154855</c:v>
                </c:pt>
                <c:pt idx="2095">
                  <c:v>7.401410761154855</c:v>
                </c:pt>
                <c:pt idx="2096">
                  <c:v>7.401410761154855</c:v>
                </c:pt>
                <c:pt idx="2097">
                  <c:v>7.401410761154855</c:v>
                </c:pt>
                <c:pt idx="2098">
                  <c:v>7.401410761154855</c:v>
                </c:pt>
                <c:pt idx="2100">
                  <c:v>7.401410761154855</c:v>
                </c:pt>
                <c:pt idx="2101">
                  <c:v>7.401410761154855</c:v>
                </c:pt>
                <c:pt idx="2102">
                  <c:v>7.401410761154855</c:v>
                </c:pt>
                <c:pt idx="2103">
                  <c:v>7.401410761154855</c:v>
                </c:pt>
                <c:pt idx="2104">
                  <c:v>7.401410761154855</c:v>
                </c:pt>
                <c:pt idx="2106">
                  <c:v>7.401410761154855</c:v>
                </c:pt>
                <c:pt idx="2107">
                  <c:v>7.401410761154855</c:v>
                </c:pt>
                <c:pt idx="2108">
                  <c:v>7.401410761154855</c:v>
                </c:pt>
                <c:pt idx="2109">
                  <c:v>7.401410761154855</c:v>
                </c:pt>
                <c:pt idx="2110">
                  <c:v>7.401410761154855</c:v>
                </c:pt>
                <c:pt idx="2112">
                  <c:v>7.401410761154855</c:v>
                </c:pt>
                <c:pt idx="2113">
                  <c:v>7.401410761154855</c:v>
                </c:pt>
                <c:pt idx="2114">
                  <c:v>7.401410761154855</c:v>
                </c:pt>
                <c:pt idx="2115">
                  <c:v>7.401410761154855</c:v>
                </c:pt>
                <c:pt idx="2116">
                  <c:v>7.401410761154855</c:v>
                </c:pt>
                <c:pt idx="2118">
                  <c:v>7.401410761154855</c:v>
                </c:pt>
                <c:pt idx="2119">
                  <c:v>7.401410761154855</c:v>
                </c:pt>
                <c:pt idx="2120">
                  <c:v>7.401410761154855</c:v>
                </c:pt>
                <c:pt idx="2121">
                  <c:v>7.401410761154855</c:v>
                </c:pt>
                <c:pt idx="2122">
                  <c:v>7.401410761154855</c:v>
                </c:pt>
                <c:pt idx="2124">
                  <c:v>7.401410761154855</c:v>
                </c:pt>
                <c:pt idx="2125">
                  <c:v>7.401410761154855</c:v>
                </c:pt>
                <c:pt idx="2126">
                  <c:v>7.401410761154855</c:v>
                </c:pt>
                <c:pt idx="2127">
                  <c:v>7.401410761154855</c:v>
                </c:pt>
                <c:pt idx="2128">
                  <c:v>7.401410761154855</c:v>
                </c:pt>
                <c:pt idx="2130">
                  <c:v>7.401410761154855</c:v>
                </c:pt>
                <c:pt idx="2131">
                  <c:v>7.401410761154855</c:v>
                </c:pt>
                <c:pt idx="2132">
                  <c:v>7.401410761154855</c:v>
                </c:pt>
                <c:pt idx="2133">
                  <c:v>7.401410761154855</c:v>
                </c:pt>
                <c:pt idx="2134">
                  <c:v>7.401410761154855</c:v>
                </c:pt>
                <c:pt idx="2136">
                  <c:v>7.401410761154855</c:v>
                </c:pt>
                <c:pt idx="2137">
                  <c:v>7.401410761154855</c:v>
                </c:pt>
                <c:pt idx="2138">
                  <c:v>7.401410761154855</c:v>
                </c:pt>
                <c:pt idx="2139">
                  <c:v>7.401410761154855</c:v>
                </c:pt>
                <c:pt idx="2140">
                  <c:v>7.401410761154855</c:v>
                </c:pt>
                <c:pt idx="2142">
                  <c:v>7.401410761154855</c:v>
                </c:pt>
                <c:pt idx="2143">
                  <c:v>7.401410761154855</c:v>
                </c:pt>
                <c:pt idx="2144">
                  <c:v>7.401410761154855</c:v>
                </c:pt>
                <c:pt idx="2145">
                  <c:v>7.401410761154855</c:v>
                </c:pt>
                <c:pt idx="2146">
                  <c:v>7.401410761154855</c:v>
                </c:pt>
                <c:pt idx="2148">
                  <c:v>7.401410761154855</c:v>
                </c:pt>
                <c:pt idx="2149">
                  <c:v>7.401410761154855</c:v>
                </c:pt>
                <c:pt idx="2150">
                  <c:v>7.401410761154855</c:v>
                </c:pt>
                <c:pt idx="2151">
                  <c:v>7.401410761154855</c:v>
                </c:pt>
                <c:pt idx="2152">
                  <c:v>7.401410761154855</c:v>
                </c:pt>
                <c:pt idx="2154">
                  <c:v>7.401410761154855</c:v>
                </c:pt>
                <c:pt idx="2155">
                  <c:v>7.401410761154855</c:v>
                </c:pt>
                <c:pt idx="2156">
                  <c:v>7.401410761154855</c:v>
                </c:pt>
                <c:pt idx="2157">
                  <c:v>7.401410761154855</c:v>
                </c:pt>
                <c:pt idx="2158">
                  <c:v>7.401410761154855</c:v>
                </c:pt>
              </c:numCache>
            </c:numRef>
          </c:xVal>
          <c:yVal>
            <c:numRef>
              <c:f>Shadow!$AB$3:$AB$2162</c:f>
              <c:numCache>
                <c:formatCode>0</c:formatCode>
                <c:ptCount val="2160"/>
                <c:pt idx="0">
                  <c:v>0</c:v>
                </c:pt>
                <c:pt idx="1">
                  <c:v>0</c:v>
                </c:pt>
                <c:pt idx="2">
                  <c:v>16.439632545931762</c:v>
                </c:pt>
                <c:pt idx="3">
                  <c:v>16.439632545931762</c:v>
                </c:pt>
                <c:pt idx="4">
                  <c:v>0</c:v>
                </c:pt>
                <c:pt idx="6">
                  <c:v>0</c:v>
                </c:pt>
                <c:pt idx="7">
                  <c:v>0</c:v>
                </c:pt>
                <c:pt idx="8">
                  <c:v>16.439632545931762</c:v>
                </c:pt>
                <c:pt idx="9">
                  <c:v>16.439632545931762</c:v>
                </c:pt>
                <c:pt idx="10">
                  <c:v>0</c:v>
                </c:pt>
                <c:pt idx="12">
                  <c:v>17.999999999999989</c:v>
                </c:pt>
                <c:pt idx="13">
                  <c:v>17.999999999999989</c:v>
                </c:pt>
                <c:pt idx="14">
                  <c:v>34.439632545931751</c:v>
                </c:pt>
                <c:pt idx="15">
                  <c:v>34.439632545931751</c:v>
                </c:pt>
                <c:pt idx="16">
                  <c:v>17.999999999999989</c:v>
                </c:pt>
                <c:pt idx="18">
                  <c:v>17.999999999999989</c:v>
                </c:pt>
                <c:pt idx="19">
                  <c:v>17.999999999999989</c:v>
                </c:pt>
                <c:pt idx="20">
                  <c:v>34.439632545931751</c:v>
                </c:pt>
                <c:pt idx="21">
                  <c:v>34.439632545931751</c:v>
                </c:pt>
                <c:pt idx="22">
                  <c:v>17.999999999999989</c:v>
                </c:pt>
                <c:pt idx="24">
                  <c:v>35.999999999999979</c:v>
                </c:pt>
                <c:pt idx="25">
                  <c:v>35.999999999999979</c:v>
                </c:pt>
                <c:pt idx="26">
                  <c:v>52.439632545931744</c:v>
                </c:pt>
                <c:pt idx="27">
                  <c:v>52.439632545931744</c:v>
                </c:pt>
                <c:pt idx="28">
                  <c:v>35.999999999999979</c:v>
                </c:pt>
                <c:pt idx="30">
                  <c:v>35.999999999999979</c:v>
                </c:pt>
                <c:pt idx="31">
                  <c:v>35.999999999999979</c:v>
                </c:pt>
                <c:pt idx="32">
                  <c:v>52.439632545931744</c:v>
                </c:pt>
                <c:pt idx="33">
                  <c:v>52.439632545931744</c:v>
                </c:pt>
                <c:pt idx="34">
                  <c:v>35.999999999999979</c:v>
                </c:pt>
                <c:pt idx="36">
                  <c:v>53.999999999999972</c:v>
                </c:pt>
                <c:pt idx="37">
                  <c:v>53.999999999999972</c:v>
                </c:pt>
                <c:pt idx="38">
                  <c:v>70.43963254593173</c:v>
                </c:pt>
                <c:pt idx="39">
                  <c:v>70.43963254593173</c:v>
                </c:pt>
                <c:pt idx="40">
                  <c:v>53.999999999999972</c:v>
                </c:pt>
                <c:pt idx="42">
                  <c:v>53.999999999999972</c:v>
                </c:pt>
                <c:pt idx="43">
                  <c:v>53.999999999999972</c:v>
                </c:pt>
                <c:pt idx="44">
                  <c:v>70.43963254593173</c:v>
                </c:pt>
                <c:pt idx="45">
                  <c:v>70.43963254593173</c:v>
                </c:pt>
                <c:pt idx="46">
                  <c:v>53.999999999999972</c:v>
                </c:pt>
                <c:pt idx="48">
                  <c:v>0</c:v>
                </c:pt>
                <c:pt idx="49">
                  <c:v>0</c:v>
                </c:pt>
                <c:pt idx="50">
                  <c:v>16.439632545931762</c:v>
                </c:pt>
                <c:pt idx="51">
                  <c:v>16.439632545931762</c:v>
                </c:pt>
                <c:pt idx="52">
                  <c:v>0</c:v>
                </c:pt>
                <c:pt idx="54">
                  <c:v>0</c:v>
                </c:pt>
                <c:pt idx="55">
                  <c:v>0</c:v>
                </c:pt>
                <c:pt idx="56">
                  <c:v>16.439632545931762</c:v>
                </c:pt>
                <c:pt idx="57">
                  <c:v>16.439632545931762</c:v>
                </c:pt>
                <c:pt idx="58">
                  <c:v>0</c:v>
                </c:pt>
                <c:pt idx="60">
                  <c:v>17.999999999999989</c:v>
                </c:pt>
                <c:pt idx="61">
                  <c:v>17.999999999999989</c:v>
                </c:pt>
                <c:pt idx="62">
                  <c:v>34.439632545931751</c:v>
                </c:pt>
                <c:pt idx="63">
                  <c:v>34.439632545931751</c:v>
                </c:pt>
                <c:pt idx="64">
                  <c:v>17.999999999999989</c:v>
                </c:pt>
                <c:pt idx="66">
                  <c:v>17.999999999999989</c:v>
                </c:pt>
                <c:pt idx="67">
                  <c:v>17.999999999999989</c:v>
                </c:pt>
                <c:pt idx="68">
                  <c:v>34.439632545931751</c:v>
                </c:pt>
                <c:pt idx="69">
                  <c:v>34.439632545931751</c:v>
                </c:pt>
                <c:pt idx="70">
                  <c:v>17.999999999999989</c:v>
                </c:pt>
                <c:pt idx="72">
                  <c:v>35.999999999999979</c:v>
                </c:pt>
                <c:pt idx="73">
                  <c:v>35.999999999999979</c:v>
                </c:pt>
                <c:pt idx="74">
                  <c:v>52.439632545931744</c:v>
                </c:pt>
                <c:pt idx="75">
                  <c:v>52.439632545931744</c:v>
                </c:pt>
                <c:pt idx="76">
                  <c:v>35.999999999999979</c:v>
                </c:pt>
                <c:pt idx="78">
                  <c:v>35.999999999999979</c:v>
                </c:pt>
                <c:pt idx="79">
                  <c:v>35.999999999999979</c:v>
                </c:pt>
                <c:pt idx="80">
                  <c:v>52.439632545931744</c:v>
                </c:pt>
                <c:pt idx="81">
                  <c:v>52.439632545931744</c:v>
                </c:pt>
                <c:pt idx="82">
                  <c:v>35.999999999999979</c:v>
                </c:pt>
                <c:pt idx="84">
                  <c:v>53.999999999999972</c:v>
                </c:pt>
                <c:pt idx="85">
                  <c:v>53.999999999999972</c:v>
                </c:pt>
                <c:pt idx="86">
                  <c:v>70.43963254593173</c:v>
                </c:pt>
                <c:pt idx="87">
                  <c:v>70.43963254593173</c:v>
                </c:pt>
                <c:pt idx="88">
                  <c:v>53.999999999999972</c:v>
                </c:pt>
                <c:pt idx="90">
                  <c:v>53.999999999999972</c:v>
                </c:pt>
                <c:pt idx="91">
                  <c:v>53.999999999999972</c:v>
                </c:pt>
                <c:pt idx="92">
                  <c:v>70.43963254593173</c:v>
                </c:pt>
                <c:pt idx="93">
                  <c:v>70.43963254593173</c:v>
                </c:pt>
                <c:pt idx="94">
                  <c:v>53.999999999999972</c:v>
                </c:pt>
                <c:pt idx="96">
                  <c:v>0</c:v>
                </c:pt>
                <c:pt idx="97">
                  <c:v>0</c:v>
                </c:pt>
                <c:pt idx="98">
                  <c:v>16.439632545931762</c:v>
                </c:pt>
                <c:pt idx="99">
                  <c:v>16.439632545931762</c:v>
                </c:pt>
                <c:pt idx="100">
                  <c:v>0</c:v>
                </c:pt>
                <c:pt idx="102">
                  <c:v>0</c:v>
                </c:pt>
                <c:pt idx="103">
                  <c:v>0</c:v>
                </c:pt>
                <c:pt idx="104">
                  <c:v>16.439632545931762</c:v>
                </c:pt>
                <c:pt idx="105">
                  <c:v>16.439632545931762</c:v>
                </c:pt>
                <c:pt idx="106">
                  <c:v>0</c:v>
                </c:pt>
                <c:pt idx="108">
                  <c:v>17.999999999999989</c:v>
                </c:pt>
                <c:pt idx="109">
                  <c:v>17.999999999999989</c:v>
                </c:pt>
                <c:pt idx="110">
                  <c:v>34.439632545931751</c:v>
                </c:pt>
                <c:pt idx="111">
                  <c:v>34.439632545931751</c:v>
                </c:pt>
                <c:pt idx="112">
                  <c:v>17.999999999999989</c:v>
                </c:pt>
                <c:pt idx="114">
                  <c:v>17.999999999999989</c:v>
                </c:pt>
                <c:pt idx="115">
                  <c:v>17.999999999999989</c:v>
                </c:pt>
                <c:pt idx="116">
                  <c:v>34.439632545931751</c:v>
                </c:pt>
                <c:pt idx="117">
                  <c:v>34.439632545931751</c:v>
                </c:pt>
                <c:pt idx="118">
                  <c:v>17.999999999999989</c:v>
                </c:pt>
                <c:pt idx="120">
                  <c:v>35.999999999999979</c:v>
                </c:pt>
                <c:pt idx="121">
                  <c:v>35.999999999999979</c:v>
                </c:pt>
                <c:pt idx="122">
                  <c:v>52.439632545931744</c:v>
                </c:pt>
                <c:pt idx="123">
                  <c:v>52.439632545931744</c:v>
                </c:pt>
                <c:pt idx="124">
                  <c:v>35.999999999999979</c:v>
                </c:pt>
                <c:pt idx="126">
                  <c:v>35.999999999999979</c:v>
                </c:pt>
                <c:pt idx="127">
                  <c:v>35.999999999999979</c:v>
                </c:pt>
                <c:pt idx="128">
                  <c:v>52.439632545931744</c:v>
                </c:pt>
                <c:pt idx="129">
                  <c:v>52.439632545931744</c:v>
                </c:pt>
                <c:pt idx="130">
                  <c:v>35.999999999999979</c:v>
                </c:pt>
                <c:pt idx="132">
                  <c:v>53.999999999999972</c:v>
                </c:pt>
                <c:pt idx="133">
                  <c:v>53.999999999999972</c:v>
                </c:pt>
                <c:pt idx="134">
                  <c:v>70.43963254593173</c:v>
                </c:pt>
                <c:pt idx="135">
                  <c:v>70.43963254593173</c:v>
                </c:pt>
                <c:pt idx="136">
                  <c:v>53.999999999999972</c:v>
                </c:pt>
                <c:pt idx="138">
                  <c:v>53.999999999999972</c:v>
                </c:pt>
                <c:pt idx="139">
                  <c:v>53.999999999999972</c:v>
                </c:pt>
                <c:pt idx="140">
                  <c:v>70.43963254593173</c:v>
                </c:pt>
                <c:pt idx="141">
                  <c:v>70.43963254593173</c:v>
                </c:pt>
                <c:pt idx="142">
                  <c:v>53.999999999999972</c:v>
                </c:pt>
                <c:pt idx="144">
                  <c:v>0</c:v>
                </c:pt>
                <c:pt idx="145">
                  <c:v>0</c:v>
                </c:pt>
                <c:pt idx="146">
                  <c:v>16.439632545931762</c:v>
                </c:pt>
                <c:pt idx="147">
                  <c:v>16.439632545931762</c:v>
                </c:pt>
                <c:pt idx="148">
                  <c:v>0</c:v>
                </c:pt>
                <c:pt idx="150">
                  <c:v>0</c:v>
                </c:pt>
                <c:pt idx="151">
                  <c:v>0</c:v>
                </c:pt>
                <c:pt idx="152">
                  <c:v>16.439632545931762</c:v>
                </c:pt>
                <c:pt idx="153">
                  <c:v>16.439632545931762</c:v>
                </c:pt>
                <c:pt idx="154">
                  <c:v>0</c:v>
                </c:pt>
                <c:pt idx="156">
                  <c:v>17.999999999999989</c:v>
                </c:pt>
                <c:pt idx="157">
                  <c:v>17.999999999999989</c:v>
                </c:pt>
                <c:pt idx="158">
                  <c:v>34.439632545931751</c:v>
                </c:pt>
                <c:pt idx="159">
                  <c:v>34.439632545931751</c:v>
                </c:pt>
                <c:pt idx="160">
                  <c:v>17.999999999999989</c:v>
                </c:pt>
                <c:pt idx="162">
                  <c:v>17.999999999999989</c:v>
                </c:pt>
                <c:pt idx="163">
                  <c:v>17.999999999999989</c:v>
                </c:pt>
                <c:pt idx="164">
                  <c:v>34.439632545931751</c:v>
                </c:pt>
                <c:pt idx="165">
                  <c:v>34.439632545931751</c:v>
                </c:pt>
                <c:pt idx="166">
                  <c:v>17.999999999999989</c:v>
                </c:pt>
                <c:pt idx="168">
                  <c:v>35.999999999999979</c:v>
                </c:pt>
                <c:pt idx="169">
                  <c:v>35.999999999999979</c:v>
                </c:pt>
                <c:pt idx="170">
                  <c:v>52.439632545931744</c:v>
                </c:pt>
                <c:pt idx="171">
                  <c:v>52.439632545931744</c:v>
                </c:pt>
                <c:pt idx="172">
                  <c:v>35.999999999999979</c:v>
                </c:pt>
                <c:pt idx="174">
                  <c:v>35.999999999999979</c:v>
                </c:pt>
                <c:pt idx="175">
                  <c:v>35.999999999999979</c:v>
                </c:pt>
                <c:pt idx="176">
                  <c:v>52.439632545931744</c:v>
                </c:pt>
                <c:pt idx="177">
                  <c:v>52.439632545931744</c:v>
                </c:pt>
                <c:pt idx="178">
                  <c:v>35.999999999999979</c:v>
                </c:pt>
                <c:pt idx="180">
                  <c:v>53.999999999999972</c:v>
                </c:pt>
                <c:pt idx="181">
                  <c:v>53.999999999999972</c:v>
                </c:pt>
                <c:pt idx="182">
                  <c:v>70.43963254593173</c:v>
                </c:pt>
                <c:pt idx="183">
                  <c:v>70.43963254593173</c:v>
                </c:pt>
                <c:pt idx="184">
                  <c:v>53.999999999999972</c:v>
                </c:pt>
                <c:pt idx="186">
                  <c:v>53.999999999999972</c:v>
                </c:pt>
                <c:pt idx="187">
                  <c:v>53.999999999999972</c:v>
                </c:pt>
                <c:pt idx="188">
                  <c:v>70.43963254593173</c:v>
                </c:pt>
                <c:pt idx="189">
                  <c:v>70.43963254593173</c:v>
                </c:pt>
                <c:pt idx="190">
                  <c:v>53.999999999999972</c:v>
                </c:pt>
                <c:pt idx="192">
                  <c:v>0</c:v>
                </c:pt>
                <c:pt idx="193">
                  <c:v>0</c:v>
                </c:pt>
                <c:pt idx="194">
                  <c:v>16.439632545931762</c:v>
                </c:pt>
                <c:pt idx="195">
                  <c:v>16.439632545931762</c:v>
                </c:pt>
                <c:pt idx="196">
                  <c:v>0</c:v>
                </c:pt>
                <c:pt idx="198">
                  <c:v>0</c:v>
                </c:pt>
                <c:pt idx="199">
                  <c:v>0</c:v>
                </c:pt>
                <c:pt idx="200">
                  <c:v>16.439632545931762</c:v>
                </c:pt>
                <c:pt idx="201">
                  <c:v>16.439632545931762</c:v>
                </c:pt>
                <c:pt idx="202">
                  <c:v>0</c:v>
                </c:pt>
                <c:pt idx="204">
                  <c:v>17.999999999999989</c:v>
                </c:pt>
                <c:pt idx="205">
                  <c:v>17.999999999999989</c:v>
                </c:pt>
                <c:pt idx="206">
                  <c:v>34.439632545931751</c:v>
                </c:pt>
                <c:pt idx="207">
                  <c:v>34.439632545931751</c:v>
                </c:pt>
                <c:pt idx="208">
                  <c:v>17.999999999999989</c:v>
                </c:pt>
                <c:pt idx="210">
                  <c:v>17.999999999999989</c:v>
                </c:pt>
                <c:pt idx="211">
                  <c:v>17.999999999999989</c:v>
                </c:pt>
                <c:pt idx="212">
                  <c:v>34.439632545931751</c:v>
                </c:pt>
                <c:pt idx="213">
                  <c:v>34.439632545931751</c:v>
                </c:pt>
                <c:pt idx="214">
                  <c:v>17.999999999999989</c:v>
                </c:pt>
                <c:pt idx="216">
                  <c:v>35.999999999999979</c:v>
                </c:pt>
                <c:pt idx="217">
                  <c:v>35.999999999999979</c:v>
                </c:pt>
                <c:pt idx="218">
                  <c:v>52.439632545931744</c:v>
                </c:pt>
                <c:pt idx="219">
                  <c:v>52.439632545931744</c:v>
                </c:pt>
                <c:pt idx="220">
                  <c:v>35.999999999999979</c:v>
                </c:pt>
                <c:pt idx="222">
                  <c:v>35.999999999999979</c:v>
                </c:pt>
                <c:pt idx="223">
                  <c:v>35.999999999999979</c:v>
                </c:pt>
                <c:pt idx="224">
                  <c:v>52.439632545931744</c:v>
                </c:pt>
                <c:pt idx="225">
                  <c:v>52.439632545931744</c:v>
                </c:pt>
                <c:pt idx="226">
                  <c:v>35.999999999999979</c:v>
                </c:pt>
                <c:pt idx="228">
                  <c:v>53.999999999999972</c:v>
                </c:pt>
                <c:pt idx="229">
                  <c:v>53.999999999999972</c:v>
                </c:pt>
                <c:pt idx="230">
                  <c:v>70.43963254593173</c:v>
                </c:pt>
                <c:pt idx="231">
                  <c:v>70.43963254593173</c:v>
                </c:pt>
                <c:pt idx="232">
                  <c:v>53.999999999999972</c:v>
                </c:pt>
                <c:pt idx="234">
                  <c:v>53.999999999999972</c:v>
                </c:pt>
                <c:pt idx="235">
                  <c:v>53.999999999999972</c:v>
                </c:pt>
                <c:pt idx="236">
                  <c:v>70.43963254593173</c:v>
                </c:pt>
                <c:pt idx="237">
                  <c:v>70.43963254593173</c:v>
                </c:pt>
                <c:pt idx="238">
                  <c:v>53.999999999999972</c:v>
                </c:pt>
                <c:pt idx="240">
                  <c:v>0</c:v>
                </c:pt>
                <c:pt idx="241">
                  <c:v>0</c:v>
                </c:pt>
                <c:pt idx="242">
                  <c:v>16.439632545931762</c:v>
                </c:pt>
                <c:pt idx="243">
                  <c:v>16.439632545931762</c:v>
                </c:pt>
                <c:pt idx="244">
                  <c:v>0</c:v>
                </c:pt>
                <c:pt idx="246">
                  <c:v>0</c:v>
                </c:pt>
                <c:pt idx="247">
                  <c:v>0</c:v>
                </c:pt>
                <c:pt idx="248">
                  <c:v>16.439632545931762</c:v>
                </c:pt>
                <c:pt idx="249">
                  <c:v>16.439632545931762</c:v>
                </c:pt>
                <c:pt idx="250">
                  <c:v>0</c:v>
                </c:pt>
                <c:pt idx="252">
                  <c:v>17.999999999999989</c:v>
                </c:pt>
                <c:pt idx="253">
                  <c:v>17.999999999999989</c:v>
                </c:pt>
                <c:pt idx="254">
                  <c:v>34.439632545931751</c:v>
                </c:pt>
                <c:pt idx="255">
                  <c:v>34.439632545931751</c:v>
                </c:pt>
                <c:pt idx="256">
                  <c:v>17.999999999999989</c:v>
                </c:pt>
                <c:pt idx="258">
                  <c:v>17.999999999999989</c:v>
                </c:pt>
                <c:pt idx="259">
                  <c:v>17.999999999999989</c:v>
                </c:pt>
                <c:pt idx="260">
                  <c:v>34.439632545931751</c:v>
                </c:pt>
                <c:pt idx="261">
                  <c:v>34.439632545931751</c:v>
                </c:pt>
                <c:pt idx="262">
                  <c:v>17.999999999999989</c:v>
                </c:pt>
                <c:pt idx="264">
                  <c:v>35.999999999999979</c:v>
                </c:pt>
                <c:pt idx="265">
                  <c:v>35.999999999999979</c:v>
                </c:pt>
                <c:pt idx="266">
                  <c:v>52.439632545931744</c:v>
                </c:pt>
                <c:pt idx="267">
                  <c:v>52.439632545931744</c:v>
                </c:pt>
                <c:pt idx="268">
                  <c:v>35.999999999999979</c:v>
                </c:pt>
                <c:pt idx="270">
                  <c:v>35.999999999999979</c:v>
                </c:pt>
                <c:pt idx="271">
                  <c:v>35.999999999999979</c:v>
                </c:pt>
                <c:pt idx="272">
                  <c:v>52.439632545931744</c:v>
                </c:pt>
                <c:pt idx="273">
                  <c:v>52.439632545931744</c:v>
                </c:pt>
                <c:pt idx="274">
                  <c:v>35.999999999999979</c:v>
                </c:pt>
                <c:pt idx="276">
                  <c:v>53.999999999999972</c:v>
                </c:pt>
                <c:pt idx="277">
                  <c:v>53.999999999999972</c:v>
                </c:pt>
                <c:pt idx="278">
                  <c:v>70.43963254593173</c:v>
                </c:pt>
                <c:pt idx="279">
                  <c:v>70.43963254593173</c:v>
                </c:pt>
                <c:pt idx="280">
                  <c:v>53.999999999999972</c:v>
                </c:pt>
                <c:pt idx="282">
                  <c:v>53.999999999999972</c:v>
                </c:pt>
                <c:pt idx="283">
                  <c:v>53.999999999999972</c:v>
                </c:pt>
                <c:pt idx="284">
                  <c:v>70.43963254593173</c:v>
                </c:pt>
                <c:pt idx="285">
                  <c:v>70.43963254593173</c:v>
                </c:pt>
                <c:pt idx="286">
                  <c:v>53.999999999999972</c:v>
                </c:pt>
                <c:pt idx="288">
                  <c:v>0</c:v>
                </c:pt>
                <c:pt idx="289">
                  <c:v>0</c:v>
                </c:pt>
                <c:pt idx="290">
                  <c:v>16.439632545931762</c:v>
                </c:pt>
                <c:pt idx="291">
                  <c:v>16.439632545931762</c:v>
                </c:pt>
                <c:pt idx="292">
                  <c:v>0</c:v>
                </c:pt>
                <c:pt idx="294">
                  <c:v>0</c:v>
                </c:pt>
                <c:pt idx="295">
                  <c:v>0</c:v>
                </c:pt>
                <c:pt idx="296">
                  <c:v>16.439632545931762</c:v>
                </c:pt>
                <c:pt idx="297">
                  <c:v>16.439632545931762</c:v>
                </c:pt>
                <c:pt idx="298">
                  <c:v>0</c:v>
                </c:pt>
                <c:pt idx="300">
                  <c:v>17.999999999999989</c:v>
                </c:pt>
                <c:pt idx="301">
                  <c:v>17.999999999999989</c:v>
                </c:pt>
                <c:pt idx="302">
                  <c:v>34.439632545931751</c:v>
                </c:pt>
                <c:pt idx="303">
                  <c:v>34.439632545931751</c:v>
                </c:pt>
                <c:pt idx="304">
                  <c:v>17.999999999999989</c:v>
                </c:pt>
                <c:pt idx="306">
                  <c:v>17.999999999999989</c:v>
                </c:pt>
                <c:pt idx="307">
                  <c:v>17.999999999999989</c:v>
                </c:pt>
                <c:pt idx="308">
                  <c:v>34.439632545931751</c:v>
                </c:pt>
                <c:pt idx="309">
                  <c:v>34.439632545931751</c:v>
                </c:pt>
                <c:pt idx="310">
                  <c:v>17.999999999999989</c:v>
                </c:pt>
                <c:pt idx="312">
                  <c:v>35.999999999999979</c:v>
                </c:pt>
                <c:pt idx="313">
                  <c:v>35.999999999999979</c:v>
                </c:pt>
                <c:pt idx="314">
                  <c:v>52.439632545931744</c:v>
                </c:pt>
                <c:pt idx="315">
                  <c:v>52.439632545931744</c:v>
                </c:pt>
                <c:pt idx="316">
                  <c:v>35.999999999999979</c:v>
                </c:pt>
                <c:pt idx="318">
                  <c:v>35.999999999999979</c:v>
                </c:pt>
                <c:pt idx="319">
                  <c:v>35.999999999999979</c:v>
                </c:pt>
                <c:pt idx="320">
                  <c:v>52.439632545931744</c:v>
                </c:pt>
                <c:pt idx="321">
                  <c:v>52.439632545931744</c:v>
                </c:pt>
                <c:pt idx="322">
                  <c:v>35.999999999999979</c:v>
                </c:pt>
                <c:pt idx="324">
                  <c:v>53.999999999999972</c:v>
                </c:pt>
                <c:pt idx="325">
                  <c:v>53.999999999999972</c:v>
                </c:pt>
                <c:pt idx="326">
                  <c:v>70.43963254593173</c:v>
                </c:pt>
                <c:pt idx="327">
                  <c:v>70.43963254593173</c:v>
                </c:pt>
                <c:pt idx="328">
                  <c:v>53.999999999999972</c:v>
                </c:pt>
                <c:pt idx="330">
                  <c:v>53.999999999999972</c:v>
                </c:pt>
                <c:pt idx="331">
                  <c:v>53.999999999999972</c:v>
                </c:pt>
                <c:pt idx="332">
                  <c:v>70.43963254593173</c:v>
                </c:pt>
                <c:pt idx="333">
                  <c:v>70.43963254593173</c:v>
                </c:pt>
                <c:pt idx="334">
                  <c:v>53.999999999999972</c:v>
                </c:pt>
                <c:pt idx="336">
                  <c:v>0</c:v>
                </c:pt>
                <c:pt idx="337">
                  <c:v>0</c:v>
                </c:pt>
                <c:pt idx="338">
                  <c:v>16.439632545931762</c:v>
                </c:pt>
                <c:pt idx="339">
                  <c:v>16.439632545931762</c:v>
                </c:pt>
                <c:pt idx="340">
                  <c:v>0</c:v>
                </c:pt>
                <c:pt idx="342">
                  <c:v>0</c:v>
                </c:pt>
                <c:pt idx="343">
                  <c:v>0</c:v>
                </c:pt>
                <c:pt idx="344">
                  <c:v>16.439632545931762</c:v>
                </c:pt>
                <c:pt idx="345">
                  <c:v>16.439632545931762</c:v>
                </c:pt>
                <c:pt idx="346">
                  <c:v>0</c:v>
                </c:pt>
                <c:pt idx="348">
                  <c:v>17.999999999999989</c:v>
                </c:pt>
                <c:pt idx="349">
                  <c:v>17.999999999999989</c:v>
                </c:pt>
                <c:pt idx="350">
                  <c:v>34.439632545931751</c:v>
                </c:pt>
                <c:pt idx="351">
                  <c:v>34.439632545931751</c:v>
                </c:pt>
                <c:pt idx="352">
                  <c:v>17.999999999999989</c:v>
                </c:pt>
                <c:pt idx="354">
                  <c:v>17.999999999999989</c:v>
                </c:pt>
                <c:pt idx="355">
                  <c:v>17.999999999999989</c:v>
                </c:pt>
                <c:pt idx="356">
                  <c:v>34.439632545931751</c:v>
                </c:pt>
                <c:pt idx="357">
                  <c:v>34.439632545931751</c:v>
                </c:pt>
                <c:pt idx="358">
                  <c:v>17.999999999999989</c:v>
                </c:pt>
                <c:pt idx="360">
                  <c:v>35.999999999999979</c:v>
                </c:pt>
                <c:pt idx="361">
                  <c:v>35.999999999999979</c:v>
                </c:pt>
                <c:pt idx="362">
                  <c:v>52.439632545931744</c:v>
                </c:pt>
                <c:pt idx="363">
                  <c:v>52.439632545931744</c:v>
                </c:pt>
                <c:pt idx="364">
                  <c:v>35.999999999999979</c:v>
                </c:pt>
                <c:pt idx="366">
                  <c:v>35.999999999999979</c:v>
                </c:pt>
                <c:pt idx="367">
                  <c:v>35.999999999999979</c:v>
                </c:pt>
                <c:pt idx="368">
                  <c:v>52.439632545931744</c:v>
                </c:pt>
                <c:pt idx="369">
                  <c:v>52.439632545931744</c:v>
                </c:pt>
                <c:pt idx="370">
                  <c:v>35.999999999999979</c:v>
                </c:pt>
                <c:pt idx="372">
                  <c:v>53.999999999999972</c:v>
                </c:pt>
                <c:pt idx="373">
                  <c:v>53.999999999999972</c:v>
                </c:pt>
                <c:pt idx="374">
                  <c:v>70.43963254593173</c:v>
                </c:pt>
                <c:pt idx="375">
                  <c:v>70.43963254593173</c:v>
                </c:pt>
                <c:pt idx="376">
                  <c:v>53.999999999999972</c:v>
                </c:pt>
                <c:pt idx="378">
                  <c:v>53.999999999999972</c:v>
                </c:pt>
                <c:pt idx="379">
                  <c:v>53.999999999999972</c:v>
                </c:pt>
                <c:pt idx="380">
                  <c:v>70.43963254593173</c:v>
                </c:pt>
                <c:pt idx="381">
                  <c:v>70.43963254593173</c:v>
                </c:pt>
                <c:pt idx="382">
                  <c:v>53.999999999999972</c:v>
                </c:pt>
                <c:pt idx="384">
                  <c:v>0</c:v>
                </c:pt>
                <c:pt idx="385">
                  <c:v>0</c:v>
                </c:pt>
                <c:pt idx="386">
                  <c:v>16.439632545931762</c:v>
                </c:pt>
                <c:pt idx="387">
                  <c:v>16.439632545931762</c:v>
                </c:pt>
                <c:pt idx="388">
                  <c:v>0</c:v>
                </c:pt>
                <c:pt idx="390">
                  <c:v>0</c:v>
                </c:pt>
                <c:pt idx="391">
                  <c:v>0</c:v>
                </c:pt>
                <c:pt idx="392">
                  <c:v>16.439632545931762</c:v>
                </c:pt>
                <c:pt idx="393">
                  <c:v>16.439632545931762</c:v>
                </c:pt>
                <c:pt idx="394">
                  <c:v>0</c:v>
                </c:pt>
                <c:pt idx="396">
                  <c:v>17.999999999999989</c:v>
                </c:pt>
                <c:pt idx="397">
                  <c:v>17.999999999999989</c:v>
                </c:pt>
                <c:pt idx="398">
                  <c:v>34.439632545931751</c:v>
                </c:pt>
                <c:pt idx="399">
                  <c:v>34.439632545931751</c:v>
                </c:pt>
                <c:pt idx="400">
                  <c:v>17.999999999999989</c:v>
                </c:pt>
                <c:pt idx="402">
                  <c:v>17.999999999999989</c:v>
                </c:pt>
                <c:pt idx="403">
                  <c:v>17.999999999999989</c:v>
                </c:pt>
                <c:pt idx="404">
                  <c:v>34.439632545931751</c:v>
                </c:pt>
                <c:pt idx="405">
                  <c:v>34.439632545931751</c:v>
                </c:pt>
                <c:pt idx="406">
                  <c:v>17.999999999999989</c:v>
                </c:pt>
                <c:pt idx="408">
                  <c:v>35.999999999999979</c:v>
                </c:pt>
                <c:pt idx="409">
                  <c:v>35.999999999999979</c:v>
                </c:pt>
                <c:pt idx="410">
                  <c:v>52.439632545931744</c:v>
                </c:pt>
                <c:pt idx="411">
                  <c:v>52.439632545931744</c:v>
                </c:pt>
                <c:pt idx="412">
                  <c:v>35.999999999999979</c:v>
                </c:pt>
                <c:pt idx="414">
                  <c:v>35.999999999999979</c:v>
                </c:pt>
                <c:pt idx="415">
                  <c:v>35.999999999999979</c:v>
                </c:pt>
                <c:pt idx="416">
                  <c:v>52.439632545931744</c:v>
                </c:pt>
                <c:pt idx="417">
                  <c:v>52.439632545931744</c:v>
                </c:pt>
                <c:pt idx="418">
                  <c:v>35.999999999999979</c:v>
                </c:pt>
                <c:pt idx="420">
                  <c:v>53.999999999999972</c:v>
                </c:pt>
                <c:pt idx="421">
                  <c:v>53.999999999999972</c:v>
                </c:pt>
                <c:pt idx="422">
                  <c:v>70.43963254593173</c:v>
                </c:pt>
                <c:pt idx="423">
                  <c:v>70.43963254593173</c:v>
                </c:pt>
                <c:pt idx="424">
                  <c:v>53.999999999999972</c:v>
                </c:pt>
                <c:pt idx="426">
                  <c:v>53.999999999999972</c:v>
                </c:pt>
                <c:pt idx="427">
                  <c:v>53.999999999999972</c:v>
                </c:pt>
                <c:pt idx="428">
                  <c:v>70.43963254593173</c:v>
                </c:pt>
                <c:pt idx="429">
                  <c:v>70.43963254593173</c:v>
                </c:pt>
                <c:pt idx="430">
                  <c:v>53.999999999999972</c:v>
                </c:pt>
                <c:pt idx="432">
                  <c:v>0</c:v>
                </c:pt>
                <c:pt idx="433">
                  <c:v>0</c:v>
                </c:pt>
                <c:pt idx="434">
                  <c:v>16.439632545931762</c:v>
                </c:pt>
                <c:pt idx="435">
                  <c:v>16.439632545931762</c:v>
                </c:pt>
                <c:pt idx="436">
                  <c:v>0</c:v>
                </c:pt>
                <c:pt idx="438">
                  <c:v>0</c:v>
                </c:pt>
                <c:pt idx="439">
                  <c:v>0</c:v>
                </c:pt>
                <c:pt idx="440">
                  <c:v>16.439632545931762</c:v>
                </c:pt>
                <c:pt idx="441">
                  <c:v>16.439632545931762</c:v>
                </c:pt>
                <c:pt idx="442">
                  <c:v>0</c:v>
                </c:pt>
                <c:pt idx="444">
                  <c:v>17.999999999999989</c:v>
                </c:pt>
                <c:pt idx="445">
                  <c:v>17.999999999999989</c:v>
                </c:pt>
                <c:pt idx="446">
                  <c:v>34.439632545931751</c:v>
                </c:pt>
                <c:pt idx="447">
                  <c:v>34.439632545931751</c:v>
                </c:pt>
                <c:pt idx="448">
                  <c:v>17.999999999999989</c:v>
                </c:pt>
                <c:pt idx="450">
                  <c:v>17.999999999999989</c:v>
                </c:pt>
                <c:pt idx="451">
                  <c:v>17.999999999999989</c:v>
                </c:pt>
                <c:pt idx="452">
                  <c:v>34.439632545931751</c:v>
                </c:pt>
                <c:pt idx="453">
                  <c:v>34.439632545931751</c:v>
                </c:pt>
                <c:pt idx="454">
                  <c:v>17.999999999999989</c:v>
                </c:pt>
                <c:pt idx="456">
                  <c:v>35.999999999999979</c:v>
                </c:pt>
                <c:pt idx="457">
                  <c:v>35.999999999999979</c:v>
                </c:pt>
                <c:pt idx="458">
                  <c:v>52.439632545931744</c:v>
                </c:pt>
                <c:pt idx="459">
                  <c:v>52.439632545931744</c:v>
                </c:pt>
                <c:pt idx="460">
                  <c:v>35.999999999999979</c:v>
                </c:pt>
                <c:pt idx="462">
                  <c:v>35.999999999999979</c:v>
                </c:pt>
                <c:pt idx="463">
                  <c:v>35.999999999999979</c:v>
                </c:pt>
                <c:pt idx="464">
                  <c:v>52.439632545931744</c:v>
                </c:pt>
                <c:pt idx="465">
                  <c:v>52.439632545931744</c:v>
                </c:pt>
                <c:pt idx="466">
                  <c:v>35.999999999999979</c:v>
                </c:pt>
                <c:pt idx="468">
                  <c:v>53.999999999999972</c:v>
                </c:pt>
                <c:pt idx="469">
                  <c:v>53.999999999999972</c:v>
                </c:pt>
                <c:pt idx="470">
                  <c:v>70.43963254593173</c:v>
                </c:pt>
                <c:pt idx="471">
                  <c:v>70.43963254593173</c:v>
                </c:pt>
                <c:pt idx="472">
                  <c:v>53.999999999999972</c:v>
                </c:pt>
                <c:pt idx="474">
                  <c:v>53.999999999999972</c:v>
                </c:pt>
                <c:pt idx="475">
                  <c:v>53.999999999999972</c:v>
                </c:pt>
                <c:pt idx="476">
                  <c:v>70.43963254593173</c:v>
                </c:pt>
                <c:pt idx="477">
                  <c:v>70.43963254593173</c:v>
                </c:pt>
                <c:pt idx="478">
                  <c:v>53.999999999999972</c:v>
                </c:pt>
                <c:pt idx="480">
                  <c:v>0</c:v>
                </c:pt>
                <c:pt idx="481">
                  <c:v>0</c:v>
                </c:pt>
                <c:pt idx="482">
                  <c:v>16.439632545931762</c:v>
                </c:pt>
                <c:pt idx="483">
                  <c:v>16.439632545931762</c:v>
                </c:pt>
                <c:pt idx="484">
                  <c:v>0</c:v>
                </c:pt>
                <c:pt idx="486">
                  <c:v>0</c:v>
                </c:pt>
                <c:pt idx="487">
                  <c:v>0</c:v>
                </c:pt>
                <c:pt idx="488">
                  <c:v>16.439632545931762</c:v>
                </c:pt>
                <c:pt idx="489">
                  <c:v>16.439632545931762</c:v>
                </c:pt>
                <c:pt idx="490">
                  <c:v>0</c:v>
                </c:pt>
                <c:pt idx="492">
                  <c:v>17.999999999999989</c:v>
                </c:pt>
                <c:pt idx="493">
                  <c:v>17.999999999999989</c:v>
                </c:pt>
                <c:pt idx="494">
                  <c:v>34.439632545931751</c:v>
                </c:pt>
                <c:pt idx="495">
                  <c:v>34.439632545931751</c:v>
                </c:pt>
                <c:pt idx="496">
                  <c:v>17.999999999999989</c:v>
                </c:pt>
                <c:pt idx="498">
                  <c:v>17.999999999999989</c:v>
                </c:pt>
                <c:pt idx="499">
                  <c:v>17.999999999999989</c:v>
                </c:pt>
                <c:pt idx="500">
                  <c:v>34.439632545931751</c:v>
                </c:pt>
                <c:pt idx="501">
                  <c:v>34.439632545931751</c:v>
                </c:pt>
                <c:pt idx="502">
                  <c:v>17.999999999999989</c:v>
                </c:pt>
                <c:pt idx="504">
                  <c:v>35.999999999999979</c:v>
                </c:pt>
                <c:pt idx="505">
                  <c:v>35.999999999999979</c:v>
                </c:pt>
                <c:pt idx="506">
                  <c:v>52.439632545931744</c:v>
                </c:pt>
                <c:pt idx="507">
                  <c:v>52.439632545931744</c:v>
                </c:pt>
                <c:pt idx="508">
                  <c:v>35.999999999999979</c:v>
                </c:pt>
                <c:pt idx="510">
                  <c:v>35.999999999999979</c:v>
                </c:pt>
                <c:pt idx="511">
                  <c:v>35.999999999999979</c:v>
                </c:pt>
                <c:pt idx="512">
                  <c:v>52.439632545931744</c:v>
                </c:pt>
                <c:pt idx="513">
                  <c:v>52.439632545931744</c:v>
                </c:pt>
                <c:pt idx="514">
                  <c:v>35.999999999999979</c:v>
                </c:pt>
                <c:pt idx="516">
                  <c:v>53.999999999999972</c:v>
                </c:pt>
                <c:pt idx="517">
                  <c:v>53.999999999999972</c:v>
                </c:pt>
                <c:pt idx="518">
                  <c:v>70.43963254593173</c:v>
                </c:pt>
                <c:pt idx="519">
                  <c:v>70.43963254593173</c:v>
                </c:pt>
                <c:pt idx="520">
                  <c:v>53.999999999999972</c:v>
                </c:pt>
                <c:pt idx="522">
                  <c:v>53.999999999999972</c:v>
                </c:pt>
                <c:pt idx="523">
                  <c:v>53.999999999999972</c:v>
                </c:pt>
                <c:pt idx="524">
                  <c:v>70.43963254593173</c:v>
                </c:pt>
                <c:pt idx="525">
                  <c:v>70.43963254593173</c:v>
                </c:pt>
                <c:pt idx="526">
                  <c:v>53.999999999999972</c:v>
                </c:pt>
                <c:pt idx="528">
                  <c:v>0</c:v>
                </c:pt>
                <c:pt idx="529">
                  <c:v>0</c:v>
                </c:pt>
                <c:pt idx="530">
                  <c:v>16.439632545931762</c:v>
                </c:pt>
                <c:pt idx="531">
                  <c:v>16.439632545931762</c:v>
                </c:pt>
                <c:pt idx="532">
                  <c:v>0</c:v>
                </c:pt>
                <c:pt idx="534">
                  <c:v>0</c:v>
                </c:pt>
                <c:pt idx="535">
                  <c:v>0</c:v>
                </c:pt>
                <c:pt idx="536">
                  <c:v>16.439632545931762</c:v>
                </c:pt>
                <c:pt idx="537">
                  <c:v>16.439632545931762</c:v>
                </c:pt>
                <c:pt idx="538">
                  <c:v>0</c:v>
                </c:pt>
                <c:pt idx="540">
                  <c:v>17.999999999999989</c:v>
                </c:pt>
                <c:pt idx="541">
                  <c:v>17.999999999999989</c:v>
                </c:pt>
                <c:pt idx="542">
                  <c:v>34.439632545931751</c:v>
                </c:pt>
                <c:pt idx="543">
                  <c:v>34.439632545931751</c:v>
                </c:pt>
                <c:pt idx="544">
                  <c:v>17.999999999999989</c:v>
                </c:pt>
                <c:pt idx="546">
                  <c:v>17.999999999999989</c:v>
                </c:pt>
                <c:pt idx="547">
                  <c:v>17.999999999999989</c:v>
                </c:pt>
                <c:pt idx="548">
                  <c:v>34.439632545931751</c:v>
                </c:pt>
                <c:pt idx="549">
                  <c:v>34.439632545931751</c:v>
                </c:pt>
                <c:pt idx="550">
                  <c:v>17.999999999999989</c:v>
                </c:pt>
                <c:pt idx="552">
                  <c:v>35.999999999999979</c:v>
                </c:pt>
                <c:pt idx="553">
                  <c:v>35.999999999999979</c:v>
                </c:pt>
                <c:pt idx="554">
                  <c:v>52.439632545931744</c:v>
                </c:pt>
                <c:pt idx="555">
                  <c:v>52.439632545931744</c:v>
                </c:pt>
                <c:pt idx="556">
                  <c:v>35.999999999999979</c:v>
                </c:pt>
                <c:pt idx="558">
                  <c:v>35.999999999999979</c:v>
                </c:pt>
                <c:pt idx="559">
                  <c:v>35.999999999999979</c:v>
                </c:pt>
                <c:pt idx="560">
                  <c:v>52.439632545931744</c:v>
                </c:pt>
                <c:pt idx="561">
                  <c:v>52.439632545931744</c:v>
                </c:pt>
                <c:pt idx="562">
                  <c:v>35.999999999999979</c:v>
                </c:pt>
                <c:pt idx="564">
                  <c:v>53.999999999999972</c:v>
                </c:pt>
                <c:pt idx="565">
                  <c:v>53.999999999999972</c:v>
                </c:pt>
                <c:pt idx="566">
                  <c:v>70.43963254593173</c:v>
                </c:pt>
                <c:pt idx="567">
                  <c:v>70.43963254593173</c:v>
                </c:pt>
                <c:pt idx="568">
                  <c:v>53.999999999999972</c:v>
                </c:pt>
                <c:pt idx="570">
                  <c:v>53.999999999999972</c:v>
                </c:pt>
                <c:pt idx="571">
                  <c:v>53.999999999999972</c:v>
                </c:pt>
                <c:pt idx="572">
                  <c:v>70.43963254593173</c:v>
                </c:pt>
                <c:pt idx="573">
                  <c:v>70.43963254593173</c:v>
                </c:pt>
                <c:pt idx="574">
                  <c:v>53.999999999999972</c:v>
                </c:pt>
                <c:pt idx="576">
                  <c:v>0</c:v>
                </c:pt>
                <c:pt idx="577">
                  <c:v>0</c:v>
                </c:pt>
                <c:pt idx="578">
                  <c:v>16.439632545931762</c:v>
                </c:pt>
                <c:pt idx="579">
                  <c:v>16.439632545931762</c:v>
                </c:pt>
                <c:pt idx="580">
                  <c:v>0</c:v>
                </c:pt>
                <c:pt idx="582">
                  <c:v>0</c:v>
                </c:pt>
                <c:pt idx="583">
                  <c:v>0</c:v>
                </c:pt>
                <c:pt idx="584">
                  <c:v>16.439632545931762</c:v>
                </c:pt>
                <c:pt idx="585">
                  <c:v>16.439632545931762</c:v>
                </c:pt>
                <c:pt idx="586">
                  <c:v>0</c:v>
                </c:pt>
                <c:pt idx="588">
                  <c:v>17.999999999999989</c:v>
                </c:pt>
                <c:pt idx="589">
                  <c:v>17.999999999999989</c:v>
                </c:pt>
                <c:pt idx="590">
                  <c:v>34.439632545931751</c:v>
                </c:pt>
                <c:pt idx="591">
                  <c:v>34.439632545931751</c:v>
                </c:pt>
                <c:pt idx="592">
                  <c:v>17.999999999999989</c:v>
                </c:pt>
                <c:pt idx="594">
                  <c:v>17.999999999999989</c:v>
                </c:pt>
                <c:pt idx="595">
                  <c:v>17.999999999999989</c:v>
                </c:pt>
                <c:pt idx="596">
                  <c:v>34.439632545931751</c:v>
                </c:pt>
                <c:pt idx="597">
                  <c:v>34.439632545931751</c:v>
                </c:pt>
                <c:pt idx="598">
                  <c:v>17.999999999999989</c:v>
                </c:pt>
                <c:pt idx="600">
                  <c:v>35.999999999999979</c:v>
                </c:pt>
                <c:pt idx="601">
                  <c:v>35.999999999999979</c:v>
                </c:pt>
                <c:pt idx="602">
                  <c:v>52.439632545931744</c:v>
                </c:pt>
                <c:pt idx="603">
                  <c:v>52.439632545931744</c:v>
                </c:pt>
                <c:pt idx="604">
                  <c:v>35.999999999999979</c:v>
                </c:pt>
                <c:pt idx="606">
                  <c:v>35.999999999999979</c:v>
                </c:pt>
                <c:pt idx="607">
                  <c:v>35.999999999999979</c:v>
                </c:pt>
                <c:pt idx="608">
                  <c:v>52.439632545931744</c:v>
                </c:pt>
                <c:pt idx="609">
                  <c:v>52.439632545931744</c:v>
                </c:pt>
                <c:pt idx="610">
                  <c:v>35.999999999999979</c:v>
                </c:pt>
                <c:pt idx="612">
                  <c:v>53.999999999999972</c:v>
                </c:pt>
                <c:pt idx="613">
                  <c:v>53.999999999999972</c:v>
                </c:pt>
                <c:pt idx="614">
                  <c:v>70.43963254593173</c:v>
                </c:pt>
                <c:pt idx="615">
                  <c:v>70.43963254593173</c:v>
                </c:pt>
                <c:pt idx="616">
                  <c:v>53.999999999999972</c:v>
                </c:pt>
                <c:pt idx="618">
                  <c:v>53.999999999999972</c:v>
                </c:pt>
                <c:pt idx="619">
                  <c:v>53.999999999999972</c:v>
                </c:pt>
                <c:pt idx="620">
                  <c:v>70.43963254593173</c:v>
                </c:pt>
                <c:pt idx="621">
                  <c:v>70.43963254593173</c:v>
                </c:pt>
                <c:pt idx="622">
                  <c:v>53.999999999999972</c:v>
                </c:pt>
                <c:pt idx="624">
                  <c:v>0</c:v>
                </c:pt>
                <c:pt idx="625">
                  <c:v>0</c:v>
                </c:pt>
                <c:pt idx="626">
                  <c:v>16.439632545931762</c:v>
                </c:pt>
                <c:pt idx="627">
                  <c:v>16.439632545931762</c:v>
                </c:pt>
                <c:pt idx="628">
                  <c:v>0</c:v>
                </c:pt>
                <c:pt idx="630">
                  <c:v>0</c:v>
                </c:pt>
                <c:pt idx="631">
                  <c:v>0</c:v>
                </c:pt>
                <c:pt idx="632">
                  <c:v>16.439632545931762</c:v>
                </c:pt>
                <c:pt idx="633">
                  <c:v>16.439632545931762</c:v>
                </c:pt>
                <c:pt idx="634">
                  <c:v>0</c:v>
                </c:pt>
                <c:pt idx="636">
                  <c:v>17.999999999999989</c:v>
                </c:pt>
                <c:pt idx="637">
                  <c:v>17.999999999999989</c:v>
                </c:pt>
                <c:pt idx="638">
                  <c:v>34.439632545931751</c:v>
                </c:pt>
                <c:pt idx="639">
                  <c:v>34.439632545931751</c:v>
                </c:pt>
                <c:pt idx="640">
                  <c:v>17.999999999999989</c:v>
                </c:pt>
                <c:pt idx="642">
                  <c:v>17.999999999999989</c:v>
                </c:pt>
                <c:pt idx="643">
                  <c:v>17.999999999999989</c:v>
                </c:pt>
                <c:pt idx="644">
                  <c:v>34.439632545931751</c:v>
                </c:pt>
                <c:pt idx="645">
                  <c:v>34.439632545931751</c:v>
                </c:pt>
                <c:pt idx="646">
                  <c:v>17.999999999999989</c:v>
                </c:pt>
                <c:pt idx="648">
                  <c:v>35.999999999999979</c:v>
                </c:pt>
                <c:pt idx="649">
                  <c:v>35.999999999999979</c:v>
                </c:pt>
                <c:pt idx="650">
                  <c:v>52.439632545931744</c:v>
                </c:pt>
                <c:pt idx="651">
                  <c:v>52.439632545931744</c:v>
                </c:pt>
                <c:pt idx="652">
                  <c:v>35.999999999999979</c:v>
                </c:pt>
                <c:pt idx="654">
                  <c:v>35.999999999999979</c:v>
                </c:pt>
                <c:pt idx="655">
                  <c:v>35.999999999999979</c:v>
                </c:pt>
                <c:pt idx="656">
                  <c:v>52.439632545931744</c:v>
                </c:pt>
                <c:pt idx="657">
                  <c:v>52.439632545931744</c:v>
                </c:pt>
                <c:pt idx="658">
                  <c:v>35.999999999999979</c:v>
                </c:pt>
                <c:pt idx="660">
                  <c:v>53.999999999999972</c:v>
                </c:pt>
                <c:pt idx="661">
                  <c:v>53.999999999999972</c:v>
                </c:pt>
                <c:pt idx="662">
                  <c:v>70.43963254593173</c:v>
                </c:pt>
                <c:pt idx="663">
                  <c:v>70.43963254593173</c:v>
                </c:pt>
                <c:pt idx="664">
                  <c:v>53.999999999999972</c:v>
                </c:pt>
                <c:pt idx="666">
                  <c:v>53.999999999999972</c:v>
                </c:pt>
                <c:pt idx="667">
                  <c:v>53.999999999999972</c:v>
                </c:pt>
                <c:pt idx="668">
                  <c:v>70.43963254593173</c:v>
                </c:pt>
                <c:pt idx="669">
                  <c:v>70.43963254593173</c:v>
                </c:pt>
                <c:pt idx="670">
                  <c:v>53.999999999999972</c:v>
                </c:pt>
                <c:pt idx="672">
                  <c:v>0</c:v>
                </c:pt>
                <c:pt idx="673">
                  <c:v>0</c:v>
                </c:pt>
                <c:pt idx="674">
                  <c:v>16.439632545931762</c:v>
                </c:pt>
                <c:pt idx="675">
                  <c:v>16.439632545931762</c:v>
                </c:pt>
                <c:pt idx="676">
                  <c:v>0</c:v>
                </c:pt>
                <c:pt idx="678">
                  <c:v>0</c:v>
                </c:pt>
                <c:pt idx="679">
                  <c:v>0</c:v>
                </c:pt>
                <c:pt idx="680">
                  <c:v>16.439632545931762</c:v>
                </c:pt>
                <c:pt idx="681">
                  <c:v>16.439632545931762</c:v>
                </c:pt>
                <c:pt idx="682">
                  <c:v>0</c:v>
                </c:pt>
                <c:pt idx="684">
                  <c:v>17.999999999999989</c:v>
                </c:pt>
                <c:pt idx="685">
                  <c:v>17.999999999999989</c:v>
                </c:pt>
                <c:pt idx="686">
                  <c:v>34.439632545931751</c:v>
                </c:pt>
                <c:pt idx="687">
                  <c:v>34.439632545931751</c:v>
                </c:pt>
                <c:pt idx="688">
                  <c:v>17.999999999999989</c:v>
                </c:pt>
                <c:pt idx="690">
                  <c:v>17.999999999999989</c:v>
                </c:pt>
                <c:pt idx="691">
                  <c:v>17.999999999999989</c:v>
                </c:pt>
                <c:pt idx="692">
                  <c:v>34.439632545931751</c:v>
                </c:pt>
                <c:pt idx="693">
                  <c:v>34.439632545931751</c:v>
                </c:pt>
                <c:pt idx="694">
                  <c:v>17.999999999999989</c:v>
                </c:pt>
                <c:pt idx="696">
                  <c:v>35.999999999999979</c:v>
                </c:pt>
                <c:pt idx="697">
                  <c:v>35.999999999999979</c:v>
                </c:pt>
                <c:pt idx="698">
                  <c:v>52.439632545931744</c:v>
                </c:pt>
                <c:pt idx="699">
                  <c:v>52.439632545931744</c:v>
                </c:pt>
                <c:pt idx="700">
                  <c:v>35.999999999999979</c:v>
                </c:pt>
                <c:pt idx="702">
                  <c:v>35.999999999999979</c:v>
                </c:pt>
                <c:pt idx="703">
                  <c:v>35.999999999999979</c:v>
                </c:pt>
                <c:pt idx="704">
                  <c:v>52.439632545931744</c:v>
                </c:pt>
                <c:pt idx="705">
                  <c:v>52.439632545931744</c:v>
                </c:pt>
                <c:pt idx="706">
                  <c:v>35.999999999999979</c:v>
                </c:pt>
                <c:pt idx="708">
                  <c:v>53.999999999999972</c:v>
                </c:pt>
                <c:pt idx="709">
                  <c:v>53.999999999999972</c:v>
                </c:pt>
                <c:pt idx="710">
                  <c:v>70.43963254593173</c:v>
                </c:pt>
                <c:pt idx="711">
                  <c:v>70.43963254593173</c:v>
                </c:pt>
                <c:pt idx="712">
                  <c:v>53.999999999999972</c:v>
                </c:pt>
                <c:pt idx="714">
                  <c:v>53.999999999999972</c:v>
                </c:pt>
                <c:pt idx="715">
                  <c:v>53.999999999999972</c:v>
                </c:pt>
                <c:pt idx="716">
                  <c:v>70.43963254593173</c:v>
                </c:pt>
                <c:pt idx="717">
                  <c:v>70.43963254593173</c:v>
                </c:pt>
                <c:pt idx="718">
                  <c:v>53.999999999999972</c:v>
                </c:pt>
                <c:pt idx="720">
                  <c:v>0</c:v>
                </c:pt>
                <c:pt idx="721">
                  <c:v>0</c:v>
                </c:pt>
                <c:pt idx="722">
                  <c:v>16.439632545931762</c:v>
                </c:pt>
                <c:pt idx="723">
                  <c:v>16.439632545931762</c:v>
                </c:pt>
                <c:pt idx="724">
                  <c:v>0</c:v>
                </c:pt>
                <c:pt idx="726">
                  <c:v>0</c:v>
                </c:pt>
                <c:pt idx="727">
                  <c:v>0</c:v>
                </c:pt>
                <c:pt idx="728">
                  <c:v>16.439632545931762</c:v>
                </c:pt>
                <c:pt idx="729">
                  <c:v>16.439632545931762</c:v>
                </c:pt>
                <c:pt idx="730">
                  <c:v>0</c:v>
                </c:pt>
                <c:pt idx="732">
                  <c:v>17.999999999999989</c:v>
                </c:pt>
                <c:pt idx="733">
                  <c:v>17.999999999999989</c:v>
                </c:pt>
                <c:pt idx="734">
                  <c:v>34.439632545931751</c:v>
                </c:pt>
                <c:pt idx="735">
                  <c:v>34.439632545931751</c:v>
                </c:pt>
                <c:pt idx="736">
                  <c:v>17.999999999999989</c:v>
                </c:pt>
                <c:pt idx="738">
                  <c:v>17.999999999999989</c:v>
                </c:pt>
                <c:pt idx="739">
                  <c:v>17.999999999999989</c:v>
                </c:pt>
                <c:pt idx="740">
                  <c:v>34.439632545931751</c:v>
                </c:pt>
                <c:pt idx="741">
                  <c:v>34.439632545931751</c:v>
                </c:pt>
                <c:pt idx="742">
                  <c:v>17.999999999999989</c:v>
                </c:pt>
                <c:pt idx="744">
                  <c:v>35.999999999999979</c:v>
                </c:pt>
                <c:pt idx="745">
                  <c:v>35.999999999999979</c:v>
                </c:pt>
                <c:pt idx="746">
                  <c:v>52.439632545931744</c:v>
                </c:pt>
                <c:pt idx="747">
                  <c:v>52.439632545931744</c:v>
                </c:pt>
                <c:pt idx="748">
                  <c:v>35.999999999999979</c:v>
                </c:pt>
                <c:pt idx="750">
                  <c:v>35.999999999999979</c:v>
                </c:pt>
                <c:pt idx="751">
                  <c:v>35.999999999999979</c:v>
                </c:pt>
                <c:pt idx="752">
                  <c:v>52.439632545931744</c:v>
                </c:pt>
                <c:pt idx="753">
                  <c:v>52.439632545931744</c:v>
                </c:pt>
                <c:pt idx="754">
                  <c:v>35.999999999999979</c:v>
                </c:pt>
                <c:pt idx="756">
                  <c:v>53.999999999999972</c:v>
                </c:pt>
                <c:pt idx="757">
                  <c:v>53.999999999999972</c:v>
                </c:pt>
                <c:pt idx="758">
                  <c:v>70.43963254593173</c:v>
                </c:pt>
                <c:pt idx="759">
                  <c:v>70.43963254593173</c:v>
                </c:pt>
                <c:pt idx="760">
                  <c:v>53.999999999999972</c:v>
                </c:pt>
                <c:pt idx="762">
                  <c:v>53.999999999999972</c:v>
                </c:pt>
                <c:pt idx="763">
                  <c:v>53.999999999999972</c:v>
                </c:pt>
                <c:pt idx="764">
                  <c:v>70.43963254593173</c:v>
                </c:pt>
                <c:pt idx="765">
                  <c:v>70.43963254593173</c:v>
                </c:pt>
                <c:pt idx="766">
                  <c:v>53.999999999999972</c:v>
                </c:pt>
                <c:pt idx="768">
                  <c:v>0</c:v>
                </c:pt>
                <c:pt idx="769">
                  <c:v>0</c:v>
                </c:pt>
                <c:pt idx="770">
                  <c:v>16.439632545931762</c:v>
                </c:pt>
                <c:pt idx="771">
                  <c:v>16.439632545931762</c:v>
                </c:pt>
                <c:pt idx="772">
                  <c:v>0</c:v>
                </c:pt>
                <c:pt idx="774">
                  <c:v>0</c:v>
                </c:pt>
                <c:pt idx="775">
                  <c:v>0</c:v>
                </c:pt>
                <c:pt idx="776">
                  <c:v>16.439632545931762</c:v>
                </c:pt>
                <c:pt idx="777">
                  <c:v>16.439632545931762</c:v>
                </c:pt>
                <c:pt idx="778">
                  <c:v>0</c:v>
                </c:pt>
                <c:pt idx="780">
                  <c:v>17.999999999999989</c:v>
                </c:pt>
                <c:pt idx="781">
                  <c:v>17.999999999999989</c:v>
                </c:pt>
                <c:pt idx="782">
                  <c:v>34.439632545931751</c:v>
                </c:pt>
                <c:pt idx="783">
                  <c:v>34.439632545931751</c:v>
                </c:pt>
                <c:pt idx="784">
                  <c:v>17.999999999999989</c:v>
                </c:pt>
                <c:pt idx="786">
                  <c:v>17.999999999999989</c:v>
                </c:pt>
                <c:pt idx="787">
                  <c:v>17.999999999999989</c:v>
                </c:pt>
                <c:pt idx="788">
                  <c:v>34.439632545931751</c:v>
                </c:pt>
                <c:pt idx="789">
                  <c:v>34.439632545931751</c:v>
                </c:pt>
                <c:pt idx="790">
                  <c:v>17.999999999999989</c:v>
                </c:pt>
                <c:pt idx="792">
                  <c:v>35.999999999999979</c:v>
                </c:pt>
                <c:pt idx="793">
                  <c:v>35.999999999999979</c:v>
                </c:pt>
                <c:pt idx="794">
                  <c:v>52.439632545931744</c:v>
                </c:pt>
                <c:pt idx="795">
                  <c:v>52.439632545931744</c:v>
                </c:pt>
                <c:pt idx="796">
                  <c:v>35.999999999999979</c:v>
                </c:pt>
                <c:pt idx="798">
                  <c:v>35.999999999999979</c:v>
                </c:pt>
                <c:pt idx="799">
                  <c:v>35.999999999999979</c:v>
                </c:pt>
                <c:pt idx="800">
                  <c:v>52.439632545931744</c:v>
                </c:pt>
                <c:pt idx="801">
                  <c:v>52.439632545931744</c:v>
                </c:pt>
                <c:pt idx="802">
                  <c:v>35.999999999999979</c:v>
                </c:pt>
                <c:pt idx="804">
                  <c:v>53.999999999999972</c:v>
                </c:pt>
                <c:pt idx="805">
                  <c:v>53.999999999999972</c:v>
                </c:pt>
                <c:pt idx="806">
                  <c:v>70.43963254593173</c:v>
                </c:pt>
                <c:pt idx="807">
                  <c:v>70.43963254593173</c:v>
                </c:pt>
                <c:pt idx="808">
                  <c:v>53.999999999999972</c:v>
                </c:pt>
                <c:pt idx="810">
                  <c:v>53.999999999999972</c:v>
                </c:pt>
                <c:pt idx="811">
                  <c:v>53.999999999999972</c:v>
                </c:pt>
                <c:pt idx="812">
                  <c:v>70.43963254593173</c:v>
                </c:pt>
                <c:pt idx="813">
                  <c:v>70.43963254593173</c:v>
                </c:pt>
                <c:pt idx="814">
                  <c:v>53.999999999999972</c:v>
                </c:pt>
                <c:pt idx="816">
                  <c:v>0</c:v>
                </c:pt>
                <c:pt idx="817">
                  <c:v>0</c:v>
                </c:pt>
                <c:pt idx="818">
                  <c:v>16.439632545931762</c:v>
                </c:pt>
                <c:pt idx="819">
                  <c:v>16.439632545931762</c:v>
                </c:pt>
                <c:pt idx="820">
                  <c:v>0</c:v>
                </c:pt>
                <c:pt idx="822">
                  <c:v>0</c:v>
                </c:pt>
                <c:pt idx="823">
                  <c:v>0</c:v>
                </c:pt>
                <c:pt idx="824">
                  <c:v>16.439632545931762</c:v>
                </c:pt>
                <c:pt idx="825">
                  <c:v>16.439632545931762</c:v>
                </c:pt>
                <c:pt idx="826">
                  <c:v>0</c:v>
                </c:pt>
                <c:pt idx="828">
                  <c:v>17.999999999999989</c:v>
                </c:pt>
                <c:pt idx="829">
                  <c:v>17.999999999999989</c:v>
                </c:pt>
                <c:pt idx="830">
                  <c:v>34.439632545931751</c:v>
                </c:pt>
                <c:pt idx="831">
                  <c:v>34.439632545931751</c:v>
                </c:pt>
                <c:pt idx="832">
                  <c:v>17.999999999999989</c:v>
                </c:pt>
                <c:pt idx="834">
                  <c:v>17.999999999999989</c:v>
                </c:pt>
                <c:pt idx="835">
                  <c:v>17.999999999999989</c:v>
                </c:pt>
                <c:pt idx="836">
                  <c:v>34.439632545931751</c:v>
                </c:pt>
                <c:pt idx="837">
                  <c:v>34.439632545931751</c:v>
                </c:pt>
                <c:pt idx="838">
                  <c:v>17.999999999999989</c:v>
                </c:pt>
                <c:pt idx="840">
                  <c:v>35.999999999999979</c:v>
                </c:pt>
                <c:pt idx="841">
                  <c:v>35.999999999999979</c:v>
                </c:pt>
                <c:pt idx="842">
                  <c:v>52.439632545931744</c:v>
                </c:pt>
                <c:pt idx="843">
                  <c:v>52.439632545931744</c:v>
                </c:pt>
                <c:pt idx="844">
                  <c:v>35.999999999999979</c:v>
                </c:pt>
                <c:pt idx="846">
                  <c:v>35.999999999999979</c:v>
                </c:pt>
                <c:pt idx="847">
                  <c:v>35.999999999999979</c:v>
                </c:pt>
                <c:pt idx="848">
                  <c:v>52.439632545931744</c:v>
                </c:pt>
                <c:pt idx="849">
                  <c:v>52.439632545931744</c:v>
                </c:pt>
                <c:pt idx="850">
                  <c:v>35.999999999999979</c:v>
                </c:pt>
                <c:pt idx="852">
                  <c:v>53.999999999999972</c:v>
                </c:pt>
                <c:pt idx="853">
                  <c:v>53.999999999999972</c:v>
                </c:pt>
                <c:pt idx="854">
                  <c:v>70.43963254593173</c:v>
                </c:pt>
                <c:pt idx="855">
                  <c:v>70.43963254593173</c:v>
                </c:pt>
                <c:pt idx="856">
                  <c:v>53.999999999999972</c:v>
                </c:pt>
                <c:pt idx="858">
                  <c:v>53.999999999999972</c:v>
                </c:pt>
                <c:pt idx="859">
                  <c:v>53.999999999999972</c:v>
                </c:pt>
                <c:pt idx="860">
                  <c:v>70.43963254593173</c:v>
                </c:pt>
                <c:pt idx="861">
                  <c:v>70.43963254593173</c:v>
                </c:pt>
                <c:pt idx="862">
                  <c:v>53.999999999999972</c:v>
                </c:pt>
                <c:pt idx="864">
                  <c:v>0</c:v>
                </c:pt>
                <c:pt idx="865">
                  <c:v>0</c:v>
                </c:pt>
                <c:pt idx="866">
                  <c:v>16.439632545931762</c:v>
                </c:pt>
                <c:pt idx="867">
                  <c:v>16.439632545931762</c:v>
                </c:pt>
                <c:pt idx="868">
                  <c:v>0</c:v>
                </c:pt>
                <c:pt idx="870">
                  <c:v>0</c:v>
                </c:pt>
                <c:pt idx="871">
                  <c:v>0</c:v>
                </c:pt>
                <c:pt idx="872">
                  <c:v>16.439632545931762</c:v>
                </c:pt>
                <c:pt idx="873">
                  <c:v>16.439632545931762</c:v>
                </c:pt>
                <c:pt idx="874">
                  <c:v>0</c:v>
                </c:pt>
                <c:pt idx="876">
                  <c:v>17.999999999999989</c:v>
                </c:pt>
                <c:pt idx="877">
                  <c:v>17.999999999999989</c:v>
                </c:pt>
                <c:pt idx="878">
                  <c:v>34.439632545931751</c:v>
                </c:pt>
                <c:pt idx="879">
                  <c:v>34.439632545931751</c:v>
                </c:pt>
                <c:pt idx="880">
                  <c:v>17.999999999999989</c:v>
                </c:pt>
                <c:pt idx="882">
                  <c:v>17.999999999999989</c:v>
                </c:pt>
                <c:pt idx="883">
                  <c:v>17.999999999999989</c:v>
                </c:pt>
                <c:pt idx="884">
                  <c:v>34.439632545931751</c:v>
                </c:pt>
                <c:pt idx="885">
                  <c:v>34.439632545931751</c:v>
                </c:pt>
                <c:pt idx="886">
                  <c:v>17.999999999999989</c:v>
                </c:pt>
                <c:pt idx="888">
                  <c:v>35.999999999999979</c:v>
                </c:pt>
                <c:pt idx="889">
                  <c:v>35.999999999999979</c:v>
                </c:pt>
                <c:pt idx="890">
                  <c:v>52.439632545931744</c:v>
                </c:pt>
                <c:pt idx="891">
                  <c:v>52.439632545931744</c:v>
                </c:pt>
                <c:pt idx="892">
                  <c:v>35.999999999999979</c:v>
                </c:pt>
                <c:pt idx="894">
                  <c:v>35.999999999999979</c:v>
                </c:pt>
                <c:pt idx="895">
                  <c:v>35.999999999999979</c:v>
                </c:pt>
                <c:pt idx="896">
                  <c:v>52.439632545931744</c:v>
                </c:pt>
                <c:pt idx="897">
                  <c:v>52.439632545931744</c:v>
                </c:pt>
                <c:pt idx="898">
                  <c:v>35.999999999999979</c:v>
                </c:pt>
                <c:pt idx="900">
                  <c:v>53.999999999999972</c:v>
                </c:pt>
                <c:pt idx="901">
                  <c:v>53.999999999999972</c:v>
                </c:pt>
                <c:pt idx="902">
                  <c:v>70.43963254593173</c:v>
                </c:pt>
                <c:pt idx="903">
                  <c:v>70.43963254593173</c:v>
                </c:pt>
                <c:pt idx="904">
                  <c:v>53.999999999999972</c:v>
                </c:pt>
                <c:pt idx="906">
                  <c:v>53.999999999999972</c:v>
                </c:pt>
                <c:pt idx="907">
                  <c:v>53.999999999999972</c:v>
                </c:pt>
                <c:pt idx="908">
                  <c:v>70.43963254593173</c:v>
                </c:pt>
                <c:pt idx="909">
                  <c:v>70.43963254593173</c:v>
                </c:pt>
                <c:pt idx="910">
                  <c:v>53.999999999999972</c:v>
                </c:pt>
                <c:pt idx="912">
                  <c:v>0</c:v>
                </c:pt>
                <c:pt idx="913">
                  <c:v>0</c:v>
                </c:pt>
                <c:pt idx="914">
                  <c:v>16.439632545931762</c:v>
                </c:pt>
                <c:pt idx="915">
                  <c:v>16.439632545931762</c:v>
                </c:pt>
                <c:pt idx="916">
                  <c:v>0</c:v>
                </c:pt>
                <c:pt idx="918">
                  <c:v>0</c:v>
                </c:pt>
                <c:pt idx="919">
                  <c:v>0</c:v>
                </c:pt>
                <c:pt idx="920">
                  <c:v>16.439632545931762</c:v>
                </c:pt>
                <c:pt idx="921">
                  <c:v>16.439632545931762</c:v>
                </c:pt>
                <c:pt idx="922">
                  <c:v>0</c:v>
                </c:pt>
                <c:pt idx="924">
                  <c:v>17.999999999999989</c:v>
                </c:pt>
                <c:pt idx="925">
                  <c:v>17.999999999999989</c:v>
                </c:pt>
                <c:pt idx="926">
                  <c:v>34.439632545931751</c:v>
                </c:pt>
                <c:pt idx="927">
                  <c:v>34.439632545931751</c:v>
                </c:pt>
                <c:pt idx="928">
                  <c:v>17.999999999999989</c:v>
                </c:pt>
                <c:pt idx="930">
                  <c:v>17.999999999999989</c:v>
                </c:pt>
                <c:pt idx="931">
                  <c:v>17.999999999999989</c:v>
                </c:pt>
                <c:pt idx="932">
                  <c:v>34.439632545931751</c:v>
                </c:pt>
                <c:pt idx="933">
                  <c:v>34.439632545931751</c:v>
                </c:pt>
                <c:pt idx="934">
                  <c:v>17.999999999999989</c:v>
                </c:pt>
                <c:pt idx="936">
                  <c:v>35.999999999999979</c:v>
                </c:pt>
                <c:pt idx="937">
                  <c:v>35.999999999999979</c:v>
                </c:pt>
                <c:pt idx="938">
                  <c:v>52.439632545931744</c:v>
                </c:pt>
                <c:pt idx="939">
                  <c:v>52.439632545931744</c:v>
                </c:pt>
                <c:pt idx="940">
                  <c:v>35.999999999999979</c:v>
                </c:pt>
                <c:pt idx="942">
                  <c:v>35.999999999999979</c:v>
                </c:pt>
                <c:pt idx="943">
                  <c:v>35.999999999999979</c:v>
                </c:pt>
                <c:pt idx="944">
                  <c:v>52.439632545931744</c:v>
                </c:pt>
                <c:pt idx="945">
                  <c:v>52.439632545931744</c:v>
                </c:pt>
                <c:pt idx="946">
                  <c:v>35.999999999999979</c:v>
                </c:pt>
                <c:pt idx="948">
                  <c:v>53.999999999999972</c:v>
                </c:pt>
                <c:pt idx="949">
                  <c:v>53.999999999999972</c:v>
                </c:pt>
                <c:pt idx="950">
                  <c:v>70.43963254593173</c:v>
                </c:pt>
                <c:pt idx="951">
                  <c:v>70.43963254593173</c:v>
                </c:pt>
                <c:pt idx="952">
                  <c:v>53.999999999999972</c:v>
                </c:pt>
                <c:pt idx="954">
                  <c:v>53.999999999999972</c:v>
                </c:pt>
                <c:pt idx="955">
                  <c:v>53.999999999999972</c:v>
                </c:pt>
                <c:pt idx="956">
                  <c:v>70.43963254593173</c:v>
                </c:pt>
                <c:pt idx="957">
                  <c:v>70.43963254593173</c:v>
                </c:pt>
                <c:pt idx="958">
                  <c:v>53.999999999999972</c:v>
                </c:pt>
                <c:pt idx="960">
                  <c:v>0</c:v>
                </c:pt>
                <c:pt idx="961">
                  <c:v>0</c:v>
                </c:pt>
                <c:pt idx="962">
                  <c:v>16.439632545931762</c:v>
                </c:pt>
                <c:pt idx="963">
                  <c:v>16.439632545931762</c:v>
                </c:pt>
                <c:pt idx="964">
                  <c:v>0</c:v>
                </c:pt>
                <c:pt idx="966">
                  <c:v>0</c:v>
                </c:pt>
                <c:pt idx="967">
                  <c:v>0</c:v>
                </c:pt>
                <c:pt idx="968">
                  <c:v>16.439632545931762</c:v>
                </c:pt>
                <c:pt idx="969">
                  <c:v>16.439632545931762</c:v>
                </c:pt>
                <c:pt idx="970">
                  <c:v>0</c:v>
                </c:pt>
                <c:pt idx="972">
                  <c:v>17.999999999999989</c:v>
                </c:pt>
                <c:pt idx="973">
                  <c:v>17.999999999999989</c:v>
                </c:pt>
                <c:pt idx="974">
                  <c:v>34.439632545931751</c:v>
                </c:pt>
                <c:pt idx="975">
                  <c:v>34.439632545931751</c:v>
                </c:pt>
                <c:pt idx="976">
                  <c:v>17.999999999999989</c:v>
                </c:pt>
                <c:pt idx="978">
                  <c:v>17.999999999999989</c:v>
                </c:pt>
                <c:pt idx="979">
                  <c:v>17.999999999999989</c:v>
                </c:pt>
                <c:pt idx="980">
                  <c:v>34.439632545931751</c:v>
                </c:pt>
                <c:pt idx="981">
                  <c:v>34.439632545931751</c:v>
                </c:pt>
                <c:pt idx="982">
                  <c:v>17.999999999999989</c:v>
                </c:pt>
                <c:pt idx="984">
                  <c:v>35.999999999999979</c:v>
                </c:pt>
                <c:pt idx="985">
                  <c:v>35.999999999999979</c:v>
                </c:pt>
                <c:pt idx="986">
                  <c:v>52.439632545931744</c:v>
                </c:pt>
                <c:pt idx="987">
                  <c:v>52.439632545931744</c:v>
                </c:pt>
                <c:pt idx="988">
                  <c:v>35.999999999999979</c:v>
                </c:pt>
                <c:pt idx="990">
                  <c:v>35.999999999999979</c:v>
                </c:pt>
                <c:pt idx="991">
                  <c:v>35.999999999999979</c:v>
                </c:pt>
                <c:pt idx="992">
                  <c:v>52.439632545931744</c:v>
                </c:pt>
                <c:pt idx="993">
                  <c:v>52.439632545931744</c:v>
                </c:pt>
                <c:pt idx="994">
                  <c:v>35.999999999999979</c:v>
                </c:pt>
                <c:pt idx="996">
                  <c:v>53.999999999999972</c:v>
                </c:pt>
                <c:pt idx="997">
                  <c:v>53.999999999999972</c:v>
                </c:pt>
                <c:pt idx="998">
                  <c:v>70.43963254593173</c:v>
                </c:pt>
                <c:pt idx="999">
                  <c:v>70.43963254593173</c:v>
                </c:pt>
                <c:pt idx="1000">
                  <c:v>53.999999999999972</c:v>
                </c:pt>
                <c:pt idx="1002">
                  <c:v>53.999999999999972</c:v>
                </c:pt>
                <c:pt idx="1003">
                  <c:v>53.999999999999972</c:v>
                </c:pt>
                <c:pt idx="1004">
                  <c:v>70.43963254593173</c:v>
                </c:pt>
                <c:pt idx="1005">
                  <c:v>70.43963254593173</c:v>
                </c:pt>
                <c:pt idx="1006">
                  <c:v>53.999999999999972</c:v>
                </c:pt>
                <c:pt idx="1008">
                  <c:v>0</c:v>
                </c:pt>
                <c:pt idx="1009">
                  <c:v>0</c:v>
                </c:pt>
                <c:pt idx="1010">
                  <c:v>16.439632545931762</c:v>
                </c:pt>
                <c:pt idx="1011">
                  <c:v>16.439632545931762</c:v>
                </c:pt>
                <c:pt idx="1012">
                  <c:v>0</c:v>
                </c:pt>
                <c:pt idx="1014">
                  <c:v>0</c:v>
                </c:pt>
                <c:pt idx="1015">
                  <c:v>0</c:v>
                </c:pt>
                <c:pt idx="1016">
                  <c:v>16.439632545931762</c:v>
                </c:pt>
                <c:pt idx="1017">
                  <c:v>16.439632545931762</c:v>
                </c:pt>
                <c:pt idx="1018">
                  <c:v>0</c:v>
                </c:pt>
                <c:pt idx="1020">
                  <c:v>17.999999999999989</c:v>
                </c:pt>
                <c:pt idx="1021">
                  <c:v>17.999999999999989</c:v>
                </c:pt>
                <c:pt idx="1022">
                  <c:v>34.439632545931751</c:v>
                </c:pt>
                <c:pt idx="1023">
                  <c:v>34.439632545931751</c:v>
                </c:pt>
                <c:pt idx="1024">
                  <c:v>17.999999999999989</c:v>
                </c:pt>
                <c:pt idx="1026">
                  <c:v>17.999999999999989</c:v>
                </c:pt>
                <c:pt idx="1027">
                  <c:v>17.999999999999989</c:v>
                </c:pt>
                <c:pt idx="1028">
                  <c:v>34.439632545931751</c:v>
                </c:pt>
                <c:pt idx="1029">
                  <c:v>34.439632545931751</c:v>
                </c:pt>
                <c:pt idx="1030">
                  <c:v>17.999999999999989</c:v>
                </c:pt>
                <c:pt idx="1032">
                  <c:v>35.999999999999979</c:v>
                </c:pt>
                <c:pt idx="1033">
                  <c:v>35.999999999999979</c:v>
                </c:pt>
                <c:pt idx="1034">
                  <c:v>52.439632545931744</c:v>
                </c:pt>
                <c:pt idx="1035">
                  <c:v>52.439632545931744</c:v>
                </c:pt>
                <c:pt idx="1036">
                  <c:v>35.999999999999979</c:v>
                </c:pt>
                <c:pt idx="1038">
                  <c:v>35.999999999999979</c:v>
                </c:pt>
                <c:pt idx="1039">
                  <c:v>35.999999999999979</c:v>
                </c:pt>
                <c:pt idx="1040">
                  <c:v>52.439632545931744</c:v>
                </c:pt>
                <c:pt idx="1041">
                  <c:v>52.439632545931744</c:v>
                </c:pt>
                <c:pt idx="1042">
                  <c:v>35.999999999999979</c:v>
                </c:pt>
                <c:pt idx="1044">
                  <c:v>53.999999999999972</c:v>
                </c:pt>
                <c:pt idx="1045">
                  <c:v>53.999999999999972</c:v>
                </c:pt>
                <c:pt idx="1046">
                  <c:v>70.43963254593173</c:v>
                </c:pt>
                <c:pt idx="1047">
                  <c:v>70.43963254593173</c:v>
                </c:pt>
                <c:pt idx="1048">
                  <c:v>53.999999999999972</c:v>
                </c:pt>
                <c:pt idx="1050">
                  <c:v>53.999999999999972</c:v>
                </c:pt>
                <c:pt idx="1051">
                  <c:v>53.999999999999972</c:v>
                </c:pt>
                <c:pt idx="1052">
                  <c:v>70.43963254593173</c:v>
                </c:pt>
                <c:pt idx="1053">
                  <c:v>70.43963254593173</c:v>
                </c:pt>
                <c:pt idx="1054">
                  <c:v>53.999999999999972</c:v>
                </c:pt>
                <c:pt idx="1056">
                  <c:v>0</c:v>
                </c:pt>
                <c:pt idx="1057">
                  <c:v>0</c:v>
                </c:pt>
                <c:pt idx="1058">
                  <c:v>16.439632545931762</c:v>
                </c:pt>
                <c:pt idx="1059">
                  <c:v>16.439632545931762</c:v>
                </c:pt>
                <c:pt idx="1060">
                  <c:v>0</c:v>
                </c:pt>
                <c:pt idx="1062">
                  <c:v>0</c:v>
                </c:pt>
                <c:pt idx="1063">
                  <c:v>0</c:v>
                </c:pt>
                <c:pt idx="1064">
                  <c:v>16.439632545931762</c:v>
                </c:pt>
                <c:pt idx="1065">
                  <c:v>16.439632545931762</c:v>
                </c:pt>
                <c:pt idx="1066">
                  <c:v>0</c:v>
                </c:pt>
                <c:pt idx="1068">
                  <c:v>17.999999999999989</c:v>
                </c:pt>
                <c:pt idx="1069">
                  <c:v>17.999999999999989</c:v>
                </c:pt>
                <c:pt idx="1070">
                  <c:v>34.439632545931751</c:v>
                </c:pt>
                <c:pt idx="1071">
                  <c:v>34.439632545931751</c:v>
                </c:pt>
                <c:pt idx="1072">
                  <c:v>17.999999999999989</c:v>
                </c:pt>
                <c:pt idx="1074">
                  <c:v>17.999999999999989</c:v>
                </c:pt>
                <c:pt idx="1075">
                  <c:v>17.999999999999989</c:v>
                </c:pt>
                <c:pt idx="1076">
                  <c:v>34.439632545931751</c:v>
                </c:pt>
                <c:pt idx="1077">
                  <c:v>34.439632545931751</c:v>
                </c:pt>
                <c:pt idx="1078">
                  <c:v>17.999999999999989</c:v>
                </c:pt>
                <c:pt idx="1080">
                  <c:v>35.999999999999979</c:v>
                </c:pt>
                <c:pt idx="1081">
                  <c:v>35.999999999999979</c:v>
                </c:pt>
                <c:pt idx="1082">
                  <c:v>52.439632545931744</c:v>
                </c:pt>
                <c:pt idx="1083">
                  <c:v>52.439632545931744</c:v>
                </c:pt>
                <c:pt idx="1084">
                  <c:v>35.999999999999979</c:v>
                </c:pt>
                <c:pt idx="1086">
                  <c:v>35.999999999999979</c:v>
                </c:pt>
                <c:pt idx="1087">
                  <c:v>35.999999999999979</c:v>
                </c:pt>
                <c:pt idx="1088">
                  <c:v>52.439632545931744</c:v>
                </c:pt>
                <c:pt idx="1089">
                  <c:v>52.439632545931744</c:v>
                </c:pt>
                <c:pt idx="1090">
                  <c:v>35.999999999999979</c:v>
                </c:pt>
                <c:pt idx="1092">
                  <c:v>53.999999999999972</c:v>
                </c:pt>
                <c:pt idx="1093">
                  <c:v>53.999999999999972</c:v>
                </c:pt>
                <c:pt idx="1094">
                  <c:v>70.43963254593173</c:v>
                </c:pt>
                <c:pt idx="1095">
                  <c:v>70.43963254593173</c:v>
                </c:pt>
                <c:pt idx="1096">
                  <c:v>53.999999999999972</c:v>
                </c:pt>
                <c:pt idx="1098">
                  <c:v>53.999999999999972</c:v>
                </c:pt>
                <c:pt idx="1099">
                  <c:v>53.999999999999972</c:v>
                </c:pt>
                <c:pt idx="1100">
                  <c:v>70.43963254593173</c:v>
                </c:pt>
                <c:pt idx="1101">
                  <c:v>70.43963254593173</c:v>
                </c:pt>
                <c:pt idx="1102">
                  <c:v>53.999999999999972</c:v>
                </c:pt>
                <c:pt idx="1104">
                  <c:v>0</c:v>
                </c:pt>
                <c:pt idx="1105">
                  <c:v>0</c:v>
                </c:pt>
                <c:pt idx="1106">
                  <c:v>16.439632545931762</c:v>
                </c:pt>
                <c:pt idx="1107">
                  <c:v>16.439632545931762</c:v>
                </c:pt>
                <c:pt idx="1108">
                  <c:v>0</c:v>
                </c:pt>
                <c:pt idx="1110">
                  <c:v>0</c:v>
                </c:pt>
                <c:pt idx="1111">
                  <c:v>0</c:v>
                </c:pt>
                <c:pt idx="1112">
                  <c:v>16.439632545931762</c:v>
                </c:pt>
                <c:pt idx="1113">
                  <c:v>16.439632545931762</c:v>
                </c:pt>
                <c:pt idx="1114">
                  <c:v>0</c:v>
                </c:pt>
                <c:pt idx="1116">
                  <c:v>17.999999999999989</c:v>
                </c:pt>
                <c:pt idx="1117">
                  <c:v>17.999999999999989</c:v>
                </c:pt>
                <c:pt idx="1118">
                  <c:v>34.439632545931751</c:v>
                </c:pt>
                <c:pt idx="1119">
                  <c:v>34.439632545931751</c:v>
                </c:pt>
                <c:pt idx="1120">
                  <c:v>17.999999999999989</c:v>
                </c:pt>
                <c:pt idx="1122">
                  <c:v>17.999999999999989</c:v>
                </c:pt>
                <c:pt idx="1123">
                  <c:v>17.999999999999989</c:v>
                </c:pt>
                <c:pt idx="1124">
                  <c:v>34.439632545931751</c:v>
                </c:pt>
                <c:pt idx="1125">
                  <c:v>34.439632545931751</c:v>
                </c:pt>
                <c:pt idx="1126">
                  <c:v>17.999999999999989</c:v>
                </c:pt>
                <c:pt idx="1128">
                  <c:v>35.999999999999979</c:v>
                </c:pt>
                <c:pt idx="1129">
                  <c:v>35.999999999999979</c:v>
                </c:pt>
                <c:pt idx="1130">
                  <c:v>52.439632545931744</c:v>
                </c:pt>
                <c:pt idx="1131">
                  <c:v>52.439632545931744</c:v>
                </c:pt>
                <c:pt idx="1132">
                  <c:v>35.999999999999979</c:v>
                </c:pt>
                <c:pt idx="1134">
                  <c:v>35.999999999999979</c:v>
                </c:pt>
                <c:pt idx="1135">
                  <c:v>35.999999999999979</c:v>
                </c:pt>
                <c:pt idx="1136">
                  <c:v>52.439632545931744</c:v>
                </c:pt>
                <c:pt idx="1137">
                  <c:v>52.439632545931744</c:v>
                </c:pt>
                <c:pt idx="1138">
                  <c:v>35.999999999999979</c:v>
                </c:pt>
                <c:pt idx="1140">
                  <c:v>53.999999999999972</c:v>
                </c:pt>
                <c:pt idx="1141">
                  <c:v>53.999999999999972</c:v>
                </c:pt>
                <c:pt idx="1142">
                  <c:v>70.43963254593173</c:v>
                </c:pt>
                <c:pt idx="1143">
                  <c:v>70.43963254593173</c:v>
                </c:pt>
                <c:pt idx="1144">
                  <c:v>53.999999999999972</c:v>
                </c:pt>
                <c:pt idx="1146">
                  <c:v>53.999999999999972</c:v>
                </c:pt>
                <c:pt idx="1147">
                  <c:v>53.999999999999972</c:v>
                </c:pt>
                <c:pt idx="1148">
                  <c:v>70.43963254593173</c:v>
                </c:pt>
                <c:pt idx="1149">
                  <c:v>70.43963254593173</c:v>
                </c:pt>
                <c:pt idx="1150">
                  <c:v>53.999999999999972</c:v>
                </c:pt>
                <c:pt idx="1152">
                  <c:v>0</c:v>
                </c:pt>
                <c:pt idx="1153">
                  <c:v>0</c:v>
                </c:pt>
                <c:pt idx="1154">
                  <c:v>16.439632545931762</c:v>
                </c:pt>
                <c:pt idx="1155">
                  <c:v>16.439632545931762</c:v>
                </c:pt>
                <c:pt idx="1156">
                  <c:v>0</c:v>
                </c:pt>
                <c:pt idx="1158">
                  <c:v>0</c:v>
                </c:pt>
                <c:pt idx="1159">
                  <c:v>0</c:v>
                </c:pt>
                <c:pt idx="1160">
                  <c:v>16.439632545931762</c:v>
                </c:pt>
                <c:pt idx="1161">
                  <c:v>16.439632545931762</c:v>
                </c:pt>
                <c:pt idx="1162">
                  <c:v>0</c:v>
                </c:pt>
                <c:pt idx="1164">
                  <c:v>17.999999999999989</c:v>
                </c:pt>
                <c:pt idx="1165">
                  <c:v>17.999999999999989</c:v>
                </c:pt>
                <c:pt idx="1166">
                  <c:v>34.439632545931751</c:v>
                </c:pt>
                <c:pt idx="1167">
                  <c:v>34.439632545931751</c:v>
                </c:pt>
                <c:pt idx="1168">
                  <c:v>17.999999999999989</c:v>
                </c:pt>
                <c:pt idx="1170">
                  <c:v>17.999999999999989</c:v>
                </c:pt>
                <c:pt idx="1171">
                  <c:v>17.999999999999989</c:v>
                </c:pt>
                <c:pt idx="1172">
                  <c:v>34.439632545931751</c:v>
                </c:pt>
                <c:pt idx="1173">
                  <c:v>34.439632545931751</c:v>
                </c:pt>
                <c:pt idx="1174">
                  <c:v>17.999999999999989</c:v>
                </c:pt>
                <c:pt idx="1176">
                  <c:v>35.999999999999979</c:v>
                </c:pt>
                <c:pt idx="1177">
                  <c:v>35.999999999999979</c:v>
                </c:pt>
                <c:pt idx="1178">
                  <c:v>52.439632545931744</c:v>
                </c:pt>
                <c:pt idx="1179">
                  <c:v>52.439632545931744</c:v>
                </c:pt>
                <c:pt idx="1180">
                  <c:v>35.999999999999979</c:v>
                </c:pt>
                <c:pt idx="1182">
                  <c:v>35.999999999999979</c:v>
                </c:pt>
                <c:pt idx="1183">
                  <c:v>35.999999999999979</c:v>
                </c:pt>
                <c:pt idx="1184">
                  <c:v>52.439632545931744</c:v>
                </c:pt>
                <c:pt idx="1185">
                  <c:v>52.439632545931744</c:v>
                </c:pt>
                <c:pt idx="1186">
                  <c:v>35.999999999999979</c:v>
                </c:pt>
                <c:pt idx="1188">
                  <c:v>53.999999999999972</c:v>
                </c:pt>
                <c:pt idx="1189">
                  <c:v>53.999999999999972</c:v>
                </c:pt>
                <c:pt idx="1190">
                  <c:v>70.43963254593173</c:v>
                </c:pt>
                <c:pt idx="1191">
                  <c:v>70.43963254593173</c:v>
                </c:pt>
                <c:pt idx="1192">
                  <c:v>53.999999999999972</c:v>
                </c:pt>
                <c:pt idx="1194">
                  <c:v>53.999999999999972</c:v>
                </c:pt>
                <c:pt idx="1195">
                  <c:v>53.999999999999972</c:v>
                </c:pt>
                <c:pt idx="1196">
                  <c:v>70.43963254593173</c:v>
                </c:pt>
                <c:pt idx="1197">
                  <c:v>70.43963254593173</c:v>
                </c:pt>
                <c:pt idx="1198">
                  <c:v>53.999999999999972</c:v>
                </c:pt>
                <c:pt idx="1200">
                  <c:v>0</c:v>
                </c:pt>
                <c:pt idx="1201">
                  <c:v>0</c:v>
                </c:pt>
                <c:pt idx="1202">
                  <c:v>16.439632545931762</c:v>
                </c:pt>
                <c:pt idx="1203">
                  <c:v>16.439632545931762</c:v>
                </c:pt>
                <c:pt idx="1204">
                  <c:v>0</c:v>
                </c:pt>
                <c:pt idx="1206">
                  <c:v>0</c:v>
                </c:pt>
                <c:pt idx="1207">
                  <c:v>0</c:v>
                </c:pt>
                <c:pt idx="1208">
                  <c:v>16.439632545931762</c:v>
                </c:pt>
                <c:pt idx="1209">
                  <c:v>16.439632545931762</c:v>
                </c:pt>
                <c:pt idx="1210">
                  <c:v>0</c:v>
                </c:pt>
                <c:pt idx="1212">
                  <c:v>17.999999999999989</c:v>
                </c:pt>
                <c:pt idx="1213">
                  <c:v>17.999999999999989</c:v>
                </c:pt>
                <c:pt idx="1214">
                  <c:v>34.439632545931751</c:v>
                </c:pt>
                <c:pt idx="1215">
                  <c:v>34.439632545931751</c:v>
                </c:pt>
                <c:pt idx="1216">
                  <c:v>17.999999999999989</c:v>
                </c:pt>
                <c:pt idx="1218">
                  <c:v>17.999999999999989</c:v>
                </c:pt>
                <c:pt idx="1219">
                  <c:v>17.999999999999989</c:v>
                </c:pt>
                <c:pt idx="1220">
                  <c:v>34.439632545931751</c:v>
                </c:pt>
                <c:pt idx="1221">
                  <c:v>34.439632545931751</c:v>
                </c:pt>
                <c:pt idx="1222">
                  <c:v>17.999999999999989</c:v>
                </c:pt>
                <c:pt idx="1224">
                  <c:v>35.999999999999979</c:v>
                </c:pt>
                <c:pt idx="1225">
                  <c:v>35.999999999999979</c:v>
                </c:pt>
                <c:pt idx="1226">
                  <c:v>52.439632545931744</c:v>
                </c:pt>
                <c:pt idx="1227">
                  <c:v>52.439632545931744</c:v>
                </c:pt>
                <c:pt idx="1228">
                  <c:v>35.999999999999979</c:v>
                </c:pt>
                <c:pt idx="1230">
                  <c:v>35.999999999999979</c:v>
                </c:pt>
                <c:pt idx="1231">
                  <c:v>35.999999999999979</c:v>
                </c:pt>
                <c:pt idx="1232">
                  <c:v>52.439632545931744</c:v>
                </c:pt>
                <c:pt idx="1233">
                  <c:v>52.439632545931744</c:v>
                </c:pt>
                <c:pt idx="1234">
                  <c:v>35.999999999999979</c:v>
                </c:pt>
                <c:pt idx="1236">
                  <c:v>53.999999999999972</c:v>
                </c:pt>
                <c:pt idx="1237">
                  <c:v>53.999999999999972</c:v>
                </c:pt>
                <c:pt idx="1238">
                  <c:v>70.43963254593173</c:v>
                </c:pt>
                <c:pt idx="1239">
                  <c:v>70.43963254593173</c:v>
                </c:pt>
                <c:pt idx="1240">
                  <c:v>53.999999999999972</c:v>
                </c:pt>
                <c:pt idx="1242">
                  <c:v>53.999999999999972</c:v>
                </c:pt>
                <c:pt idx="1243">
                  <c:v>53.999999999999972</c:v>
                </c:pt>
                <c:pt idx="1244">
                  <c:v>70.43963254593173</c:v>
                </c:pt>
                <c:pt idx="1245">
                  <c:v>70.43963254593173</c:v>
                </c:pt>
                <c:pt idx="1246">
                  <c:v>53.999999999999972</c:v>
                </c:pt>
                <c:pt idx="1248">
                  <c:v>0</c:v>
                </c:pt>
                <c:pt idx="1249">
                  <c:v>0</c:v>
                </c:pt>
                <c:pt idx="1250">
                  <c:v>16.439632545931762</c:v>
                </c:pt>
                <c:pt idx="1251">
                  <c:v>16.439632545931762</c:v>
                </c:pt>
                <c:pt idx="1252">
                  <c:v>0</c:v>
                </c:pt>
                <c:pt idx="1254">
                  <c:v>0</c:v>
                </c:pt>
                <c:pt idx="1255">
                  <c:v>0</c:v>
                </c:pt>
                <c:pt idx="1256">
                  <c:v>16.439632545931762</c:v>
                </c:pt>
                <c:pt idx="1257">
                  <c:v>16.439632545931762</c:v>
                </c:pt>
                <c:pt idx="1258">
                  <c:v>0</c:v>
                </c:pt>
                <c:pt idx="1260">
                  <c:v>17.999999999999989</c:v>
                </c:pt>
                <c:pt idx="1261">
                  <c:v>17.999999999999989</c:v>
                </c:pt>
                <c:pt idx="1262">
                  <c:v>34.439632545931751</c:v>
                </c:pt>
                <c:pt idx="1263">
                  <c:v>34.439632545931751</c:v>
                </c:pt>
                <c:pt idx="1264">
                  <c:v>17.999999999999989</c:v>
                </c:pt>
                <c:pt idx="1266">
                  <c:v>17.999999999999989</c:v>
                </c:pt>
                <c:pt idx="1267">
                  <c:v>17.999999999999989</c:v>
                </c:pt>
                <c:pt idx="1268">
                  <c:v>34.439632545931751</c:v>
                </c:pt>
                <c:pt idx="1269">
                  <c:v>34.439632545931751</c:v>
                </c:pt>
                <c:pt idx="1270">
                  <c:v>17.999999999999989</c:v>
                </c:pt>
                <c:pt idx="1272">
                  <c:v>35.999999999999979</c:v>
                </c:pt>
                <c:pt idx="1273">
                  <c:v>35.999999999999979</c:v>
                </c:pt>
                <c:pt idx="1274">
                  <c:v>52.439632545931744</c:v>
                </c:pt>
                <c:pt idx="1275">
                  <c:v>52.439632545931744</c:v>
                </c:pt>
                <c:pt idx="1276">
                  <c:v>35.999999999999979</c:v>
                </c:pt>
                <c:pt idx="1278">
                  <c:v>35.999999999999979</c:v>
                </c:pt>
                <c:pt idx="1279">
                  <c:v>35.999999999999979</c:v>
                </c:pt>
                <c:pt idx="1280">
                  <c:v>52.439632545931744</c:v>
                </c:pt>
                <c:pt idx="1281">
                  <c:v>52.439632545931744</c:v>
                </c:pt>
                <c:pt idx="1282">
                  <c:v>35.999999999999979</c:v>
                </c:pt>
                <c:pt idx="1284">
                  <c:v>53.999999999999972</c:v>
                </c:pt>
                <c:pt idx="1285">
                  <c:v>53.999999999999972</c:v>
                </c:pt>
                <c:pt idx="1286">
                  <c:v>70.43963254593173</c:v>
                </c:pt>
                <c:pt idx="1287">
                  <c:v>70.43963254593173</c:v>
                </c:pt>
                <c:pt idx="1288">
                  <c:v>53.999999999999972</c:v>
                </c:pt>
                <c:pt idx="1290">
                  <c:v>53.999999999999972</c:v>
                </c:pt>
                <c:pt idx="1291">
                  <c:v>53.999999999999972</c:v>
                </c:pt>
                <c:pt idx="1292">
                  <c:v>70.43963254593173</c:v>
                </c:pt>
                <c:pt idx="1293">
                  <c:v>70.43963254593173</c:v>
                </c:pt>
                <c:pt idx="1294">
                  <c:v>53.999999999999972</c:v>
                </c:pt>
                <c:pt idx="1296">
                  <c:v>0</c:v>
                </c:pt>
                <c:pt idx="1297">
                  <c:v>0</c:v>
                </c:pt>
                <c:pt idx="1298">
                  <c:v>16.439632545931762</c:v>
                </c:pt>
                <c:pt idx="1299">
                  <c:v>16.439632545931762</c:v>
                </c:pt>
                <c:pt idx="1300">
                  <c:v>0</c:v>
                </c:pt>
                <c:pt idx="1302">
                  <c:v>0</c:v>
                </c:pt>
                <c:pt idx="1303">
                  <c:v>0</c:v>
                </c:pt>
                <c:pt idx="1304">
                  <c:v>16.439632545931762</c:v>
                </c:pt>
                <c:pt idx="1305">
                  <c:v>16.439632545931762</c:v>
                </c:pt>
                <c:pt idx="1306">
                  <c:v>0</c:v>
                </c:pt>
                <c:pt idx="1308">
                  <c:v>17.999999999999989</c:v>
                </c:pt>
                <c:pt idx="1309">
                  <c:v>17.999999999999989</c:v>
                </c:pt>
                <c:pt idx="1310">
                  <c:v>34.439632545931751</c:v>
                </c:pt>
                <c:pt idx="1311">
                  <c:v>34.439632545931751</c:v>
                </c:pt>
                <c:pt idx="1312">
                  <c:v>17.999999999999989</c:v>
                </c:pt>
                <c:pt idx="1314">
                  <c:v>17.999999999999989</c:v>
                </c:pt>
                <c:pt idx="1315">
                  <c:v>17.999999999999989</c:v>
                </c:pt>
                <c:pt idx="1316">
                  <c:v>34.439632545931751</c:v>
                </c:pt>
                <c:pt idx="1317">
                  <c:v>34.439632545931751</c:v>
                </c:pt>
                <c:pt idx="1318">
                  <c:v>17.999999999999989</c:v>
                </c:pt>
                <c:pt idx="1320">
                  <c:v>35.999999999999979</c:v>
                </c:pt>
                <c:pt idx="1321">
                  <c:v>35.999999999999979</c:v>
                </c:pt>
                <c:pt idx="1322">
                  <c:v>52.439632545931744</c:v>
                </c:pt>
                <c:pt idx="1323">
                  <c:v>52.439632545931744</c:v>
                </c:pt>
                <c:pt idx="1324">
                  <c:v>35.999999999999979</c:v>
                </c:pt>
                <c:pt idx="1326">
                  <c:v>35.999999999999979</c:v>
                </c:pt>
                <c:pt idx="1327">
                  <c:v>35.999999999999979</c:v>
                </c:pt>
                <c:pt idx="1328">
                  <c:v>52.439632545931744</c:v>
                </c:pt>
                <c:pt idx="1329">
                  <c:v>52.439632545931744</c:v>
                </c:pt>
                <c:pt idx="1330">
                  <c:v>35.999999999999979</c:v>
                </c:pt>
                <c:pt idx="1332">
                  <c:v>53.999999999999972</c:v>
                </c:pt>
                <c:pt idx="1333">
                  <c:v>53.999999999999972</c:v>
                </c:pt>
                <c:pt idx="1334">
                  <c:v>70.43963254593173</c:v>
                </c:pt>
                <c:pt idx="1335">
                  <c:v>70.43963254593173</c:v>
                </c:pt>
                <c:pt idx="1336">
                  <c:v>53.999999999999972</c:v>
                </c:pt>
                <c:pt idx="1338">
                  <c:v>53.999999999999972</c:v>
                </c:pt>
                <c:pt idx="1339">
                  <c:v>53.999999999999972</c:v>
                </c:pt>
                <c:pt idx="1340">
                  <c:v>70.43963254593173</c:v>
                </c:pt>
                <c:pt idx="1341">
                  <c:v>70.43963254593173</c:v>
                </c:pt>
                <c:pt idx="1342">
                  <c:v>53.999999999999972</c:v>
                </c:pt>
                <c:pt idx="1344">
                  <c:v>0</c:v>
                </c:pt>
                <c:pt idx="1345">
                  <c:v>0</c:v>
                </c:pt>
                <c:pt idx="1346">
                  <c:v>16.439632545931762</c:v>
                </c:pt>
                <c:pt idx="1347">
                  <c:v>16.439632545931762</c:v>
                </c:pt>
                <c:pt idx="1348">
                  <c:v>0</c:v>
                </c:pt>
                <c:pt idx="1350">
                  <c:v>0</c:v>
                </c:pt>
                <c:pt idx="1351">
                  <c:v>0</c:v>
                </c:pt>
                <c:pt idx="1352">
                  <c:v>16.439632545931762</c:v>
                </c:pt>
                <c:pt idx="1353">
                  <c:v>16.439632545931762</c:v>
                </c:pt>
                <c:pt idx="1354">
                  <c:v>0</c:v>
                </c:pt>
                <c:pt idx="1356">
                  <c:v>17.999999999999989</c:v>
                </c:pt>
                <c:pt idx="1357">
                  <c:v>17.999999999999989</c:v>
                </c:pt>
                <c:pt idx="1358">
                  <c:v>34.439632545931751</c:v>
                </c:pt>
                <c:pt idx="1359">
                  <c:v>34.439632545931751</c:v>
                </c:pt>
                <c:pt idx="1360">
                  <c:v>17.999999999999989</c:v>
                </c:pt>
                <c:pt idx="1362">
                  <c:v>17.999999999999989</c:v>
                </c:pt>
                <c:pt idx="1363">
                  <c:v>17.999999999999989</c:v>
                </c:pt>
                <c:pt idx="1364">
                  <c:v>34.439632545931751</c:v>
                </c:pt>
                <c:pt idx="1365">
                  <c:v>34.439632545931751</c:v>
                </c:pt>
                <c:pt idx="1366">
                  <c:v>17.999999999999989</c:v>
                </c:pt>
                <c:pt idx="1368">
                  <c:v>35.999999999999979</c:v>
                </c:pt>
                <c:pt idx="1369">
                  <c:v>35.999999999999979</c:v>
                </c:pt>
                <c:pt idx="1370">
                  <c:v>52.439632545931744</c:v>
                </c:pt>
                <c:pt idx="1371">
                  <c:v>52.439632545931744</c:v>
                </c:pt>
                <c:pt idx="1372">
                  <c:v>35.999999999999979</c:v>
                </c:pt>
                <c:pt idx="1374">
                  <c:v>35.999999999999979</c:v>
                </c:pt>
                <c:pt idx="1375">
                  <c:v>35.999999999999979</c:v>
                </c:pt>
                <c:pt idx="1376">
                  <c:v>52.439632545931744</c:v>
                </c:pt>
                <c:pt idx="1377">
                  <c:v>52.439632545931744</c:v>
                </c:pt>
                <c:pt idx="1378">
                  <c:v>35.999999999999979</c:v>
                </c:pt>
                <c:pt idx="1380">
                  <c:v>53.999999999999972</c:v>
                </c:pt>
                <c:pt idx="1381">
                  <c:v>53.999999999999972</c:v>
                </c:pt>
                <c:pt idx="1382">
                  <c:v>70.43963254593173</c:v>
                </c:pt>
                <c:pt idx="1383">
                  <c:v>70.43963254593173</c:v>
                </c:pt>
                <c:pt idx="1384">
                  <c:v>53.999999999999972</c:v>
                </c:pt>
                <c:pt idx="1386">
                  <c:v>53.999999999999972</c:v>
                </c:pt>
                <c:pt idx="1387">
                  <c:v>53.999999999999972</c:v>
                </c:pt>
                <c:pt idx="1388">
                  <c:v>70.43963254593173</c:v>
                </c:pt>
                <c:pt idx="1389">
                  <c:v>70.43963254593173</c:v>
                </c:pt>
                <c:pt idx="1390">
                  <c:v>53.999999999999972</c:v>
                </c:pt>
                <c:pt idx="1392">
                  <c:v>0</c:v>
                </c:pt>
                <c:pt idx="1393">
                  <c:v>0</c:v>
                </c:pt>
                <c:pt idx="1394">
                  <c:v>16.439632545931762</c:v>
                </c:pt>
                <c:pt idx="1395">
                  <c:v>16.439632545931762</c:v>
                </c:pt>
                <c:pt idx="1396">
                  <c:v>0</c:v>
                </c:pt>
                <c:pt idx="1398">
                  <c:v>0</c:v>
                </c:pt>
                <c:pt idx="1399">
                  <c:v>0</c:v>
                </c:pt>
                <c:pt idx="1400">
                  <c:v>16.439632545931762</c:v>
                </c:pt>
                <c:pt idx="1401">
                  <c:v>16.439632545931762</c:v>
                </c:pt>
                <c:pt idx="1402">
                  <c:v>0</c:v>
                </c:pt>
                <c:pt idx="1404">
                  <c:v>17.999999999999989</c:v>
                </c:pt>
                <c:pt idx="1405">
                  <c:v>17.999999999999989</c:v>
                </c:pt>
                <c:pt idx="1406">
                  <c:v>34.439632545931751</c:v>
                </c:pt>
                <c:pt idx="1407">
                  <c:v>34.439632545931751</c:v>
                </c:pt>
                <c:pt idx="1408">
                  <c:v>17.999999999999989</c:v>
                </c:pt>
                <c:pt idx="1410">
                  <c:v>17.999999999999989</c:v>
                </c:pt>
                <c:pt idx="1411">
                  <c:v>17.999999999999989</c:v>
                </c:pt>
                <c:pt idx="1412">
                  <c:v>34.439632545931751</c:v>
                </c:pt>
                <c:pt idx="1413">
                  <c:v>34.439632545931751</c:v>
                </c:pt>
                <c:pt idx="1414">
                  <c:v>17.999999999999989</c:v>
                </c:pt>
                <c:pt idx="1416">
                  <c:v>35.999999999999979</c:v>
                </c:pt>
                <c:pt idx="1417">
                  <c:v>35.999999999999979</c:v>
                </c:pt>
                <c:pt idx="1418">
                  <c:v>52.439632545931744</c:v>
                </c:pt>
                <c:pt idx="1419">
                  <c:v>52.439632545931744</c:v>
                </c:pt>
                <c:pt idx="1420">
                  <c:v>35.999999999999979</c:v>
                </c:pt>
                <c:pt idx="1422">
                  <c:v>35.999999999999979</c:v>
                </c:pt>
                <c:pt idx="1423">
                  <c:v>35.999999999999979</c:v>
                </c:pt>
                <c:pt idx="1424">
                  <c:v>52.439632545931744</c:v>
                </c:pt>
                <c:pt idx="1425">
                  <c:v>52.439632545931744</c:v>
                </c:pt>
                <c:pt idx="1426">
                  <c:v>35.999999999999979</c:v>
                </c:pt>
                <c:pt idx="1428">
                  <c:v>53.999999999999972</c:v>
                </c:pt>
                <c:pt idx="1429">
                  <c:v>53.999999999999972</c:v>
                </c:pt>
                <c:pt idx="1430">
                  <c:v>70.43963254593173</c:v>
                </c:pt>
                <c:pt idx="1431">
                  <c:v>70.43963254593173</c:v>
                </c:pt>
                <c:pt idx="1432">
                  <c:v>53.999999999999972</c:v>
                </c:pt>
                <c:pt idx="1434">
                  <c:v>53.999999999999972</c:v>
                </c:pt>
                <c:pt idx="1435">
                  <c:v>53.999999999999972</c:v>
                </c:pt>
                <c:pt idx="1436">
                  <c:v>70.43963254593173</c:v>
                </c:pt>
                <c:pt idx="1437">
                  <c:v>70.43963254593173</c:v>
                </c:pt>
                <c:pt idx="1438">
                  <c:v>53.999999999999972</c:v>
                </c:pt>
                <c:pt idx="1440">
                  <c:v>0</c:v>
                </c:pt>
                <c:pt idx="1441">
                  <c:v>0</c:v>
                </c:pt>
                <c:pt idx="1442">
                  <c:v>16.439632545931762</c:v>
                </c:pt>
                <c:pt idx="1443">
                  <c:v>16.439632545931762</c:v>
                </c:pt>
                <c:pt idx="1444">
                  <c:v>0</c:v>
                </c:pt>
                <c:pt idx="1446">
                  <c:v>0</c:v>
                </c:pt>
                <c:pt idx="1447">
                  <c:v>0</c:v>
                </c:pt>
                <c:pt idx="1448">
                  <c:v>16.439632545931762</c:v>
                </c:pt>
                <c:pt idx="1449">
                  <c:v>16.439632545931762</c:v>
                </c:pt>
                <c:pt idx="1450">
                  <c:v>0</c:v>
                </c:pt>
                <c:pt idx="1452">
                  <c:v>17.999999999999989</c:v>
                </c:pt>
                <c:pt idx="1453">
                  <c:v>17.999999999999989</c:v>
                </c:pt>
                <c:pt idx="1454">
                  <c:v>34.439632545931751</c:v>
                </c:pt>
                <c:pt idx="1455">
                  <c:v>34.439632545931751</c:v>
                </c:pt>
                <c:pt idx="1456">
                  <c:v>17.999999999999989</c:v>
                </c:pt>
                <c:pt idx="1458">
                  <c:v>17.999999999999989</c:v>
                </c:pt>
                <c:pt idx="1459">
                  <c:v>17.999999999999989</c:v>
                </c:pt>
                <c:pt idx="1460">
                  <c:v>34.439632545931751</c:v>
                </c:pt>
                <c:pt idx="1461">
                  <c:v>34.439632545931751</c:v>
                </c:pt>
                <c:pt idx="1462">
                  <c:v>17.999999999999989</c:v>
                </c:pt>
                <c:pt idx="1464">
                  <c:v>35.999999999999979</c:v>
                </c:pt>
                <c:pt idx="1465">
                  <c:v>35.999999999999979</c:v>
                </c:pt>
                <c:pt idx="1466">
                  <c:v>52.439632545931744</c:v>
                </c:pt>
                <c:pt idx="1467">
                  <c:v>52.439632545931744</c:v>
                </c:pt>
                <c:pt idx="1468">
                  <c:v>35.999999999999979</c:v>
                </c:pt>
                <c:pt idx="1470">
                  <c:v>35.999999999999979</c:v>
                </c:pt>
                <c:pt idx="1471">
                  <c:v>35.999999999999979</c:v>
                </c:pt>
                <c:pt idx="1472">
                  <c:v>52.439632545931744</c:v>
                </c:pt>
                <c:pt idx="1473">
                  <c:v>52.439632545931744</c:v>
                </c:pt>
                <c:pt idx="1474">
                  <c:v>35.999999999999979</c:v>
                </c:pt>
                <c:pt idx="1476">
                  <c:v>53.999999999999972</c:v>
                </c:pt>
                <c:pt idx="1477">
                  <c:v>53.999999999999972</c:v>
                </c:pt>
                <c:pt idx="1478">
                  <c:v>70.43963254593173</c:v>
                </c:pt>
                <c:pt idx="1479">
                  <c:v>70.43963254593173</c:v>
                </c:pt>
                <c:pt idx="1480">
                  <c:v>53.999999999999972</c:v>
                </c:pt>
                <c:pt idx="1482">
                  <c:v>53.999999999999972</c:v>
                </c:pt>
                <c:pt idx="1483">
                  <c:v>53.999999999999972</c:v>
                </c:pt>
                <c:pt idx="1484">
                  <c:v>70.43963254593173</c:v>
                </c:pt>
                <c:pt idx="1485">
                  <c:v>70.43963254593173</c:v>
                </c:pt>
                <c:pt idx="1486">
                  <c:v>53.999999999999972</c:v>
                </c:pt>
                <c:pt idx="1488">
                  <c:v>0</c:v>
                </c:pt>
                <c:pt idx="1489">
                  <c:v>0</c:v>
                </c:pt>
                <c:pt idx="1490">
                  <c:v>16.439632545931762</c:v>
                </c:pt>
                <c:pt idx="1491">
                  <c:v>16.439632545931762</c:v>
                </c:pt>
                <c:pt idx="1492">
                  <c:v>0</c:v>
                </c:pt>
                <c:pt idx="1494">
                  <c:v>0</c:v>
                </c:pt>
                <c:pt idx="1495">
                  <c:v>0</c:v>
                </c:pt>
                <c:pt idx="1496">
                  <c:v>16.439632545931762</c:v>
                </c:pt>
                <c:pt idx="1497">
                  <c:v>16.439632545931762</c:v>
                </c:pt>
                <c:pt idx="1498">
                  <c:v>0</c:v>
                </c:pt>
                <c:pt idx="1500">
                  <c:v>17.999999999999989</c:v>
                </c:pt>
                <c:pt idx="1501">
                  <c:v>17.999999999999989</c:v>
                </c:pt>
                <c:pt idx="1502">
                  <c:v>34.439632545931751</c:v>
                </c:pt>
                <c:pt idx="1503">
                  <c:v>34.439632545931751</c:v>
                </c:pt>
                <c:pt idx="1504">
                  <c:v>17.999999999999989</c:v>
                </c:pt>
                <c:pt idx="1506">
                  <c:v>17.999999999999989</c:v>
                </c:pt>
                <c:pt idx="1507">
                  <c:v>17.999999999999989</c:v>
                </c:pt>
                <c:pt idx="1508">
                  <c:v>34.439632545931751</c:v>
                </c:pt>
                <c:pt idx="1509">
                  <c:v>34.439632545931751</c:v>
                </c:pt>
                <c:pt idx="1510">
                  <c:v>17.999999999999989</c:v>
                </c:pt>
                <c:pt idx="1512">
                  <c:v>35.999999999999979</c:v>
                </c:pt>
                <c:pt idx="1513">
                  <c:v>35.999999999999979</c:v>
                </c:pt>
                <c:pt idx="1514">
                  <c:v>52.439632545931744</c:v>
                </c:pt>
                <c:pt idx="1515">
                  <c:v>52.439632545931744</c:v>
                </c:pt>
                <c:pt idx="1516">
                  <c:v>35.999999999999979</c:v>
                </c:pt>
                <c:pt idx="1518">
                  <c:v>35.999999999999979</c:v>
                </c:pt>
                <c:pt idx="1519">
                  <c:v>35.999999999999979</c:v>
                </c:pt>
                <c:pt idx="1520">
                  <c:v>52.439632545931744</c:v>
                </c:pt>
                <c:pt idx="1521">
                  <c:v>52.439632545931744</c:v>
                </c:pt>
                <c:pt idx="1522">
                  <c:v>35.999999999999979</c:v>
                </c:pt>
                <c:pt idx="1524">
                  <c:v>53.999999999999972</c:v>
                </c:pt>
                <c:pt idx="1525">
                  <c:v>53.999999999999972</c:v>
                </c:pt>
                <c:pt idx="1526">
                  <c:v>70.43963254593173</c:v>
                </c:pt>
                <c:pt idx="1527">
                  <c:v>70.43963254593173</c:v>
                </c:pt>
                <c:pt idx="1528">
                  <c:v>53.999999999999972</c:v>
                </c:pt>
                <c:pt idx="1530">
                  <c:v>53.999999999999972</c:v>
                </c:pt>
                <c:pt idx="1531">
                  <c:v>53.999999999999972</c:v>
                </c:pt>
                <c:pt idx="1532">
                  <c:v>70.43963254593173</c:v>
                </c:pt>
                <c:pt idx="1533">
                  <c:v>70.43963254593173</c:v>
                </c:pt>
                <c:pt idx="1534">
                  <c:v>53.999999999999972</c:v>
                </c:pt>
                <c:pt idx="1536">
                  <c:v>0</c:v>
                </c:pt>
                <c:pt idx="1537">
                  <c:v>0</c:v>
                </c:pt>
                <c:pt idx="1538">
                  <c:v>16.439632545931762</c:v>
                </c:pt>
                <c:pt idx="1539">
                  <c:v>16.439632545931762</c:v>
                </c:pt>
                <c:pt idx="1540">
                  <c:v>0</c:v>
                </c:pt>
                <c:pt idx="1542">
                  <c:v>0</c:v>
                </c:pt>
                <c:pt idx="1543">
                  <c:v>0</c:v>
                </c:pt>
                <c:pt idx="1544">
                  <c:v>16.439632545931762</c:v>
                </c:pt>
                <c:pt idx="1545">
                  <c:v>16.439632545931762</c:v>
                </c:pt>
                <c:pt idx="1546">
                  <c:v>0</c:v>
                </c:pt>
                <c:pt idx="1548">
                  <c:v>17.999999999999989</c:v>
                </c:pt>
                <c:pt idx="1549">
                  <c:v>17.999999999999989</c:v>
                </c:pt>
                <c:pt idx="1550">
                  <c:v>34.439632545931751</c:v>
                </c:pt>
                <c:pt idx="1551">
                  <c:v>34.439632545931751</c:v>
                </c:pt>
                <c:pt idx="1552">
                  <c:v>17.999999999999989</c:v>
                </c:pt>
                <c:pt idx="1554">
                  <c:v>17.999999999999989</c:v>
                </c:pt>
                <c:pt idx="1555">
                  <c:v>17.999999999999989</c:v>
                </c:pt>
                <c:pt idx="1556">
                  <c:v>34.439632545931751</c:v>
                </c:pt>
                <c:pt idx="1557">
                  <c:v>34.439632545931751</c:v>
                </c:pt>
                <c:pt idx="1558">
                  <c:v>17.999999999999989</c:v>
                </c:pt>
                <c:pt idx="1560">
                  <c:v>35.999999999999979</c:v>
                </c:pt>
                <c:pt idx="1561">
                  <c:v>35.999999999999979</c:v>
                </c:pt>
                <c:pt idx="1562">
                  <c:v>52.439632545931744</c:v>
                </c:pt>
                <c:pt idx="1563">
                  <c:v>52.439632545931744</c:v>
                </c:pt>
                <c:pt idx="1564">
                  <c:v>35.999999999999979</c:v>
                </c:pt>
                <c:pt idx="1566">
                  <c:v>35.999999999999979</c:v>
                </c:pt>
                <c:pt idx="1567">
                  <c:v>35.999999999999979</c:v>
                </c:pt>
                <c:pt idx="1568">
                  <c:v>52.439632545931744</c:v>
                </c:pt>
                <c:pt idx="1569">
                  <c:v>52.439632545931744</c:v>
                </c:pt>
                <c:pt idx="1570">
                  <c:v>35.999999999999979</c:v>
                </c:pt>
                <c:pt idx="1572">
                  <c:v>53.999999999999972</c:v>
                </c:pt>
                <c:pt idx="1573">
                  <c:v>53.999999999999972</c:v>
                </c:pt>
                <c:pt idx="1574">
                  <c:v>70.43963254593173</c:v>
                </c:pt>
                <c:pt idx="1575">
                  <c:v>70.43963254593173</c:v>
                </c:pt>
                <c:pt idx="1576">
                  <c:v>53.999999999999972</c:v>
                </c:pt>
                <c:pt idx="1578">
                  <c:v>53.999999999999972</c:v>
                </c:pt>
                <c:pt idx="1579">
                  <c:v>53.999999999999972</c:v>
                </c:pt>
                <c:pt idx="1580">
                  <c:v>70.43963254593173</c:v>
                </c:pt>
                <c:pt idx="1581">
                  <c:v>70.43963254593173</c:v>
                </c:pt>
                <c:pt idx="1582">
                  <c:v>53.999999999999972</c:v>
                </c:pt>
                <c:pt idx="1584">
                  <c:v>0</c:v>
                </c:pt>
                <c:pt idx="1585">
                  <c:v>0</c:v>
                </c:pt>
                <c:pt idx="1586">
                  <c:v>16.439632545931762</c:v>
                </c:pt>
                <c:pt idx="1587">
                  <c:v>16.439632545931762</c:v>
                </c:pt>
                <c:pt idx="1588">
                  <c:v>0</c:v>
                </c:pt>
                <c:pt idx="1590">
                  <c:v>0</c:v>
                </c:pt>
                <c:pt idx="1591">
                  <c:v>0</c:v>
                </c:pt>
                <c:pt idx="1592">
                  <c:v>16.439632545931762</c:v>
                </c:pt>
                <c:pt idx="1593">
                  <c:v>16.439632545931762</c:v>
                </c:pt>
                <c:pt idx="1594">
                  <c:v>0</c:v>
                </c:pt>
                <c:pt idx="1596">
                  <c:v>17.999999999999989</c:v>
                </c:pt>
                <c:pt idx="1597">
                  <c:v>17.999999999999989</c:v>
                </c:pt>
                <c:pt idx="1598">
                  <c:v>34.439632545931751</c:v>
                </c:pt>
                <c:pt idx="1599">
                  <c:v>34.439632545931751</c:v>
                </c:pt>
                <c:pt idx="1600">
                  <c:v>17.999999999999989</c:v>
                </c:pt>
                <c:pt idx="1602">
                  <c:v>17.999999999999989</c:v>
                </c:pt>
                <c:pt idx="1603">
                  <c:v>17.999999999999989</c:v>
                </c:pt>
                <c:pt idx="1604">
                  <c:v>34.439632545931751</c:v>
                </c:pt>
                <c:pt idx="1605">
                  <c:v>34.439632545931751</c:v>
                </c:pt>
                <c:pt idx="1606">
                  <c:v>17.999999999999989</c:v>
                </c:pt>
                <c:pt idx="1608">
                  <c:v>35.999999999999979</c:v>
                </c:pt>
                <c:pt idx="1609">
                  <c:v>35.999999999999979</c:v>
                </c:pt>
                <c:pt idx="1610">
                  <c:v>52.439632545931744</c:v>
                </c:pt>
                <c:pt idx="1611">
                  <c:v>52.439632545931744</c:v>
                </c:pt>
                <c:pt idx="1612">
                  <c:v>35.999999999999979</c:v>
                </c:pt>
                <c:pt idx="1614">
                  <c:v>35.999999999999979</c:v>
                </c:pt>
                <c:pt idx="1615">
                  <c:v>35.999999999999979</c:v>
                </c:pt>
                <c:pt idx="1616">
                  <c:v>52.439632545931744</c:v>
                </c:pt>
                <c:pt idx="1617">
                  <c:v>52.439632545931744</c:v>
                </c:pt>
                <c:pt idx="1618">
                  <c:v>35.999999999999979</c:v>
                </c:pt>
                <c:pt idx="1620">
                  <c:v>53.999999999999972</c:v>
                </c:pt>
                <c:pt idx="1621">
                  <c:v>53.999999999999972</c:v>
                </c:pt>
                <c:pt idx="1622">
                  <c:v>70.43963254593173</c:v>
                </c:pt>
                <c:pt idx="1623">
                  <c:v>70.43963254593173</c:v>
                </c:pt>
                <c:pt idx="1624">
                  <c:v>53.999999999999972</c:v>
                </c:pt>
                <c:pt idx="1626">
                  <c:v>53.999999999999972</c:v>
                </c:pt>
                <c:pt idx="1627">
                  <c:v>53.999999999999972</c:v>
                </c:pt>
                <c:pt idx="1628">
                  <c:v>70.43963254593173</c:v>
                </c:pt>
                <c:pt idx="1629">
                  <c:v>70.43963254593173</c:v>
                </c:pt>
                <c:pt idx="1630">
                  <c:v>53.999999999999972</c:v>
                </c:pt>
                <c:pt idx="1632">
                  <c:v>0</c:v>
                </c:pt>
                <c:pt idx="1633">
                  <c:v>0</c:v>
                </c:pt>
                <c:pt idx="1634">
                  <c:v>16.439632545931762</c:v>
                </c:pt>
                <c:pt idx="1635">
                  <c:v>16.439632545931762</c:v>
                </c:pt>
                <c:pt idx="1636">
                  <c:v>0</c:v>
                </c:pt>
                <c:pt idx="1638">
                  <c:v>0</c:v>
                </c:pt>
                <c:pt idx="1639">
                  <c:v>0</c:v>
                </c:pt>
                <c:pt idx="1640">
                  <c:v>16.439632545931762</c:v>
                </c:pt>
                <c:pt idx="1641">
                  <c:v>16.439632545931762</c:v>
                </c:pt>
                <c:pt idx="1642">
                  <c:v>0</c:v>
                </c:pt>
                <c:pt idx="1644">
                  <c:v>17.999999999999989</c:v>
                </c:pt>
                <c:pt idx="1645">
                  <c:v>17.999999999999989</c:v>
                </c:pt>
                <c:pt idx="1646">
                  <c:v>34.439632545931751</c:v>
                </c:pt>
                <c:pt idx="1647">
                  <c:v>34.439632545931751</c:v>
                </c:pt>
                <c:pt idx="1648">
                  <c:v>17.999999999999989</c:v>
                </c:pt>
                <c:pt idx="1650">
                  <c:v>17.999999999999989</c:v>
                </c:pt>
                <c:pt idx="1651">
                  <c:v>17.999999999999989</c:v>
                </c:pt>
                <c:pt idx="1652">
                  <c:v>34.439632545931751</c:v>
                </c:pt>
                <c:pt idx="1653">
                  <c:v>34.439632545931751</c:v>
                </c:pt>
                <c:pt idx="1654">
                  <c:v>17.999999999999989</c:v>
                </c:pt>
                <c:pt idx="1656">
                  <c:v>35.999999999999979</c:v>
                </c:pt>
                <c:pt idx="1657">
                  <c:v>35.999999999999979</c:v>
                </c:pt>
                <c:pt idx="1658">
                  <c:v>52.439632545931744</c:v>
                </c:pt>
                <c:pt idx="1659">
                  <c:v>52.439632545931744</c:v>
                </c:pt>
                <c:pt idx="1660">
                  <c:v>35.999999999999979</c:v>
                </c:pt>
                <c:pt idx="1662">
                  <c:v>35.999999999999979</c:v>
                </c:pt>
                <c:pt idx="1663">
                  <c:v>35.999999999999979</c:v>
                </c:pt>
                <c:pt idx="1664">
                  <c:v>52.439632545931744</c:v>
                </c:pt>
                <c:pt idx="1665">
                  <c:v>52.439632545931744</c:v>
                </c:pt>
                <c:pt idx="1666">
                  <c:v>35.999999999999979</c:v>
                </c:pt>
                <c:pt idx="1668">
                  <c:v>53.999999999999972</c:v>
                </c:pt>
                <c:pt idx="1669">
                  <c:v>53.999999999999972</c:v>
                </c:pt>
                <c:pt idx="1670">
                  <c:v>70.43963254593173</c:v>
                </c:pt>
                <c:pt idx="1671">
                  <c:v>70.43963254593173</c:v>
                </c:pt>
                <c:pt idx="1672">
                  <c:v>53.999999999999972</c:v>
                </c:pt>
                <c:pt idx="1674">
                  <c:v>53.999999999999972</c:v>
                </c:pt>
                <c:pt idx="1675">
                  <c:v>53.999999999999972</c:v>
                </c:pt>
                <c:pt idx="1676">
                  <c:v>70.43963254593173</c:v>
                </c:pt>
                <c:pt idx="1677">
                  <c:v>70.43963254593173</c:v>
                </c:pt>
                <c:pt idx="1678">
                  <c:v>53.999999999999972</c:v>
                </c:pt>
                <c:pt idx="1680">
                  <c:v>0</c:v>
                </c:pt>
                <c:pt idx="1681">
                  <c:v>0</c:v>
                </c:pt>
                <c:pt idx="1682">
                  <c:v>16.439632545931762</c:v>
                </c:pt>
                <c:pt idx="1683">
                  <c:v>16.439632545931762</c:v>
                </c:pt>
                <c:pt idx="1684">
                  <c:v>0</c:v>
                </c:pt>
                <c:pt idx="1686">
                  <c:v>0</c:v>
                </c:pt>
                <c:pt idx="1687">
                  <c:v>0</c:v>
                </c:pt>
                <c:pt idx="1688">
                  <c:v>16.439632545931762</c:v>
                </c:pt>
                <c:pt idx="1689">
                  <c:v>16.439632545931762</c:v>
                </c:pt>
                <c:pt idx="1690">
                  <c:v>0</c:v>
                </c:pt>
                <c:pt idx="1692">
                  <c:v>17.999999999999989</c:v>
                </c:pt>
                <c:pt idx="1693">
                  <c:v>17.999999999999989</c:v>
                </c:pt>
                <c:pt idx="1694">
                  <c:v>34.439632545931751</c:v>
                </c:pt>
                <c:pt idx="1695">
                  <c:v>34.439632545931751</c:v>
                </c:pt>
                <c:pt idx="1696">
                  <c:v>17.999999999999989</c:v>
                </c:pt>
                <c:pt idx="1698">
                  <c:v>17.999999999999989</c:v>
                </c:pt>
                <c:pt idx="1699">
                  <c:v>17.999999999999989</c:v>
                </c:pt>
                <c:pt idx="1700">
                  <c:v>34.439632545931751</c:v>
                </c:pt>
                <c:pt idx="1701">
                  <c:v>34.439632545931751</c:v>
                </c:pt>
                <c:pt idx="1702">
                  <c:v>17.999999999999989</c:v>
                </c:pt>
                <c:pt idx="1704">
                  <c:v>35.999999999999979</c:v>
                </c:pt>
                <c:pt idx="1705">
                  <c:v>35.999999999999979</c:v>
                </c:pt>
                <c:pt idx="1706">
                  <c:v>52.439632545931744</c:v>
                </c:pt>
                <c:pt idx="1707">
                  <c:v>52.439632545931744</c:v>
                </c:pt>
                <c:pt idx="1708">
                  <c:v>35.999999999999979</c:v>
                </c:pt>
                <c:pt idx="1710">
                  <c:v>35.999999999999979</c:v>
                </c:pt>
                <c:pt idx="1711">
                  <c:v>35.999999999999979</c:v>
                </c:pt>
                <c:pt idx="1712">
                  <c:v>52.439632545931744</c:v>
                </c:pt>
                <c:pt idx="1713">
                  <c:v>52.439632545931744</c:v>
                </c:pt>
                <c:pt idx="1714">
                  <c:v>35.999999999999979</c:v>
                </c:pt>
                <c:pt idx="1716">
                  <c:v>53.999999999999972</c:v>
                </c:pt>
                <c:pt idx="1717">
                  <c:v>53.999999999999972</c:v>
                </c:pt>
                <c:pt idx="1718">
                  <c:v>70.43963254593173</c:v>
                </c:pt>
                <c:pt idx="1719">
                  <c:v>70.43963254593173</c:v>
                </c:pt>
                <c:pt idx="1720">
                  <c:v>53.999999999999972</c:v>
                </c:pt>
                <c:pt idx="1722">
                  <c:v>53.999999999999972</c:v>
                </c:pt>
                <c:pt idx="1723">
                  <c:v>53.999999999999972</c:v>
                </c:pt>
                <c:pt idx="1724">
                  <c:v>70.43963254593173</c:v>
                </c:pt>
                <c:pt idx="1725">
                  <c:v>70.43963254593173</c:v>
                </c:pt>
                <c:pt idx="1726">
                  <c:v>53.999999999999972</c:v>
                </c:pt>
                <c:pt idx="1728">
                  <c:v>0</c:v>
                </c:pt>
                <c:pt idx="1729">
                  <c:v>0</c:v>
                </c:pt>
                <c:pt idx="1730">
                  <c:v>16.439632545931762</c:v>
                </c:pt>
                <c:pt idx="1731">
                  <c:v>16.439632545931762</c:v>
                </c:pt>
                <c:pt idx="1732">
                  <c:v>0</c:v>
                </c:pt>
                <c:pt idx="1734">
                  <c:v>0</c:v>
                </c:pt>
                <c:pt idx="1735">
                  <c:v>0</c:v>
                </c:pt>
                <c:pt idx="1736">
                  <c:v>16.439632545931762</c:v>
                </c:pt>
                <c:pt idx="1737">
                  <c:v>16.439632545931762</c:v>
                </c:pt>
                <c:pt idx="1738">
                  <c:v>0</c:v>
                </c:pt>
                <c:pt idx="1740">
                  <c:v>17.999999999999989</c:v>
                </c:pt>
                <c:pt idx="1741">
                  <c:v>17.999999999999989</c:v>
                </c:pt>
                <c:pt idx="1742">
                  <c:v>34.439632545931751</c:v>
                </c:pt>
                <c:pt idx="1743">
                  <c:v>34.439632545931751</c:v>
                </c:pt>
                <c:pt idx="1744">
                  <c:v>17.999999999999989</c:v>
                </c:pt>
                <c:pt idx="1746">
                  <c:v>17.999999999999989</c:v>
                </c:pt>
                <c:pt idx="1747">
                  <c:v>17.999999999999989</c:v>
                </c:pt>
                <c:pt idx="1748">
                  <c:v>34.439632545931751</c:v>
                </c:pt>
                <c:pt idx="1749">
                  <c:v>34.439632545931751</c:v>
                </c:pt>
                <c:pt idx="1750">
                  <c:v>17.999999999999989</c:v>
                </c:pt>
                <c:pt idx="1752">
                  <c:v>35.999999999999979</c:v>
                </c:pt>
                <c:pt idx="1753">
                  <c:v>35.999999999999979</c:v>
                </c:pt>
                <c:pt idx="1754">
                  <c:v>52.439632545931744</c:v>
                </c:pt>
                <c:pt idx="1755">
                  <c:v>52.439632545931744</c:v>
                </c:pt>
                <c:pt idx="1756">
                  <c:v>35.999999999999979</c:v>
                </c:pt>
                <c:pt idx="1758">
                  <c:v>35.999999999999979</c:v>
                </c:pt>
                <c:pt idx="1759">
                  <c:v>35.999999999999979</c:v>
                </c:pt>
                <c:pt idx="1760">
                  <c:v>52.439632545931744</c:v>
                </c:pt>
                <c:pt idx="1761">
                  <c:v>52.439632545931744</c:v>
                </c:pt>
                <c:pt idx="1762">
                  <c:v>35.999999999999979</c:v>
                </c:pt>
                <c:pt idx="1764">
                  <c:v>53.999999999999972</c:v>
                </c:pt>
                <c:pt idx="1765">
                  <c:v>53.999999999999972</c:v>
                </c:pt>
                <c:pt idx="1766">
                  <c:v>70.43963254593173</c:v>
                </c:pt>
                <c:pt idx="1767">
                  <c:v>70.43963254593173</c:v>
                </c:pt>
                <c:pt idx="1768">
                  <c:v>53.999999999999972</c:v>
                </c:pt>
                <c:pt idx="1770">
                  <c:v>53.999999999999972</c:v>
                </c:pt>
                <c:pt idx="1771">
                  <c:v>53.999999999999972</c:v>
                </c:pt>
                <c:pt idx="1772">
                  <c:v>70.43963254593173</c:v>
                </c:pt>
                <c:pt idx="1773">
                  <c:v>70.43963254593173</c:v>
                </c:pt>
                <c:pt idx="1774">
                  <c:v>53.999999999999972</c:v>
                </c:pt>
                <c:pt idx="1776">
                  <c:v>0</c:v>
                </c:pt>
                <c:pt idx="1777">
                  <c:v>0</c:v>
                </c:pt>
                <c:pt idx="1778">
                  <c:v>16.439632545931762</c:v>
                </c:pt>
                <c:pt idx="1779">
                  <c:v>16.439632545931762</c:v>
                </c:pt>
                <c:pt idx="1780">
                  <c:v>0</c:v>
                </c:pt>
                <c:pt idx="1782">
                  <c:v>0</c:v>
                </c:pt>
                <c:pt idx="1783">
                  <c:v>0</c:v>
                </c:pt>
                <c:pt idx="1784">
                  <c:v>16.439632545931762</c:v>
                </c:pt>
                <c:pt idx="1785">
                  <c:v>16.439632545931762</c:v>
                </c:pt>
                <c:pt idx="1786">
                  <c:v>0</c:v>
                </c:pt>
                <c:pt idx="1788">
                  <c:v>17.999999999999989</c:v>
                </c:pt>
                <c:pt idx="1789">
                  <c:v>17.999999999999989</c:v>
                </c:pt>
                <c:pt idx="1790">
                  <c:v>34.439632545931751</c:v>
                </c:pt>
                <c:pt idx="1791">
                  <c:v>34.439632545931751</c:v>
                </c:pt>
                <c:pt idx="1792">
                  <c:v>17.999999999999989</c:v>
                </c:pt>
                <c:pt idx="1794">
                  <c:v>17.999999999999989</c:v>
                </c:pt>
                <c:pt idx="1795">
                  <c:v>17.999999999999989</c:v>
                </c:pt>
                <c:pt idx="1796">
                  <c:v>34.439632545931751</c:v>
                </c:pt>
                <c:pt idx="1797">
                  <c:v>34.439632545931751</c:v>
                </c:pt>
                <c:pt idx="1798">
                  <c:v>17.999999999999989</c:v>
                </c:pt>
                <c:pt idx="1800">
                  <c:v>35.999999999999979</c:v>
                </c:pt>
                <c:pt idx="1801">
                  <c:v>35.999999999999979</c:v>
                </c:pt>
                <c:pt idx="1802">
                  <c:v>52.439632545931744</c:v>
                </c:pt>
                <c:pt idx="1803">
                  <c:v>52.439632545931744</c:v>
                </c:pt>
                <c:pt idx="1804">
                  <c:v>35.999999999999979</c:v>
                </c:pt>
                <c:pt idx="1806">
                  <c:v>35.999999999999979</c:v>
                </c:pt>
                <c:pt idx="1807">
                  <c:v>35.999999999999979</c:v>
                </c:pt>
                <c:pt idx="1808">
                  <c:v>52.439632545931744</c:v>
                </c:pt>
                <c:pt idx="1809">
                  <c:v>52.439632545931744</c:v>
                </c:pt>
                <c:pt idx="1810">
                  <c:v>35.999999999999979</c:v>
                </c:pt>
                <c:pt idx="1812">
                  <c:v>53.999999999999972</c:v>
                </c:pt>
                <c:pt idx="1813">
                  <c:v>53.999999999999972</c:v>
                </c:pt>
                <c:pt idx="1814">
                  <c:v>70.43963254593173</c:v>
                </c:pt>
                <c:pt idx="1815">
                  <c:v>70.43963254593173</c:v>
                </c:pt>
                <c:pt idx="1816">
                  <c:v>53.999999999999972</c:v>
                </c:pt>
                <c:pt idx="1818">
                  <c:v>53.999999999999972</c:v>
                </c:pt>
                <c:pt idx="1819">
                  <c:v>53.999999999999972</c:v>
                </c:pt>
                <c:pt idx="1820">
                  <c:v>70.43963254593173</c:v>
                </c:pt>
                <c:pt idx="1821">
                  <c:v>70.43963254593173</c:v>
                </c:pt>
                <c:pt idx="1822">
                  <c:v>53.999999999999972</c:v>
                </c:pt>
                <c:pt idx="1824">
                  <c:v>0</c:v>
                </c:pt>
                <c:pt idx="1825">
                  <c:v>0</c:v>
                </c:pt>
                <c:pt idx="1826">
                  <c:v>16.439632545931762</c:v>
                </c:pt>
                <c:pt idx="1827">
                  <c:v>16.439632545931762</c:v>
                </c:pt>
                <c:pt idx="1828">
                  <c:v>0</c:v>
                </c:pt>
                <c:pt idx="1830">
                  <c:v>0</c:v>
                </c:pt>
                <c:pt idx="1831">
                  <c:v>0</c:v>
                </c:pt>
                <c:pt idx="1832">
                  <c:v>16.439632545931762</c:v>
                </c:pt>
                <c:pt idx="1833">
                  <c:v>16.439632545931762</c:v>
                </c:pt>
                <c:pt idx="1834">
                  <c:v>0</c:v>
                </c:pt>
                <c:pt idx="1836">
                  <c:v>17.999999999999989</c:v>
                </c:pt>
                <c:pt idx="1837">
                  <c:v>17.999999999999989</c:v>
                </c:pt>
                <c:pt idx="1838">
                  <c:v>34.439632545931751</c:v>
                </c:pt>
                <c:pt idx="1839">
                  <c:v>34.439632545931751</c:v>
                </c:pt>
                <c:pt idx="1840">
                  <c:v>17.999999999999989</c:v>
                </c:pt>
                <c:pt idx="1842">
                  <c:v>17.999999999999989</c:v>
                </c:pt>
                <c:pt idx="1843">
                  <c:v>17.999999999999989</c:v>
                </c:pt>
                <c:pt idx="1844">
                  <c:v>34.439632545931751</c:v>
                </c:pt>
                <c:pt idx="1845">
                  <c:v>34.439632545931751</c:v>
                </c:pt>
                <c:pt idx="1846">
                  <c:v>17.999999999999989</c:v>
                </c:pt>
                <c:pt idx="1848">
                  <c:v>35.999999999999979</c:v>
                </c:pt>
                <c:pt idx="1849">
                  <c:v>35.999999999999979</c:v>
                </c:pt>
                <c:pt idx="1850">
                  <c:v>52.439632545931744</c:v>
                </c:pt>
                <c:pt idx="1851">
                  <c:v>52.439632545931744</c:v>
                </c:pt>
                <c:pt idx="1852">
                  <c:v>35.999999999999979</c:v>
                </c:pt>
                <c:pt idx="1854">
                  <c:v>35.999999999999979</c:v>
                </c:pt>
                <c:pt idx="1855">
                  <c:v>35.999999999999979</c:v>
                </c:pt>
                <c:pt idx="1856">
                  <c:v>52.439632545931744</c:v>
                </c:pt>
                <c:pt idx="1857">
                  <c:v>52.439632545931744</c:v>
                </c:pt>
                <c:pt idx="1858">
                  <c:v>35.999999999999979</c:v>
                </c:pt>
                <c:pt idx="1860">
                  <c:v>53.999999999999972</c:v>
                </c:pt>
                <c:pt idx="1861">
                  <c:v>53.999999999999972</c:v>
                </c:pt>
                <c:pt idx="1862">
                  <c:v>70.43963254593173</c:v>
                </c:pt>
                <c:pt idx="1863">
                  <c:v>70.43963254593173</c:v>
                </c:pt>
                <c:pt idx="1864">
                  <c:v>53.999999999999972</c:v>
                </c:pt>
                <c:pt idx="1866">
                  <c:v>53.999999999999972</c:v>
                </c:pt>
                <c:pt idx="1867">
                  <c:v>53.999999999999972</c:v>
                </c:pt>
                <c:pt idx="1868">
                  <c:v>70.43963254593173</c:v>
                </c:pt>
                <c:pt idx="1869">
                  <c:v>70.43963254593173</c:v>
                </c:pt>
                <c:pt idx="1870">
                  <c:v>53.999999999999972</c:v>
                </c:pt>
                <c:pt idx="1872">
                  <c:v>0</c:v>
                </c:pt>
                <c:pt idx="1873">
                  <c:v>0</c:v>
                </c:pt>
                <c:pt idx="1874">
                  <c:v>16.439632545931762</c:v>
                </c:pt>
                <c:pt idx="1875">
                  <c:v>16.439632545931762</c:v>
                </c:pt>
                <c:pt idx="1876">
                  <c:v>0</c:v>
                </c:pt>
                <c:pt idx="1878">
                  <c:v>0</c:v>
                </c:pt>
                <c:pt idx="1879">
                  <c:v>0</c:v>
                </c:pt>
                <c:pt idx="1880">
                  <c:v>16.439632545931762</c:v>
                </c:pt>
                <c:pt idx="1881">
                  <c:v>16.439632545931762</c:v>
                </c:pt>
                <c:pt idx="1882">
                  <c:v>0</c:v>
                </c:pt>
                <c:pt idx="1884">
                  <c:v>17.999999999999989</c:v>
                </c:pt>
                <c:pt idx="1885">
                  <c:v>17.999999999999989</c:v>
                </c:pt>
                <c:pt idx="1886">
                  <c:v>34.439632545931751</c:v>
                </c:pt>
                <c:pt idx="1887">
                  <c:v>34.439632545931751</c:v>
                </c:pt>
                <c:pt idx="1888">
                  <c:v>17.999999999999989</c:v>
                </c:pt>
                <c:pt idx="1890">
                  <c:v>17.999999999999989</c:v>
                </c:pt>
                <c:pt idx="1891">
                  <c:v>17.999999999999989</c:v>
                </c:pt>
                <c:pt idx="1892">
                  <c:v>34.439632545931751</c:v>
                </c:pt>
                <c:pt idx="1893">
                  <c:v>34.439632545931751</c:v>
                </c:pt>
                <c:pt idx="1894">
                  <c:v>17.999999999999989</c:v>
                </c:pt>
                <c:pt idx="1896">
                  <c:v>35.999999999999979</c:v>
                </c:pt>
                <c:pt idx="1897">
                  <c:v>35.999999999999979</c:v>
                </c:pt>
                <c:pt idx="1898">
                  <c:v>52.439632545931744</c:v>
                </c:pt>
                <c:pt idx="1899">
                  <c:v>52.439632545931744</c:v>
                </c:pt>
                <c:pt idx="1900">
                  <c:v>35.999999999999979</c:v>
                </c:pt>
                <c:pt idx="1902">
                  <c:v>35.999999999999979</c:v>
                </c:pt>
                <c:pt idx="1903">
                  <c:v>35.999999999999979</c:v>
                </c:pt>
                <c:pt idx="1904">
                  <c:v>52.439632545931744</c:v>
                </c:pt>
                <c:pt idx="1905">
                  <c:v>52.439632545931744</c:v>
                </c:pt>
                <c:pt idx="1906">
                  <c:v>35.999999999999979</c:v>
                </c:pt>
                <c:pt idx="1908">
                  <c:v>53.999999999999972</c:v>
                </c:pt>
                <c:pt idx="1909">
                  <c:v>53.999999999999972</c:v>
                </c:pt>
                <c:pt idx="1910">
                  <c:v>70.43963254593173</c:v>
                </c:pt>
                <c:pt idx="1911">
                  <c:v>70.43963254593173</c:v>
                </c:pt>
                <c:pt idx="1912">
                  <c:v>53.999999999999972</c:v>
                </c:pt>
                <c:pt idx="1914">
                  <c:v>53.999999999999972</c:v>
                </c:pt>
                <c:pt idx="1915">
                  <c:v>53.999999999999972</c:v>
                </c:pt>
                <c:pt idx="1916">
                  <c:v>70.43963254593173</c:v>
                </c:pt>
                <c:pt idx="1917">
                  <c:v>70.43963254593173</c:v>
                </c:pt>
                <c:pt idx="1918">
                  <c:v>53.999999999999972</c:v>
                </c:pt>
                <c:pt idx="1920">
                  <c:v>0</c:v>
                </c:pt>
                <c:pt idx="1921">
                  <c:v>0</c:v>
                </c:pt>
                <c:pt idx="1922">
                  <c:v>16.439632545931762</c:v>
                </c:pt>
                <c:pt idx="1923">
                  <c:v>16.439632545931762</c:v>
                </c:pt>
                <c:pt idx="1924">
                  <c:v>0</c:v>
                </c:pt>
                <c:pt idx="1926">
                  <c:v>0</c:v>
                </c:pt>
                <c:pt idx="1927">
                  <c:v>0</c:v>
                </c:pt>
                <c:pt idx="1928">
                  <c:v>16.439632545931762</c:v>
                </c:pt>
                <c:pt idx="1929">
                  <c:v>16.439632545931762</c:v>
                </c:pt>
                <c:pt idx="1930">
                  <c:v>0</c:v>
                </c:pt>
                <c:pt idx="1932">
                  <c:v>17.999999999999989</c:v>
                </c:pt>
                <c:pt idx="1933">
                  <c:v>17.999999999999989</c:v>
                </c:pt>
                <c:pt idx="1934">
                  <c:v>34.439632545931751</c:v>
                </c:pt>
                <c:pt idx="1935">
                  <c:v>34.439632545931751</c:v>
                </c:pt>
                <c:pt idx="1936">
                  <c:v>17.999999999999989</c:v>
                </c:pt>
                <c:pt idx="1938">
                  <c:v>17.999999999999989</c:v>
                </c:pt>
                <c:pt idx="1939">
                  <c:v>17.999999999999989</c:v>
                </c:pt>
                <c:pt idx="1940">
                  <c:v>34.439632545931751</c:v>
                </c:pt>
                <c:pt idx="1941">
                  <c:v>34.439632545931751</c:v>
                </c:pt>
                <c:pt idx="1942">
                  <c:v>17.999999999999989</c:v>
                </c:pt>
                <c:pt idx="1944">
                  <c:v>35.999999999999979</c:v>
                </c:pt>
                <c:pt idx="1945">
                  <c:v>35.999999999999979</c:v>
                </c:pt>
                <c:pt idx="1946">
                  <c:v>52.439632545931744</c:v>
                </c:pt>
                <c:pt idx="1947">
                  <c:v>52.439632545931744</c:v>
                </c:pt>
                <c:pt idx="1948">
                  <c:v>35.999999999999979</c:v>
                </c:pt>
                <c:pt idx="1950">
                  <c:v>35.999999999999979</c:v>
                </c:pt>
                <c:pt idx="1951">
                  <c:v>35.999999999999979</c:v>
                </c:pt>
                <c:pt idx="1952">
                  <c:v>52.439632545931744</c:v>
                </c:pt>
                <c:pt idx="1953">
                  <c:v>52.439632545931744</c:v>
                </c:pt>
                <c:pt idx="1954">
                  <c:v>35.999999999999979</c:v>
                </c:pt>
                <c:pt idx="1956">
                  <c:v>53.999999999999972</c:v>
                </c:pt>
                <c:pt idx="1957">
                  <c:v>53.999999999999972</c:v>
                </c:pt>
                <c:pt idx="1958">
                  <c:v>70.43963254593173</c:v>
                </c:pt>
                <c:pt idx="1959">
                  <c:v>70.43963254593173</c:v>
                </c:pt>
                <c:pt idx="1960">
                  <c:v>53.999999999999972</c:v>
                </c:pt>
                <c:pt idx="1962">
                  <c:v>53.999999999999972</c:v>
                </c:pt>
                <c:pt idx="1963">
                  <c:v>53.999999999999972</c:v>
                </c:pt>
                <c:pt idx="1964">
                  <c:v>70.43963254593173</c:v>
                </c:pt>
                <c:pt idx="1965">
                  <c:v>70.43963254593173</c:v>
                </c:pt>
                <c:pt idx="1966">
                  <c:v>53.999999999999972</c:v>
                </c:pt>
                <c:pt idx="1968">
                  <c:v>0</c:v>
                </c:pt>
                <c:pt idx="1969">
                  <c:v>0</c:v>
                </c:pt>
                <c:pt idx="1970">
                  <c:v>16.439632545931762</c:v>
                </c:pt>
                <c:pt idx="1971">
                  <c:v>16.439632545931762</c:v>
                </c:pt>
                <c:pt idx="1972">
                  <c:v>0</c:v>
                </c:pt>
                <c:pt idx="1974">
                  <c:v>0</c:v>
                </c:pt>
                <c:pt idx="1975">
                  <c:v>0</c:v>
                </c:pt>
                <c:pt idx="1976">
                  <c:v>16.439632545931762</c:v>
                </c:pt>
                <c:pt idx="1977">
                  <c:v>16.439632545931762</c:v>
                </c:pt>
                <c:pt idx="1978">
                  <c:v>0</c:v>
                </c:pt>
                <c:pt idx="1980">
                  <c:v>17.999999999999989</c:v>
                </c:pt>
                <c:pt idx="1981">
                  <c:v>17.999999999999989</c:v>
                </c:pt>
                <c:pt idx="1982">
                  <c:v>34.439632545931751</c:v>
                </c:pt>
                <c:pt idx="1983">
                  <c:v>34.439632545931751</c:v>
                </c:pt>
                <c:pt idx="1984">
                  <c:v>17.999999999999989</c:v>
                </c:pt>
                <c:pt idx="1986">
                  <c:v>17.999999999999989</c:v>
                </c:pt>
                <c:pt idx="1987">
                  <c:v>17.999999999999989</c:v>
                </c:pt>
                <c:pt idx="1988">
                  <c:v>34.439632545931751</c:v>
                </c:pt>
                <c:pt idx="1989">
                  <c:v>34.439632545931751</c:v>
                </c:pt>
                <c:pt idx="1990">
                  <c:v>17.999999999999989</c:v>
                </c:pt>
                <c:pt idx="1992">
                  <c:v>35.999999999999979</c:v>
                </c:pt>
                <c:pt idx="1993">
                  <c:v>35.999999999999979</c:v>
                </c:pt>
                <c:pt idx="1994">
                  <c:v>52.439632545931744</c:v>
                </c:pt>
                <c:pt idx="1995">
                  <c:v>52.439632545931744</c:v>
                </c:pt>
                <c:pt idx="1996">
                  <c:v>35.999999999999979</c:v>
                </c:pt>
                <c:pt idx="1998">
                  <c:v>35.999999999999979</c:v>
                </c:pt>
                <c:pt idx="1999">
                  <c:v>35.999999999999979</c:v>
                </c:pt>
                <c:pt idx="2000">
                  <c:v>52.439632545931744</c:v>
                </c:pt>
                <c:pt idx="2001">
                  <c:v>52.439632545931744</c:v>
                </c:pt>
                <c:pt idx="2002">
                  <c:v>35.999999999999979</c:v>
                </c:pt>
                <c:pt idx="2004">
                  <c:v>53.999999999999972</c:v>
                </c:pt>
                <c:pt idx="2005">
                  <c:v>53.999999999999972</c:v>
                </c:pt>
                <c:pt idx="2006">
                  <c:v>70.43963254593173</c:v>
                </c:pt>
                <c:pt idx="2007">
                  <c:v>70.43963254593173</c:v>
                </c:pt>
                <c:pt idx="2008">
                  <c:v>53.999999999999972</c:v>
                </c:pt>
                <c:pt idx="2010">
                  <c:v>53.999999999999972</c:v>
                </c:pt>
                <c:pt idx="2011">
                  <c:v>53.999999999999972</c:v>
                </c:pt>
                <c:pt idx="2012">
                  <c:v>70.43963254593173</c:v>
                </c:pt>
                <c:pt idx="2013">
                  <c:v>70.43963254593173</c:v>
                </c:pt>
                <c:pt idx="2014">
                  <c:v>53.999999999999972</c:v>
                </c:pt>
                <c:pt idx="2016">
                  <c:v>0</c:v>
                </c:pt>
                <c:pt idx="2017">
                  <c:v>0</c:v>
                </c:pt>
                <c:pt idx="2018">
                  <c:v>16.439632545931762</c:v>
                </c:pt>
                <c:pt idx="2019">
                  <c:v>16.439632545931762</c:v>
                </c:pt>
                <c:pt idx="2020">
                  <c:v>0</c:v>
                </c:pt>
                <c:pt idx="2022">
                  <c:v>0</c:v>
                </c:pt>
                <c:pt idx="2023">
                  <c:v>0</c:v>
                </c:pt>
                <c:pt idx="2024">
                  <c:v>16.439632545931762</c:v>
                </c:pt>
                <c:pt idx="2025">
                  <c:v>16.439632545931762</c:v>
                </c:pt>
                <c:pt idx="2026">
                  <c:v>0</c:v>
                </c:pt>
                <c:pt idx="2028">
                  <c:v>17.999999999999989</c:v>
                </c:pt>
                <c:pt idx="2029">
                  <c:v>17.999999999999989</c:v>
                </c:pt>
                <c:pt idx="2030">
                  <c:v>34.439632545931751</c:v>
                </c:pt>
                <c:pt idx="2031">
                  <c:v>34.439632545931751</c:v>
                </c:pt>
                <c:pt idx="2032">
                  <c:v>17.999999999999989</c:v>
                </c:pt>
                <c:pt idx="2034">
                  <c:v>17.999999999999989</c:v>
                </c:pt>
                <c:pt idx="2035">
                  <c:v>17.999999999999989</c:v>
                </c:pt>
                <c:pt idx="2036">
                  <c:v>34.439632545931751</c:v>
                </c:pt>
                <c:pt idx="2037">
                  <c:v>34.439632545931751</c:v>
                </c:pt>
                <c:pt idx="2038">
                  <c:v>17.999999999999989</c:v>
                </c:pt>
                <c:pt idx="2040">
                  <c:v>35.999999999999979</c:v>
                </c:pt>
                <c:pt idx="2041">
                  <c:v>35.999999999999979</c:v>
                </c:pt>
                <c:pt idx="2042">
                  <c:v>52.439632545931744</c:v>
                </c:pt>
                <c:pt idx="2043">
                  <c:v>52.439632545931744</c:v>
                </c:pt>
                <c:pt idx="2044">
                  <c:v>35.999999999999979</c:v>
                </c:pt>
                <c:pt idx="2046">
                  <c:v>35.999999999999979</c:v>
                </c:pt>
                <c:pt idx="2047">
                  <c:v>35.999999999999979</c:v>
                </c:pt>
                <c:pt idx="2048">
                  <c:v>52.439632545931744</c:v>
                </c:pt>
                <c:pt idx="2049">
                  <c:v>52.439632545931744</c:v>
                </c:pt>
                <c:pt idx="2050">
                  <c:v>35.999999999999979</c:v>
                </c:pt>
                <c:pt idx="2052">
                  <c:v>53.999999999999972</c:v>
                </c:pt>
                <c:pt idx="2053">
                  <c:v>53.999999999999972</c:v>
                </c:pt>
                <c:pt idx="2054">
                  <c:v>70.43963254593173</c:v>
                </c:pt>
                <c:pt idx="2055">
                  <c:v>70.43963254593173</c:v>
                </c:pt>
                <c:pt idx="2056">
                  <c:v>53.999999999999972</c:v>
                </c:pt>
                <c:pt idx="2058">
                  <c:v>53.999999999999972</c:v>
                </c:pt>
                <c:pt idx="2059">
                  <c:v>53.999999999999972</c:v>
                </c:pt>
                <c:pt idx="2060">
                  <c:v>70.43963254593173</c:v>
                </c:pt>
                <c:pt idx="2061">
                  <c:v>70.43963254593173</c:v>
                </c:pt>
                <c:pt idx="2062">
                  <c:v>53.999999999999972</c:v>
                </c:pt>
                <c:pt idx="2064">
                  <c:v>0</c:v>
                </c:pt>
                <c:pt idx="2065">
                  <c:v>0</c:v>
                </c:pt>
                <c:pt idx="2066">
                  <c:v>16.439632545931762</c:v>
                </c:pt>
                <c:pt idx="2067">
                  <c:v>16.439632545931762</c:v>
                </c:pt>
                <c:pt idx="2068">
                  <c:v>0</c:v>
                </c:pt>
                <c:pt idx="2070">
                  <c:v>0</c:v>
                </c:pt>
                <c:pt idx="2071">
                  <c:v>0</c:v>
                </c:pt>
                <c:pt idx="2072">
                  <c:v>16.439632545931762</c:v>
                </c:pt>
                <c:pt idx="2073">
                  <c:v>16.439632545931762</c:v>
                </c:pt>
                <c:pt idx="2074">
                  <c:v>0</c:v>
                </c:pt>
                <c:pt idx="2076">
                  <c:v>17.999999999999989</c:v>
                </c:pt>
                <c:pt idx="2077">
                  <c:v>17.999999999999989</c:v>
                </c:pt>
                <c:pt idx="2078">
                  <c:v>34.439632545931751</c:v>
                </c:pt>
                <c:pt idx="2079">
                  <c:v>34.439632545931751</c:v>
                </c:pt>
                <c:pt idx="2080">
                  <c:v>17.999999999999989</c:v>
                </c:pt>
                <c:pt idx="2082">
                  <c:v>17.999999999999989</c:v>
                </c:pt>
                <c:pt idx="2083">
                  <c:v>17.999999999999989</c:v>
                </c:pt>
                <c:pt idx="2084">
                  <c:v>34.439632545931751</c:v>
                </c:pt>
                <c:pt idx="2085">
                  <c:v>34.439632545931751</c:v>
                </c:pt>
                <c:pt idx="2086">
                  <c:v>17.999999999999989</c:v>
                </c:pt>
                <c:pt idx="2088">
                  <c:v>35.999999999999979</c:v>
                </c:pt>
                <c:pt idx="2089">
                  <c:v>35.999999999999979</c:v>
                </c:pt>
                <c:pt idx="2090">
                  <c:v>52.439632545931744</c:v>
                </c:pt>
                <c:pt idx="2091">
                  <c:v>52.439632545931744</c:v>
                </c:pt>
                <c:pt idx="2092">
                  <c:v>35.999999999999979</c:v>
                </c:pt>
                <c:pt idx="2094">
                  <c:v>35.999999999999979</c:v>
                </c:pt>
                <c:pt idx="2095">
                  <c:v>35.999999999999979</c:v>
                </c:pt>
                <c:pt idx="2096">
                  <c:v>52.439632545931744</c:v>
                </c:pt>
                <c:pt idx="2097">
                  <c:v>52.439632545931744</c:v>
                </c:pt>
                <c:pt idx="2098">
                  <c:v>35.999999999999979</c:v>
                </c:pt>
                <c:pt idx="2100">
                  <c:v>53.999999999999972</c:v>
                </c:pt>
                <c:pt idx="2101">
                  <c:v>53.999999999999972</c:v>
                </c:pt>
                <c:pt idx="2102">
                  <c:v>70.43963254593173</c:v>
                </c:pt>
                <c:pt idx="2103">
                  <c:v>70.43963254593173</c:v>
                </c:pt>
                <c:pt idx="2104">
                  <c:v>53.999999999999972</c:v>
                </c:pt>
                <c:pt idx="2106">
                  <c:v>53.999999999999972</c:v>
                </c:pt>
                <c:pt idx="2107">
                  <c:v>53.999999999999972</c:v>
                </c:pt>
                <c:pt idx="2108">
                  <c:v>70.43963254593173</c:v>
                </c:pt>
                <c:pt idx="2109">
                  <c:v>70.43963254593173</c:v>
                </c:pt>
                <c:pt idx="2110">
                  <c:v>53.999999999999972</c:v>
                </c:pt>
                <c:pt idx="2112">
                  <c:v>0</c:v>
                </c:pt>
                <c:pt idx="2113">
                  <c:v>0</c:v>
                </c:pt>
                <c:pt idx="2114">
                  <c:v>16.439632545931762</c:v>
                </c:pt>
                <c:pt idx="2115">
                  <c:v>16.439632545931762</c:v>
                </c:pt>
                <c:pt idx="2116">
                  <c:v>0</c:v>
                </c:pt>
                <c:pt idx="2118">
                  <c:v>0</c:v>
                </c:pt>
                <c:pt idx="2119">
                  <c:v>0</c:v>
                </c:pt>
                <c:pt idx="2120">
                  <c:v>16.439632545931762</c:v>
                </c:pt>
                <c:pt idx="2121">
                  <c:v>16.439632545931762</c:v>
                </c:pt>
                <c:pt idx="2122">
                  <c:v>0</c:v>
                </c:pt>
                <c:pt idx="2124">
                  <c:v>17.999999999999989</c:v>
                </c:pt>
                <c:pt idx="2125">
                  <c:v>17.999999999999989</c:v>
                </c:pt>
                <c:pt idx="2126">
                  <c:v>34.439632545931751</c:v>
                </c:pt>
                <c:pt idx="2127">
                  <c:v>34.439632545931751</c:v>
                </c:pt>
                <c:pt idx="2128">
                  <c:v>17.999999999999989</c:v>
                </c:pt>
                <c:pt idx="2130">
                  <c:v>17.999999999999989</c:v>
                </c:pt>
                <c:pt idx="2131">
                  <c:v>17.999999999999989</c:v>
                </c:pt>
                <c:pt idx="2132">
                  <c:v>34.439632545931751</c:v>
                </c:pt>
                <c:pt idx="2133">
                  <c:v>34.439632545931751</c:v>
                </c:pt>
                <c:pt idx="2134">
                  <c:v>17.999999999999989</c:v>
                </c:pt>
                <c:pt idx="2136">
                  <c:v>35.999999999999979</c:v>
                </c:pt>
                <c:pt idx="2137">
                  <c:v>35.999999999999979</c:v>
                </c:pt>
                <c:pt idx="2138">
                  <c:v>52.439632545931744</c:v>
                </c:pt>
                <c:pt idx="2139">
                  <c:v>52.439632545931744</c:v>
                </c:pt>
                <c:pt idx="2140">
                  <c:v>35.999999999999979</c:v>
                </c:pt>
                <c:pt idx="2142">
                  <c:v>35.999999999999979</c:v>
                </c:pt>
                <c:pt idx="2143">
                  <c:v>35.999999999999979</c:v>
                </c:pt>
                <c:pt idx="2144">
                  <c:v>52.439632545931744</c:v>
                </c:pt>
                <c:pt idx="2145">
                  <c:v>52.439632545931744</c:v>
                </c:pt>
                <c:pt idx="2146">
                  <c:v>35.999999999999979</c:v>
                </c:pt>
                <c:pt idx="2148">
                  <c:v>53.999999999999972</c:v>
                </c:pt>
                <c:pt idx="2149">
                  <c:v>53.999999999999972</c:v>
                </c:pt>
                <c:pt idx="2150">
                  <c:v>70.43963254593173</c:v>
                </c:pt>
                <c:pt idx="2151">
                  <c:v>70.43963254593173</c:v>
                </c:pt>
                <c:pt idx="2152">
                  <c:v>53.999999999999972</c:v>
                </c:pt>
                <c:pt idx="2154">
                  <c:v>53.999999999999972</c:v>
                </c:pt>
                <c:pt idx="2155">
                  <c:v>53.999999999999972</c:v>
                </c:pt>
                <c:pt idx="2156">
                  <c:v>70.43963254593173</c:v>
                </c:pt>
                <c:pt idx="2157">
                  <c:v>70.43963254593173</c:v>
                </c:pt>
                <c:pt idx="2158">
                  <c:v>53.999999999999972</c:v>
                </c:pt>
              </c:numCache>
            </c:numRef>
          </c:yVal>
        </c:ser>
        <c:axId val="122820096"/>
        <c:axId val="122821632"/>
      </c:scatterChart>
      <c:valAx>
        <c:axId val="122820096"/>
        <c:scaling>
          <c:orientation val="maxMin"/>
        </c:scaling>
        <c:axPos val="t"/>
        <c:majorGridlines>
          <c:spPr>
            <a:ln>
              <a:solidFill>
                <a:srgbClr val="C0C0C0"/>
              </a:solidFill>
            </a:ln>
          </c:spPr>
        </c:majorGridlines>
        <c:numFmt formatCode="0" sourceLinked="0"/>
        <c:majorTickMark val="none"/>
        <c:minorTickMark val="in"/>
        <c:tickLblPos val="nextTo"/>
        <c:crossAx val="122821632"/>
        <c:crosses val="max"/>
        <c:crossBetween val="midCat"/>
        <c:majorUnit val="5"/>
        <c:minorUnit val="2"/>
      </c:valAx>
      <c:valAx>
        <c:axId val="122821632"/>
        <c:scaling>
          <c:orientation val="minMax"/>
        </c:scaling>
        <c:axPos val="l"/>
        <c:majorGridlines>
          <c:spPr>
            <a:ln>
              <a:solidFill>
                <a:srgbClr val="C0C0C0"/>
              </a:solidFill>
            </a:ln>
          </c:spPr>
        </c:majorGridlines>
        <c:numFmt formatCode="0" sourceLinked="0"/>
        <c:majorTickMark val="none"/>
        <c:minorTickMark val="in"/>
        <c:tickLblPos val="nextTo"/>
        <c:crossAx val="122820096"/>
        <c:crosses val="max"/>
        <c:crossBetween val="midCat"/>
        <c:majorUnit val="10"/>
        <c:minorUnit val="5"/>
      </c:valAx>
      <c:spPr>
        <a:solidFill>
          <a:srgbClr val="D9FFD9"/>
        </a:solidFill>
      </c:spPr>
    </c:plotArea>
    <c:plotVisOnly val="1"/>
  </c:chart>
  <c:printSettings>
    <c:headerFooter/>
    <c:pageMargins b="0.750000000000004" l="0.70000000000000062" r="0.70000000000000062" t="0.75000000000000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4.3960078422540419E-2"/>
          <c:y val="1.7494579077745723E-2"/>
          <c:w val="0.93574751175904991"/>
          <c:h val="0.77414358179320852"/>
        </c:manualLayout>
      </c:layout>
      <c:scatterChart>
        <c:scatterStyle val="lineMarker"/>
        <c:ser>
          <c:idx val="4"/>
          <c:order val="0"/>
          <c:tx>
            <c:v>Swing</c:v>
          </c:tx>
          <c:spPr>
            <a:ln w="12700">
              <a:solidFill>
                <a:srgbClr val="00DC64"/>
              </a:solidFill>
            </a:ln>
          </c:spPr>
          <c:marker>
            <c:symbol val="none"/>
          </c:marker>
          <c:xVal>
            <c:numRef>
              <c:f>Hook!$AD$3:$AD$75</c:f>
              <c:numCache>
                <c:formatCode>.00\"</c:formatCode>
                <c:ptCount val="73"/>
                <c:pt idx="0">
                  <c:v>-7.0298267141251403</c:v>
                </c:pt>
                <c:pt idx="1">
                  <c:v>-7.1247143423518633</c:v>
                </c:pt>
                <c:pt idx="2">
                  <c:v>-7.2007610547411049</c:v>
                </c:pt>
                <c:pt idx="3">
                  <c:v>-7.2577657499379189</c:v>
                </c:pt>
                <c:pt idx="4">
                  <c:v>-7.2955776821561686</c:v>
                </c:pt>
                <c:pt idx="5">
                  <c:v>-7.3140968598174769</c:v>
                </c:pt>
                <c:pt idx="6">
                  <c:v>-7.3132743099734645</c:v>
                </c:pt>
                <c:pt idx="7">
                  <c:v>-7.2931122078120278</c:v>
                </c:pt>
                <c:pt idx="8">
                  <c:v>-7.2536638709051644</c:v>
                </c:pt>
                <c:pt idx="9">
                  <c:v>-7.195033618213591</c:v>
                </c:pt>
                <c:pt idx="10">
                  <c:v>-7.1173764942209763</c:v>
                </c:pt>
                <c:pt idx="11">
                  <c:v>-7.0208978589273174</c:v>
                </c:pt>
                <c:pt idx="12">
                  <c:v>-6.9058528447856968</c:v>
                </c:pt>
                <c:pt idx="13">
                  <c:v>-6.7725456820185226</c:v>
                </c:pt>
                <c:pt idx="14">
                  <c:v>-6.6213288940974095</c:v>
                </c:pt>
                <c:pt idx="15">
                  <c:v>-6.4526023655142177</c:v>
                </c:pt>
                <c:pt idx="16">
                  <c:v>-6.2668122843084717</c:v>
                </c:pt>
                <c:pt idx="17">
                  <c:v>-6.0644499621475907</c:v>
                </c:pt>
                <c:pt idx="18">
                  <c:v>-5.8460505350801686</c:v>
                </c:pt>
                <c:pt idx="19">
                  <c:v>-5.6121915483980711</c:v>
                </c:pt>
                <c:pt idx="20">
                  <c:v>-5.3634914293496365</c:v>
                </c:pt>
                <c:pt idx="21">
                  <c:v>-5.1006078517427662</c:v>
                </c:pt>
                <c:pt idx="22">
                  <c:v>-4.8242359967626633</c:v>
                </c:pt>
                <c:pt idx="23">
                  <c:v>-4.5351067146033621</c:v>
                </c:pt>
                <c:pt idx="24">
                  <c:v>-4.2339845917745169</c:v>
                </c:pt>
                <c:pt idx="25">
                  <c:v>-3.9216659291943676</c:v>
                </c:pt>
                <c:pt idx="26">
                  <c:v>-3.5989766364156925</c:v>
                </c:pt>
                <c:pt idx="27">
                  <c:v>-3.2667700475533406</c:v>
                </c:pt>
                <c:pt idx="28">
                  <c:v>-2.9259246646890338</c:v>
                </c:pt>
                <c:pt idx="29">
                  <c:v>-2.577341834720845</c:v>
                </c:pt>
                <c:pt idx="30">
                  <c:v>-2.2219433658008239</c:v>
                </c:pt>
                <c:pt idx="31">
                  <c:v>-1.8606690896639646</c:v>
                </c:pt>
                <c:pt idx="32">
                  <c:v>-1.4944743762947854</c:v>
                </c:pt>
                <c:pt idx="33">
                  <c:v>-1.124327607503864</c:v>
                </c:pt>
                <c:pt idx="34">
                  <c:v>-0.75120761609532605</c:v>
                </c:pt>
                <c:pt idx="35">
                  <c:v>-0.37610109739724007</c:v>
                </c:pt>
                <c:pt idx="36">
                  <c:v>-4.4816676901150368E-16</c:v>
                </c:pt>
                <c:pt idx="37">
                  <c:v>0.37610109739723913</c:v>
                </c:pt>
                <c:pt idx="38">
                  <c:v>0.75120761609532671</c:v>
                </c:pt>
                <c:pt idx="39">
                  <c:v>1.1243276075038631</c:v>
                </c:pt>
                <c:pt idx="40">
                  <c:v>1.4944743762947843</c:v>
                </c:pt>
                <c:pt idx="41">
                  <c:v>1.8606690896639653</c:v>
                </c:pt>
                <c:pt idx="42">
                  <c:v>2.2219433658008234</c:v>
                </c:pt>
                <c:pt idx="43">
                  <c:v>2.5773418347208441</c:v>
                </c:pt>
                <c:pt idx="44">
                  <c:v>2.9259246646890347</c:v>
                </c:pt>
                <c:pt idx="45">
                  <c:v>3.2667700475533428</c:v>
                </c:pt>
                <c:pt idx="46">
                  <c:v>3.5989766364156921</c:v>
                </c:pt>
                <c:pt idx="47">
                  <c:v>3.9216659291943685</c:v>
                </c:pt>
                <c:pt idx="48">
                  <c:v>4.2339845917745178</c:v>
                </c:pt>
                <c:pt idx="49">
                  <c:v>4.5351067146033657</c:v>
                </c:pt>
                <c:pt idx="50">
                  <c:v>4.8242359967626678</c:v>
                </c:pt>
                <c:pt idx="51">
                  <c:v>5.1006078517427706</c:v>
                </c:pt>
                <c:pt idx="52">
                  <c:v>5.363491429349641</c:v>
                </c:pt>
                <c:pt idx="53">
                  <c:v>5.6121915483980755</c:v>
                </c:pt>
                <c:pt idx="54">
                  <c:v>5.846050535080173</c:v>
                </c:pt>
                <c:pt idx="55">
                  <c:v>6.064449962147596</c:v>
                </c:pt>
                <c:pt idx="56">
                  <c:v>6.2668122843084761</c:v>
                </c:pt>
                <c:pt idx="57">
                  <c:v>6.4526023655142239</c:v>
                </c:pt>
                <c:pt idx="58">
                  <c:v>6.6213288940974149</c:v>
                </c:pt>
                <c:pt idx="59">
                  <c:v>6.772545682018527</c:v>
                </c:pt>
                <c:pt idx="60">
                  <c:v>6.9058528447857004</c:v>
                </c:pt>
                <c:pt idx="61">
                  <c:v>7.020897858927321</c:v>
                </c:pt>
                <c:pt idx="62">
                  <c:v>7.1173764942209798</c:v>
                </c:pt>
                <c:pt idx="63">
                  <c:v>7.1950336182135937</c:v>
                </c:pt>
                <c:pt idx="64">
                  <c:v>7.2536638709051662</c:v>
                </c:pt>
                <c:pt idx="65">
                  <c:v>7.2931122078120278</c:v>
                </c:pt>
                <c:pt idx="66">
                  <c:v>7.3132743099734654</c:v>
                </c:pt>
                <c:pt idx="67">
                  <c:v>7.3140968598174769</c:v>
                </c:pt>
                <c:pt idx="68">
                  <c:v>7.2955776821561669</c:v>
                </c:pt>
                <c:pt idx="69">
                  <c:v>7.2577657499379162</c:v>
                </c:pt>
                <c:pt idx="70">
                  <c:v>7.2007610547411005</c:v>
                </c:pt>
                <c:pt idx="71">
                  <c:v>7.1247143423518597</c:v>
                </c:pt>
                <c:pt idx="72">
                  <c:v>7.0298267141251403</c:v>
                </c:pt>
              </c:numCache>
            </c:numRef>
          </c:xVal>
          <c:yVal>
            <c:numRef>
              <c:f>Hook!$AE$3:$AE$75</c:f>
              <c:numCache>
                <c:formatCode>.00\"</c:formatCode>
                <c:ptCount val="73"/>
                <c:pt idx="0">
                  <c:v>2.0266167103784181</c:v>
                </c:pt>
                <c:pt idx="1">
                  <c:v>1.6625535965189693</c:v>
                </c:pt>
                <c:pt idx="2">
                  <c:v>1.2940939509696654</c:v>
                </c:pt>
                <c:pt idx="3">
                  <c:v>0.92221214502986271</c:v>
                </c:pt>
                <c:pt idx="4">
                  <c:v>0.54789159971414902</c:v>
                </c:pt>
                <c:pt idx="5">
                  <c:v>0.17212218514947247</c:v>
                </c:pt>
                <c:pt idx="6">
                  <c:v>-0.20410239708205172</c:v>
                </c:pt>
                <c:pt idx="7">
                  <c:v>-0.57978724173240836</c:v>
                </c:pt>
                <c:pt idx="8">
                  <c:v>-0.95393887085997675</c:v>
                </c:pt>
                <c:pt idx="9">
                  <c:v>-1.3255678610273922</c:v>
                </c:pt>
                <c:pt idx="10">
                  <c:v>-1.6936914597774948</c:v>
                </c:pt>
                <c:pt idx="11">
                  <c:v>-2.0573361844682343</c:v>
                </c:pt>
                <c:pt idx="12">
                  <c:v>-2.4155403965940625</c:v>
                </c:pt>
                <c:pt idx="13">
                  <c:v>-2.7673568447861516</c:v>
                </c:pt>
                <c:pt idx="14">
                  <c:v>-3.1118551697666255</c:v>
                </c:pt>
                <c:pt idx="15">
                  <c:v>-3.4481243646325783</c:v>
                </c:pt>
                <c:pt idx="16">
                  <c:v>-3.7752751839638057</c:v>
                </c:pt>
                <c:pt idx="17">
                  <c:v>-4.0924424953834828</c:v>
                </c:pt>
                <c:pt idx="18">
                  <c:v>-4.3987875673532342</c:v>
                </c:pt>
                <c:pt idx="19">
                  <c:v>-4.6935002871526237</c:v>
                </c:pt>
                <c:pt idx="20">
                  <c:v>-4.9758013031777608</c:v>
                </c:pt>
                <c:pt idx="21">
                  <c:v>-5.2449440858938194</c:v>
                </c:pt>
                <c:pt idx="22">
                  <c:v>-5.500216901991398</c:v>
                </c:pt>
                <c:pt idx="23">
                  <c:v>-5.7409446965261735</c:v>
                </c:pt>
                <c:pt idx="24">
                  <c:v>-5.9664908780646337</c:v>
                </c:pt>
                <c:pt idx="25">
                  <c:v>-6.1762590021151622</c:v>
                </c:pt>
                <c:pt idx="26">
                  <c:v>-6.3696943483927457</c:v>
                </c:pt>
                <c:pt idx="27">
                  <c:v>-6.5462853877463099</c:v>
                </c:pt>
                <c:pt idx="28">
                  <c:v>-6.7055651348694596</c:v>
                </c:pt>
                <c:pt idx="29">
                  <c:v>-6.8471123832174898</c:v>
                </c:pt>
                <c:pt idx="30">
                  <c:v>-6.9705528188649577</c:v>
                </c:pt>
                <c:pt idx="31">
                  <c:v>-7.0755600103583021</c:v>
                </c:pt>
                <c:pt idx="32">
                  <c:v>-7.1618562719458989</c:v>
                </c:pt>
                <c:pt idx="33">
                  <c:v>-7.2292133979027851</c:v>
                </c:pt>
                <c:pt idx="34">
                  <c:v>-7.2774532660081626</c:v>
                </c:pt>
                <c:pt idx="35">
                  <c:v>-7.3064483085798324</c:v>
                </c:pt>
                <c:pt idx="36">
                  <c:v>-7.3161218498199236</c:v>
                </c:pt>
                <c:pt idx="37">
                  <c:v>-7.3064483085798324</c:v>
                </c:pt>
                <c:pt idx="38">
                  <c:v>-7.2774532660081626</c:v>
                </c:pt>
                <c:pt idx="39">
                  <c:v>-7.2292133979027851</c:v>
                </c:pt>
                <c:pt idx="40">
                  <c:v>-7.1618562719458989</c:v>
                </c:pt>
                <c:pt idx="41">
                  <c:v>-7.0755600103583021</c:v>
                </c:pt>
                <c:pt idx="42">
                  <c:v>-6.9705528188649577</c:v>
                </c:pt>
                <c:pt idx="43">
                  <c:v>-6.8471123832174907</c:v>
                </c:pt>
                <c:pt idx="44">
                  <c:v>-6.7055651348694587</c:v>
                </c:pt>
                <c:pt idx="45">
                  <c:v>-6.5462853877463081</c:v>
                </c:pt>
                <c:pt idx="46">
                  <c:v>-6.3696943483927466</c:v>
                </c:pt>
                <c:pt idx="47">
                  <c:v>-6.1762590021151613</c:v>
                </c:pt>
                <c:pt idx="48">
                  <c:v>-5.9664908780646329</c:v>
                </c:pt>
                <c:pt idx="49">
                  <c:v>-5.7409446965261708</c:v>
                </c:pt>
                <c:pt idx="50">
                  <c:v>-5.5002169019913936</c:v>
                </c:pt>
                <c:pt idx="51">
                  <c:v>-5.2449440858938141</c:v>
                </c:pt>
                <c:pt idx="52">
                  <c:v>-4.9758013031777537</c:v>
                </c:pt>
                <c:pt idx="53">
                  <c:v>-4.6935002871526192</c:v>
                </c:pt>
                <c:pt idx="54">
                  <c:v>-4.398787567353228</c:v>
                </c:pt>
                <c:pt idx="55">
                  <c:v>-4.0924424953834748</c:v>
                </c:pt>
                <c:pt idx="56">
                  <c:v>-3.7752751839637959</c:v>
                </c:pt>
                <c:pt idx="57">
                  <c:v>-3.4481243646325686</c:v>
                </c:pt>
                <c:pt idx="58">
                  <c:v>-3.1118551697666144</c:v>
                </c:pt>
                <c:pt idx="59">
                  <c:v>-2.7673568447861423</c:v>
                </c:pt>
                <c:pt idx="60">
                  <c:v>-2.4155403965940518</c:v>
                </c:pt>
                <c:pt idx="61">
                  <c:v>-2.0573361844682228</c:v>
                </c:pt>
                <c:pt idx="62">
                  <c:v>-1.6936914597774817</c:v>
                </c:pt>
                <c:pt idx="63">
                  <c:v>-1.325567861027378</c:v>
                </c:pt>
                <c:pt idx="64">
                  <c:v>-0.9539388708599611</c:v>
                </c:pt>
                <c:pt idx="65">
                  <c:v>-0.57978724173239471</c:v>
                </c:pt>
                <c:pt idx="66">
                  <c:v>-0.20410239708203703</c:v>
                </c:pt>
                <c:pt idx="67">
                  <c:v>0.17212218514948832</c:v>
                </c:pt>
                <c:pt idx="68">
                  <c:v>0.5478915997141659</c:v>
                </c:pt>
                <c:pt idx="69">
                  <c:v>0.92221214502988058</c:v>
                </c:pt>
                <c:pt idx="70">
                  <c:v>1.2940939509696845</c:v>
                </c:pt>
                <c:pt idx="71">
                  <c:v>1.6625535965189862</c:v>
                </c:pt>
                <c:pt idx="72">
                  <c:v>2.0266167103784172</c:v>
                </c:pt>
              </c:numCache>
            </c:numRef>
          </c:yVal>
        </c:ser>
        <c:ser>
          <c:idx val="2"/>
          <c:order val="1"/>
          <c:tx>
            <c:strRef>
              <c:f>Hook!$AG$2</c:f>
              <c:strCache>
                <c:ptCount val="1"/>
                <c:pt idx="0">
                  <c:v>Beam3</c:v>
                </c:pt>
              </c:strCache>
            </c:strRef>
          </c:tx>
          <c:spPr>
            <a:ln w="19050">
              <a:solidFill>
                <a:srgbClr val="CC6600"/>
              </a:solidFill>
            </a:ln>
          </c:spPr>
          <c:marker>
            <c:symbol val="none"/>
          </c:marker>
          <c:xVal>
            <c:numRef>
              <c:f>Hook!$AF$3:$AF$13</c:f>
              <c:numCache>
                <c:formatCode>.00\"</c:formatCode>
                <c:ptCount val="11"/>
                <c:pt idx="0">
                  <c:v>-2</c:v>
                </c:pt>
                <c:pt idx="1">
                  <c:v>-2</c:v>
                </c:pt>
                <c:pt idx="2">
                  <c:v>2</c:v>
                </c:pt>
                <c:pt idx="3">
                  <c:v>2</c:v>
                </c:pt>
                <c:pt idx="4">
                  <c:v>-2</c:v>
                </c:pt>
                <c:pt idx="6">
                  <c:v>-64.816929133858252</c:v>
                </c:pt>
                <c:pt idx="7">
                  <c:v>-64.816929133858252</c:v>
                </c:pt>
                <c:pt idx="8">
                  <c:v>64.816929133858252</c:v>
                </c:pt>
                <c:pt idx="9">
                  <c:v>64.816929133858252</c:v>
                </c:pt>
                <c:pt idx="10">
                  <c:v>-64.816929133858252</c:v>
                </c:pt>
              </c:numCache>
            </c:numRef>
          </c:xVal>
          <c:yVal>
            <c:numRef>
              <c:f>Hook!$AG$3:$AG$13</c:f>
              <c:numCache>
                <c:formatCode>.00\"</c:formatCode>
                <c:ptCount val="11"/>
                <c:pt idx="0">
                  <c:v>-1.0375000000000001</c:v>
                </c:pt>
                <c:pt idx="1">
                  <c:v>-7.0374999999999996</c:v>
                </c:pt>
                <c:pt idx="2">
                  <c:v>-7.0374999999999996</c:v>
                </c:pt>
                <c:pt idx="3">
                  <c:v>-1.0375000000000001</c:v>
                </c:pt>
                <c:pt idx="4">
                  <c:v>-1.0375000000000001</c:v>
                </c:pt>
                <c:pt idx="6">
                  <c:v>-1.0375000000000001</c:v>
                </c:pt>
                <c:pt idx="7">
                  <c:v>-0.22585056900797962</c:v>
                </c:pt>
                <c:pt idx="8">
                  <c:v>-0.22585056900797962</c:v>
                </c:pt>
                <c:pt idx="9">
                  <c:v>-1.0375000000000001</c:v>
                </c:pt>
                <c:pt idx="10">
                  <c:v>-1.0375000000000001</c:v>
                </c:pt>
              </c:numCache>
            </c:numRef>
          </c:yVal>
        </c:ser>
        <c:ser>
          <c:idx val="1"/>
          <c:order val="2"/>
          <c:tx>
            <c:strRef>
              <c:f>Hook!$AI$2</c:f>
              <c:strCache>
                <c:ptCount val="1"/>
                <c:pt idx="0">
                  <c:v>PV3</c:v>
                </c:pt>
              </c:strCache>
            </c:strRef>
          </c:tx>
          <c:spPr>
            <a:ln w="9525">
              <a:solidFill>
                <a:srgbClr val="0000FF"/>
              </a:solidFill>
            </a:ln>
          </c:spPr>
          <c:marker>
            <c:symbol val="none"/>
          </c:marker>
          <c:dPt>
            <c:idx val="1"/>
            <c:spPr>
              <a:ln w="15875">
                <a:solidFill>
                  <a:srgbClr val="0000FF"/>
                </a:solidFill>
              </a:ln>
            </c:spPr>
          </c:dPt>
          <c:dPt>
            <c:idx val="2"/>
            <c:spPr>
              <a:ln w="19050">
                <a:solidFill>
                  <a:srgbClr val="0000FF"/>
                </a:solidFill>
              </a:ln>
            </c:spPr>
          </c:dPt>
          <c:dPt>
            <c:idx val="3"/>
            <c:spPr>
              <a:ln w="19050">
                <a:solidFill>
                  <a:srgbClr val="0000FF"/>
                </a:solidFill>
              </a:ln>
            </c:spPr>
          </c:dPt>
          <c:dPt>
            <c:idx val="4"/>
            <c:spPr>
              <a:ln w="19050">
                <a:solidFill>
                  <a:srgbClr val="0000FF"/>
                </a:solidFill>
              </a:ln>
            </c:spPr>
          </c:dPt>
          <c:dPt>
            <c:idx val="5"/>
            <c:spPr>
              <a:ln w="19050">
                <a:solidFill>
                  <a:srgbClr val="0000FF"/>
                </a:solidFill>
              </a:ln>
            </c:spPr>
          </c:dPt>
          <c:xVal>
            <c:numRef>
              <c:f>Hook!$AH$3:$AH$13</c:f>
              <c:numCache>
                <c:formatCode>.00\"</c:formatCode>
                <c:ptCount val="11"/>
                <c:pt idx="0">
                  <c:v>0</c:v>
                </c:pt>
                <c:pt idx="1">
                  <c:v>-64.816929133858252</c:v>
                </c:pt>
                <c:pt idx="2">
                  <c:v>-64.816929133858252</c:v>
                </c:pt>
                <c:pt idx="3">
                  <c:v>64.816929133858252</c:v>
                </c:pt>
                <c:pt idx="4">
                  <c:v>64.816929133858252</c:v>
                </c:pt>
                <c:pt idx="5">
                  <c:v>0</c:v>
                </c:pt>
                <c:pt idx="6">
                  <c:v>0</c:v>
                </c:pt>
                <c:pt idx="7">
                  <c:v>-0.22097086912079611</c:v>
                </c:pt>
                <c:pt idx="9">
                  <c:v>0</c:v>
                </c:pt>
                <c:pt idx="10">
                  <c:v>0.22097086912079611</c:v>
                </c:pt>
              </c:numCache>
            </c:numRef>
          </c:xVal>
          <c:yVal>
            <c:numRef>
              <c:f>Hook!$AI$3:$AI$13</c:f>
              <c:numCache>
                <c:formatCode>.00\"</c:formatCode>
                <c:ptCount val="11"/>
                <c:pt idx="0">
                  <c:v>-0.22585056900797962</c:v>
                </c:pt>
                <c:pt idx="1">
                  <c:v>-0.22585056900797962</c:v>
                </c:pt>
                <c:pt idx="2">
                  <c:v>1.3489525805983198</c:v>
                </c:pt>
                <c:pt idx="3">
                  <c:v>1.3489525805983198</c:v>
                </c:pt>
                <c:pt idx="4">
                  <c:v>-0.22585056900797962</c:v>
                </c:pt>
                <c:pt idx="5">
                  <c:v>-0.22585056900797962</c:v>
                </c:pt>
                <c:pt idx="6">
                  <c:v>1.3489525805983198</c:v>
                </c:pt>
                <c:pt idx="7">
                  <c:v>1.1279817114775237</c:v>
                </c:pt>
                <c:pt idx="9">
                  <c:v>1.3489525805983198</c:v>
                </c:pt>
                <c:pt idx="10">
                  <c:v>1.1279817114775237</c:v>
                </c:pt>
              </c:numCache>
            </c:numRef>
          </c:yVal>
        </c:ser>
        <c:ser>
          <c:idx val="7"/>
          <c:order val="3"/>
          <c:tx>
            <c:v>Center</c:v>
          </c:tx>
          <c:spPr>
            <a:ln w="12700">
              <a:solidFill>
                <a:srgbClr val="FF0000"/>
              </a:solidFill>
            </a:ln>
          </c:spPr>
          <c:marker>
            <c:symbol val="none"/>
          </c:marker>
          <c:xVal>
            <c:numRef>
              <c:f>Hook!$N$117:$N$121</c:f>
              <c:numCache>
                <c:formatCode>.00\"</c:formatCode>
                <c:ptCount val="5"/>
                <c:pt idx="0">
                  <c:v>2.2097086912079611</c:v>
                </c:pt>
                <c:pt idx="1">
                  <c:v>-2.2097086912079611</c:v>
                </c:pt>
                <c:pt idx="3">
                  <c:v>-2.2097086912079611</c:v>
                </c:pt>
                <c:pt idx="4">
                  <c:v>2.2097086912079611</c:v>
                </c:pt>
              </c:numCache>
            </c:numRef>
          </c:xVal>
          <c:yVal>
            <c:numRef>
              <c:f>Hook!$O$117:$O$121</c:f>
              <c:numCache>
                <c:formatCode>.00\"</c:formatCode>
                <c:ptCount val="5"/>
                <c:pt idx="0">
                  <c:v>2.2097086912079611</c:v>
                </c:pt>
                <c:pt idx="1">
                  <c:v>-2.2097086912079611</c:v>
                </c:pt>
                <c:pt idx="3">
                  <c:v>2.2097086912079611</c:v>
                </c:pt>
                <c:pt idx="4">
                  <c:v>-2.2097086912079611</c:v>
                </c:pt>
              </c:numCache>
            </c:numRef>
          </c:yVal>
          <c:smooth val="1"/>
        </c:ser>
        <c:axId val="123022336"/>
        <c:axId val="123044608"/>
      </c:scatterChart>
      <c:valAx>
        <c:axId val="123022336"/>
        <c:scaling>
          <c:orientation val="minMax"/>
        </c:scaling>
        <c:axPos val="b"/>
        <c:majorGridlines>
          <c:spPr>
            <a:ln>
              <a:solidFill>
                <a:sysClr val="windowText" lastClr="000000">
                  <a:alpha val="10000"/>
                </a:sysClr>
              </a:solidFill>
            </a:ln>
          </c:spPr>
        </c:majorGridlines>
        <c:numFmt formatCode="0" sourceLinked="0"/>
        <c:majorTickMark val="cross"/>
        <c:minorTickMark val="in"/>
        <c:tickLblPos val="nextTo"/>
        <c:crossAx val="123044608"/>
        <c:crossesAt val="-1000"/>
        <c:crossBetween val="midCat"/>
        <c:majorUnit val="5"/>
      </c:valAx>
      <c:valAx>
        <c:axId val="123044608"/>
        <c:scaling>
          <c:orientation val="minMax"/>
        </c:scaling>
        <c:axPos val="l"/>
        <c:majorGridlines>
          <c:spPr>
            <a:ln>
              <a:solidFill>
                <a:sysClr val="windowText" lastClr="000000">
                  <a:alpha val="10000"/>
                </a:sysClr>
              </a:solidFill>
            </a:ln>
          </c:spPr>
        </c:majorGridlines>
        <c:numFmt formatCode="0" sourceLinked="0"/>
        <c:majorTickMark val="cross"/>
        <c:minorTickMark val="in"/>
        <c:tickLblPos val="nextTo"/>
        <c:crossAx val="123022336"/>
        <c:crossesAt val="-1000"/>
        <c:crossBetween val="midCat"/>
        <c:majorUnit val="5"/>
      </c:valAx>
      <c:spPr>
        <a:solidFill>
          <a:srgbClr val="4F81BD">
            <a:alpha val="0"/>
          </a:srgbClr>
        </a:solidFill>
      </c:spPr>
    </c:plotArea>
    <c:plotVisOnly val="1"/>
  </c:chart>
  <c:spPr>
    <a:solidFill>
      <a:srgbClr val="4F81BD">
        <a:alpha val="0"/>
      </a:srgbClr>
    </a:solidFill>
    <a:ln>
      <a:solidFill>
        <a:srgbClr val="0000FF">
          <a:alpha val="20000"/>
        </a:srgbClr>
      </a:solidFill>
    </a:ln>
  </c:spPr>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 Id="rId5" Type="http://schemas.openxmlformats.org/officeDocument/2006/relationships/chart" Target="../charts/chart8.xml"/><Relationship Id="rId4" Type="http://schemas.openxmlformats.org/officeDocument/2006/relationships/chart" Target="../charts/chart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7.xml"/><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6.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5.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4.xml"/><Relationship Id="rId28" Type="http://schemas.openxmlformats.org/officeDocument/2006/relationships/chart" Target="../charts/chart39.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3.xml"/><Relationship Id="rId27" Type="http://schemas.openxmlformats.org/officeDocument/2006/relationships/chart" Target="../charts/chart3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6</xdr:col>
      <xdr:colOff>19017</xdr:colOff>
      <xdr:row>104</xdr:row>
      <xdr:rowOff>69273</xdr:rowOff>
    </xdr:from>
    <xdr:to>
      <xdr:col>7</xdr:col>
      <xdr:colOff>914400</xdr:colOff>
      <xdr:row>114</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19710</xdr:colOff>
      <xdr:row>94</xdr:row>
      <xdr:rowOff>117766</xdr:rowOff>
    </xdr:from>
    <xdr:to>
      <xdr:col>7</xdr:col>
      <xdr:colOff>914400</xdr:colOff>
      <xdr:row>104</xdr:row>
      <xdr:rowOff>96983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13856</xdr:colOff>
      <xdr:row>85</xdr:row>
      <xdr:rowOff>6927</xdr:rowOff>
    </xdr:from>
    <xdr:to>
      <xdr:col>7</xdr:col>
      <xdr:colOff>907472</xdr:colOff>
      <xdr:row>94</xdr:row>
      <xdr:rowOff>112221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96979</xdr:colOff>
      <xdr:row>27</xdr:row>
      <xdr:rowOff>0</xdr:rowOff>
    </xdr:from>
    <xdr:to>
      <xdr:col>7</xdr:col>
      <xdr:colOff>838199</xdr:colOff>
      <xdr:row>49</xdr:row>
      <xdr:rowOff>6927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138505</xdr:colOff>
      <xdr:row>28</xdr:row>
      <xdr:rowOff>56178</xdr:rowOff>
    </xdr:from>
    <xdr:to>
      <xdr:col>8</xdr:col>
      <xdr:colOff>10309</xdr:colOff>
      <xdr:row>35</xdr:row>
      <xdr:rowOff>54385</xdr:rowOff>
    </xdr:to>
    <xdr:pic>
      <xdr:nvPicPr>
        <xdr:cNvPr id="3" name="Picture 2" descr="ShadowTripodArray.jpg"/>
        <xdr:cNvPicPr preferRelativeResize="0">
          <a:picLocks/>
        </xdr:cNvPicPr>
      </xdr:nvPicPr>
      <xdr:blipFill>
        <a:blip xmlns:r="http://schemas.openxmlformats.org/officeDocument/2006/relationships" r:embed="rId1" cstate="print"/>
        <a:stretch>
          <a:fillRect/>
        </a:stretch>
      </xdr:blipFill>
      <xdr:spPr>
        <a:xfrm>
          <a:off x="6794799" y="3283472"/>
          <a:ext cx="1530275" cy="782619"/>
        </a:xfrm>
        <a:prstGeom prst="rect">
          <a:avLst/>
        </a:prstGeom>
      </xdr:spPr>
    </xdr:pic>
    <xdr:clientData/>
  </xdr:twoCellAnchor>
  <xdr:twoCellAnchor>
    <xdr:from>
      <xdr:col>0</xdr:col>
      <xdr:colOff>922020</xdr:colOff>
      <xdr:row>15</xdr:row>
      <xdr:rowOff>37353</xdr:rowOff>
    </xdr:from>
    <xdr:to>
      <xdr:col>4</xdr:col>
      <xdr:colOff>366059</xdr:colOff>
      <xdr:row>28</xdr:row>
      <xdr:rowOff>12490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923925</xdr:colOff>
      <xdr:row>28</xdr:row>
      <xdr:rowOff>9020</xdr:rowOff>
    </xdr:from>
    <xdr:to>
      <xdr:col>4</xdr:col>
      <xdr:colOff>367400</xdr:colOff>
      <xdr:row>32</xdr:row>
      <xdr:rowOff>60960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15</xdr:row>
      <xdr:rowOff>29883</xdr:rowOff>
    </xdr:from>
    <xdr:to>
      <xdr:col>8</xdr:col>
      <xdr:colOff>127000</xdr:colOff>
      <xdr:row>27</xdr:row>
      <xdr:rowOff>102778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373530</xdr:colOff>
      <xdr:row>15</xdr:row>
      <xdr:rowOff>36634</xdr:rowOff>
    </xdr:from>
    <xdr:to>
      <xdr:col>5</xdr:col>
      <xdr:colOff>495300</xdr:colOff>
      <xdr:row>28</xdr:row>
      <xdr:rowOff>9769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22860</xdr:rowOff>
    </xdr:from>
    <xdr:to>
      <xdr:col>4</xdr:col>
      <xdr:colOff>1478280</xdr:colOff>
      <xdr:row>35</xdr:row>
      <xdr:rowOff>7775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4</xdr:col>
      <xdr:colOff>1386225</xdr:colOff>
      <xdr:row>27</xdr:row>
      <xdr:rowOff>22859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xdr:colOff>
      <xdr:row>0</xdr:row>
      <xdr:rowOff>15240</xdr:rowOff>
    </xdr:from>
    <xdr:to>
      <xdr:col>1</xdr:col>
      <xdr:colOff>4861560</xdr:colOff>
      <xdr:row>35</xdr:row>
      <xdr:rowOff>7620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2</xdr:colOff>
      <xdr:row>45</xdr:row>
      <xdr:rowOff>0</xdr:rowOff>
    </xdr:from>
    <xdr:to>
      <xdr:col>14</xdr:col>
      <xdr:colOff>485776</xdr:colOff>
      <xdr:row>62</xdr:row>
      <xdr:rowOff>95251</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218</xdr:row>
      <xdr:rowOff>0</xdr:rowOff>
    </xdr:from>
    <xdr:to>
      <xdr:col>15</xdr:col>
      <xdr:colOff>28575</xdr:colOff>
      <xdr:row>230</xdr:row>
      <xdr:rowOff>114300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83</xdr:row>
      <xdr:rowOff>0</xdr:rowOff>
    </xdr:from>
    <xdr:to>
      <xdr:col>16</xdr:col>
      <xdr:colOff>76200</xdr:colOff>
      <xdr:row>99</xdr:row>
      <xdr:rowOff>95250</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xdr:colOff>
      <xdr:row>124</xdr:row>
      <xdr:rowOff>133349</xdr:rowOff>
    </xdr:from>
    <xdr:to>
      <xdr:col>20</xdr:col>
      <xdr:colOff>266700</xdr:colOff>
      <xdr:row>142</xdr:row>
      <xdr:rowOff>9524</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287</xdr:row>
      <xdr:rowOff>0</xdr:rowOff>
    </xdr:from>
    <xdr:to>
      <xdr:col>19</xdr:col>
      <xdr:colOff>200025</xdr:colOff>
      <xdr:row>315</xdr:row>
      <xdr:rowOff>19050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xdr:colOff>
      <xdr:row>146</xdr:row>
      <xdr:rowOff>0</xdr:rowOff>
    </xdr:from>
    <xdr:to>
      <xdr:col>23</xdr:col>
      <xdr:colOff>152401</xdr:colOff>
      <xdr:row>162</xdr:row>
      <xdr:rowOff>104775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xdr:colOff>
      <xdr:row>565</xdr:row>
      <xdr:rowOff>0</xdr:rowOff>
    </xdr:from>
    <xdr:to>
      <xdr:col>21</xdr:col>
      <xdr:colOff>276226</xdr:colOff>
      <xdr:row>584</xdr:row>
      <xdr:rowOff>114300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38100</xdr:colOff>
      <xdr:row>316</xdr:row>
      <xdr:rowOff>9524</xdr:rowOff>
    </xdr:from>
    <xdr:to>
      <xdr:col>22</xdr:col>
      <xdr:colOff>161926</xdr:colOff>
      <xdr:row>345</xdr:row>
      <xdr:rowOff>57150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168</xdr:row>
      <xdr:rowOff>0</xdr:rowOff>
    </xdr:from>
    <xdr:to>
      <xdr:col>28</xdr:col>
      <xdr:colOff>76200</xdr:colOff>
      <xdr:row>184</xdr:row>
      <xdr:rowOff>38100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361948</xdr:colOff>
      <xdr:row>350</xdr:row>
      <xdr:rowOff>0</xdr:rowOff>
    </xdr:from>
    <xdr:to>
      <xdr:col>28</xdr:col>
      <xdr:colOff>66675</xdr:colOff>
      <xdr:row>379</xdr:row>
      <xdr:rowOff>76200</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0</xdr:colOff>
      <xdr:row>389</xdr:row>
      <xdr:rowOff>0</xdr:rowOff>
    </xdr:from>
    <xdr:to>
      <xdr:col>20</xdr:col>
      <xdr:colOff>266700</xdr:colOff>
      <xdr:row>427</xdr:row>
      <xdr:rowOff>95250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361949</xdr:colOff>
      <xdr:row>585</xdr:row>
      <xdr:rowOff>133349</xdr:rowOff>
    </xdr:from>
    <xdr:to>
      <xdr:col>21</xdr:col>
      <xdr:colOff>314325</xdr:colOff>
      <xdr:row>616</xdr:row>
      <xdr:rowOff>19050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361949</xdr:colOff>
      <xdr:row>192</xdr:row>
      <xdr:rowOff>0</xdr:rowOff>
    </xdr:from>
    <xdr:to>
      <xdr:col>29</xdr:col>
      <xdr:colOff>276225</xdr:colOff>
      <xdr:row>208</xdr:row>
      <xdr:rowOff>85725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617</xdr:row>
      <xdr:rowOff>0</xdr:rowOff>
    </xdr:from>
    <xdr:to>
      <xdr:col>28</xdr:col>
      <xdr:colOff>9525</xdr:colOff>
      <xdr:row>634</xdr:row>
      <xdr:rowOff>95250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640</xdr:row>
      <xdr:rowOff>0</xdr:rowOff>
    </xdr:from>
    <xdr:to>
      <xdr:col>20</xdr:col>
      <xdr:colOff>247650</xdr:colOff>
      <xdr:row>668</xdr:row>
      <xdr:rowOff>38100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361949</xdr:colOff>
      <xdr:row>237</xdr:row>
      <xdr:rowOff>1</xdr:rowOff>
    </xdr:from>
    <xdr:to>
      <xdr:col>36</xdr:col>
      <xdr:colOff>47625</xdr:colOff>
      <xdr:row>249</xdr:row>
      <xdr:rowOff>38101</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361949</xdr:colOff>
      <xdr:row>669</xdr:row>
      <xdr:rowOff>0</xdr:rowOff>
    </xdr:from>
    <xdr:to>
      <xdr:col>30</xdr:col>
      <xdr:colOff>295275</xdr:colOff>
      <xdr:row>688</xdr:row>
      <xdr:rowOff>47626</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361949</xdr:colOff>
      <xdr:row>696</xdr:row>
      <xdr:rowOff>0</xdr:rowOff>
    </xdr:from>
    <xdr:to>
      <xdr:col>24</xdr:col>
      <xdr:colOff>47625</xdr:colOff>
      <xdr:row>727</xdr:row>
      <xdr:rowOff>104775</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0</xdr:colOff>
      <xdr:row>729</xdr:row>
      <xdr:rowOff>0</xdr:rowOff>
    </xdr:from>
    <xdr:to>
      <xdr:col>32</xdr:col>
      <xdr:colOff>571500</xdr:colOff>
      <xdr:row>748</xdr:row>
      <xdr:rowOff>114300</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361949</xdr:colOff>
      <xdr:row>755</xdr:row>
      <xdr:rowOff>0</xdr:rowOff>
    </xdr:from>
    <xdr:to>
      <xdr:col>28</xdr:col>
      <xdr:colOff>123825</xdr:colOff>
      <xdr:row>784</xdr:row>
      <xdr:rowOff>38100</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1</xdr:colOff>
      <xdr:row>465</xdr:row>
      <xdr:rowOff>0</xdr:rowOff>
    </xdr:from>
    <xdr:to>
      <xdr:col>30</xdr:col>
      <xdr:colOff>419100</xdr:colOff>
      <xdr:row>504</xdr:row>
      <xdr:rowOff>19050</xdr:rowOff>
    </xdr:to>
    <xdr:graphicFrame macro="">
      <xdr:nvGraphicFramePr>
        <xdr:cNvPr id="53" name="Chart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0</xdr:colOff>
      <xdr:row>515</xdr:row>
      <xdr:rowOff>0</xdr:rowOff>
    </xdr:from>
    <xdr:to>
      <xdr:col>23</xdr:col>
      <xdr:colOff>47626</xdr:colOff>
      <xdr:row>564</xdr:row>
      <xdr:rowOff>76200</xdr:rowOff>
    </xdr:to>
    <xdr:graphicFrame macro="">
      <xdr:nvGraphicFramePr>
        <xdr:cNvPr id="54" name="Chart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786</xdr:row>
      <xdr:rowOff>0</xdr:rowOff>
    </xdr:from>
    <xdr:to>
      <xdr:col>35</xdr:col>
      <xdr:colOff>581025</xdr:colOff>
      <xdr:row>808</xdr:row>
      <xdr:rowOff>76200</xdr:rowOff>
    </xdr:to>
    <xdr:graphicFrame macro="">
      <xdr:nvGraphicFramePr>
        <xdr:cNvPr id="55" name="Chart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815</xdr:row>
      <xdr:rowOff>1</xdr:rowOff>
    </xdr:from>
    <xdr:to>
      <xdr:col>29</xdr:col>
      <xdr:colOff>381001</xdr:colOff>
      <xdr:row>844</xdr:row>
      <xdr:rowOff>104775</xdr:rowOff>
    </xdr:to>
    <xdr:graphicFrame macro="">
      <xdr:nvGraphicFramePr>
        <xdr:cNvPr id="56" name="Chart 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361949</xdr:colOff>
      <xdr:row>263</xdr:row>
      <xdr:rowOff>0</xdr:rowOff>
    </xdr:from>
    <xdr:to>
      <xdr:col>19</xdr:col>
      <xdr:colOff>190500</xdr:colOff>
      <xdr:row>280</xdr:row>
      <xdr:rowOff>47625</xdr:rowOff>
    </xdr:to>
    <xdr:graphicFrame macro="">
      <xdr:nvGraphicFramePr>
        <xdr:cNvPr id="57" name="Chart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7</xdr:col>
      <xdr:colOff>0</xdr:colOff>
      <xdr:row>428</xdr:row>
      <xdr:rowOff>0</xdr:rowOff>
    </xdr:from>
    <xdr:to>
      <xdr:col>24</xdr:col>
      <xdr:colOff>47625</xdr:colOff>
      <xdr:row>458</xdr:row>
      <xdr:rowOff>95250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xdr:colOff>
      <xdr:row>64</xdr:row>
      <xdr:rowOff>0</xdr:rowOff>
    </xdr:from>
    <xdr:to>
      <xdr:col>12</xdr:col>
      <xdr:colOff>219076</xdr:colOff>
      <xdr:row>79</xdr:row>
      <xdr:rowOff>76200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3</xdr:colOff>
      <xdr:row>103</xdr:row>
      <xdr:rowOff>133349</xdr:rowOff>
    </xdr:from>
    <xdr:to>
      <xdr:col>15</xdr:col>
      <xdr:colOff>57150</xdr:colOff>
      <xdr:row>123</xdr:row>
      <xdr:rowOff>114300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60960</xdr:colOff>
      <xdr:row>30</xdr:row>
      <xdr:rowOff>0</xdr:rowOff>
    </xdr:from>
    <xdr:to>
      <xdr:col>9</xdr:col>
      <xdr:colOff>335280</xdr:colOff>
      <xdr:row>42</xdr:row>
      <xdr:rowOff>213360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xdr:row>
      <xdr:rowOff>0</xdr:rowOff>
    </xdr:from>
    <xdr:to>
      <xdr:col>17</xdr:col>
      <xdr:colOff>396240</xdr:colOff>
      <xdr:row>25</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139700</xdr:colOff>
      <xdr:row>27</xdr:row>
      <xdr:rowOff>142240</xdr:rowOff>
    </xdr:to>
    <xdr:pic>
      <xdr:nvPicPr>
        <xdr:cNvPr id="2" name="Picture 1" descr="TriModOverall.JPG"/>
        <xdr:cNvPicPr>
          <a:picLocks noChangeAspect="1"/>
        </xdr:cNvPicPr>
      </xdr:nvPicPr>
      <xdr:blipFill>
        <a:blip xmlns:r="http://schemas.openxmlformats.org/officeDocument/2006/relationships" r:embed="rId1" cstate="print"/>
        <a:stretch>
          <a:fillRect/>
        </a:stretch>
      </xdr:blipFill>
      <xdr:spPr>
        <a:xfrm>
          <a:off x="0" y="0"/>
          <a:ext cx="5626100" cy="5080000"/>
        </a:xfrm>
        <a:prstGeom prst="rect">
          <a:avLst/>
        </a:prstGeom>
      </xdr:spPr>
    </xdr:pic>
    <xdr:clientData/>
  </xdr:twoCellAnchor>
  <xdr:twoCellAnchor editAs="oneCell">
    <xdr:from>
      <xdr:col>0</xdr:col>
      <xdr:colOff>0</xdr:colOff>
      <xdr:row>28</xdr:row>
      <xdr:rowOff>0</xdr:rowOff>
    </xdr:from>
    <xdr:to>
      <xdr:col>8</xdr:col>
      <xdr:colOff>594360</xdr:colOff>
      <xdr:row>50</xdr:row>
      <xdr:rowOff>99060</xdr:rowOff>
    </xdr:to>
    <xdr:pic>
      <xdr:nvPicPr>
        <xdr:cNvPr id="3" name="Picture 2" descr="kostTripodField01.jpg"/>
        <xdr:cNvPicPr>
          <a:picLocks noChangeAspect="1"/>
        </xdr:cNvPicPr>
      </xdr:nvPicPr>
      <xdr:blipFill>
        <a:blip xmlns:r="http://schemas.openxmlformats.org/officeDocument/2006/relationships" r:embed="rId2" cstate="print"/>
        <a:stretch>
          <a:fillRect/>
        </a:stretch>
      </xdr:blipFill>
      <xdr:spPr>
        <a:xfrm>
          <a:off x="0" y="5120640"/>
          <a:ext cx="5471160" cy="4122420"/>
        </a:xfrm>
        <a:prstGeom prst="rect">
          <a:avLst/>
        </a:prstGeom>
      </xdr:spPr>
    </xdr:pic>
    <xdr:clientData/>
  </xdr:twoCellAnchor>
  <xdr:twoCellAnchor editAs="oneCell">
    <xdr:from>
      <xdr:col>0</xdr:col>
      <xdr:colOff>0</xdr:colOff>
      <xdr:row>51</xdr:row>
      <xdr:rowOff>0</xdr:rowOff>
    </xdr:from>
    <xdr:to>
      <xdr:col>8</xdr:col>
      <xdr:colOff>604770</xdr:colOff>
      <xdr:row>60</xdr:row>
      <xdr:rowOff>175260</xdr:rowOff>
    </xdr:to>
    <xdr:pic>
      <xdr:nvPicPr>
        <xdr:cNvPr id="4" name="Picture 3" descr="TripodCalcsPVMount.jpg"/>
        <xdr:cNvPicPr>
          <a:picLocks noChangeAspect="1"/>
        </xdr:cNvPicPr>
      </xdr:nvPicPr>
      <xdr:blipFill>
        <a:blip xmlns:r="http://schemas.openxmlformats.org/officeDocument/2006/relationships" r:embed="rId3" cstate="print"/>
        <a:stretch>
          <a:fillRect/>
        </a:stretch>
      </xdr:blipFill>
      <xdr:spPr>
        <a:xfrm>
          <a:off x="0" y="9326880"/>
          <a:ext cx="5481570" cy="1821180"/>
        </a:xfrm>
        <a:prstGeom prst="rect">
          <a:avLst/>
        </a:prstGeom>
      </xdr:spPr>
    </xdr:pic>
    <xdr:clientData/>
  </xdr:twoCellAnchor>
  <xdr:twoCellAnchor editAs="oneCell">
    <xdr:from>
      <xdr:col>0</xdr:col>
      <xdr:colOff>0</xdr:colOff>
      <xdr:row>62</xdr:row>
      <xdr:rowOff>0</xdr:rowOff>
    </xdr:from>
    <xdr:to>
      <xdr:col>8</xdr:col>
      <xdr:colOff>563880</xdr:colOff>
      <xdr:row>78</xdr:row>
      <xdr:rowOff>173042</xdr:rowOff>
    </xdr:to>
    <xdr:pic>
      <xdr:nvPicPr>
        <xdr:cNvPr id="6" name="Picture 5" descr="TripodCalcsPivit1.jpg"/>
        <xdr:cNvPicPr>
          <a:picLocks noChangeAspect="1"/>
        </xdr:cNvPicPr>
      </xdr:nvPicPr>
      <xdr:blipFill>
        <a:blip xmlns:r="http://schemas.openxmlformats.org/officeDocument/2006/relationships" r:embed="rId4" cstate="print"/>
        <a:stretch>
          <a:fillRect/>
        </a:stretch>
      </xdr:blipFill>
      <xdr:spPr>
        <a:xfrm>
          <a:off x="0" y="11338560"/>
          <a:ext cx="5440680" cy="30991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8</xdr:col>
      <xdr:colOff>718820</xdr:colOff>
      <xdr:row>25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irley/AppData/Local/Temp/decadjus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4">
          <cell r="B4">
            <v>0</v>
          </cell>
          <cell r="D4">
            <v>-23.439</v>
          </cell>
        </row>
        <row r="5">
          <cell r="B5">
            <v>0.5</v>
          </cell>
          <cell r="D5">
            <v>-22.640335442389471</v>
          </cell>
        </row>
        <row r="6">
          <cell r="B6">
            <v>1</v>
          </cell>
          <cell r="D6">
            <v>-20.298769439303459</v>
          </cell>
        </row>
        <row r="7">
          <cell r="B7">
            <v>1.5</v>
          </cell>
          <cell r="D7">
            <v>-16.573875844231488</v>
          </cell>
        </row>
        <row r="8">
          <cell r="B8">
            <v>2</v>
          </cell>
          <cell r="D8">
            <v>-11.7195</v>
          </cell>
        </row>
        <row r="9">
          <cell r="B9">
            <v>2.5</v>
          </cell>
          <cell r="D9">
            <v>-6.0664595981579827</v>
          </cell>
        </row>
        <row r="10">
          <cell r="B10">
            <v>3</v>
          </cell>
          <cell r="D10">
            <v>0</v>
          </cell>
        </row>
        <row r="11">
          <cell r="B11">
            <v>3.5</v>
          </cell>
          <cell r="D11">
            <v>6.0664595981579872</v>
          </cell>
        </row>
        <row r="12">
          <cell r="B12">
            <v>4</v>
          </cell>
          <cell r="D12">
            <v>11.719499999999996</v>
          </cell>
        </row>
        <row r="13">
          <cell r="B13">
            <v>4.5</v>
          </cell>
          <cell r="D13">
            <v>16.573875844231488</v>
          </cell>
        </row>
        <row r="14">
          <cell r="B14">
            <v>5</v>
          </cell>
          <cell r="D14">
            <v>20.298769439303459</v>
          </cell>
        </row>
        <row r="15">
          <cell r="B15">
            <v>5.5</v>
          </cell>
          <cell r="D15">
            <v>22.640335442389471</v>
          </cell>
        </row>
        <row r="16">
          <cell r="B16">
            <v>6</v>
          </cell>
          <cell r="D16">
            <v>23.439</v>
          </cell>
        </row>
        <row r="17">
          <cell r="B17">
            <v>6.5</v>
          </cell>
          <cell r="D17">
            <v>22.640335442389475</v>
          </cell>
        </row>
        <row r="18">
          <cell r="B18">
            <v>7</v>
          </cell>
          <cell r="D18">
            <v>20.298769439303452</v>
          </cell>
        </row>
        <row r="19">
          <cell r="B19">
            <v>7.5</v>
          </cell>
          <cell r="D19">
            <v>16.573875844231488</v>
          </cell>
        </row>
        <row r="20">
          <cell r="B20">
            <v>8</v>
          </cell>
          <cell r="D20">
            <v>11.719500000000007</v>
          </cell>
        </row>
        <row r="21">
          <cell r="B21">
            <v>8.5</v>
          </cell>
          <cell r="D21">
            <v>6.0664595981579801</v>
          </cell>
        </row>
        <row r="22">
          <cell r="B22">
            <v>9</v>
          </cell>
          <cell r="D22">
            <v>2.8716254634603144E-15</v>
          </cell>
        </row>
        <row r="23">
          <cell r="B23">
            <v>9.5</v>
          </cell>
          <cell r="D23">
            <v>-6.0664595981579748</v>
          </cell>
        </row>
        <row r="24">
          <cell r="B24">
            <v>10</v>
          </cell>
          <cell r="D24">
            <v>-11.719500000000002</v>
          </cell>
        </row>
        <row r="25">
          <cell r="B25">
            <v>10.5</v>
          </cell>
          <cell r="D25">
            <v>-16.573875844231488</v>
          </cell>
        </row>
        <row r="26">
          <cell r="B26">
            <v>11</v>
          </cell>
          <cell r="D26">
            <v>-20.298769439303452</v>
          </cell>
        </row>
        <row r="27">
          <cell r="B27">
            <v>11.5</v>
          </cell>
          <cell r="D27">
            <v>-22.640335442389471</v>
          </cell>
        </row>
        <row r="28">
          <cell r="B28">
            <v>12</v>
          </cell>
          <cell r="D28">
            <v>-23.439</v>
          </cell>
        </row>
      </sheetData>
      <sheetData sheetId="1"/>
      <sheetData sheetId="2"/>
    </sheetDataSet>
  </externalBook>
</externalLink>
</file>

<file path=xl/queryTables/queryTable1.xml><?xml version="1.0" encoding="utf-8"?>
<queryTable xmlns="http://schemas.openxmlformats.org/spreadsheetml/2006/main" name="TripodCalcs"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redrok.com/TripodCalcs.xlsx" TargetMode="External"/><Relationship Id="rId7" Type="http://schemas.openxmlformats.org/officeDocument/2006/relationships/printerSettings" Target="../printerSettings/printerSettings1.bin"/><Relationship Id="rId2" Type="http://schemas.openxmlformats.org/officeDocument/2006/relationships/hyperlink" Target="http://www.redrok.com/electron.htm" TargetMode="External"/><Relationship Id="rId1" Type="http://schemas.openxmlformats.org/officeDocument/2006/relationships/hyperlink" Target="http://www.extension.umn.edu/garden/landscaping/implement/deck_footings.html" TargetMode="External"/><Relationship Id="rId6" Type="http://schemas.openxmlformats.org/officeDocument/2006/relationships/hyperlink" Target="https://en.wikipedia.org/wiki/Law_of_cosines" TargetMode="External"/><Relationship Id="rId5" Type="http://schemas.openxmlformats.org/officeDocument/2006/relationships/hyperlink" Target="http://en.wikipedia.org/wiki/Law_of_sines" TargetMode="External"/><Relationship Id="rId10" Type="http://schemas.openxmlformats.org/officeDocument/2006/relationships/comments" Target="../comments1.xml"/><Relationship Id="rId4" Type="http://schemas.openxmlformats.org/officeDocument/2006/relationships/hyperlink" Target="http://rredc.nrel.gov/solar/old_data/nsrdb/1961-1990/redbook/sum2/14926.txt"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hyperlink" Target="http://www.mrsolar.com/" TargetMode="External"/><Relationship Id="rId13" Type="http://schemas.openxmlformats.org/officeDocument/2006/relationships/hyperlink" Target="http://www.thesolarbiz.com/" TargetMode="External"/><Relationship Id="rId18" Type="http://schemas.openxmlformats.org/officeDocument/2006/relationships/hyperlink" Target="https://www.acosolar.com/" TargetMode="External"/><Relationship Id="rId3" Type="http://schemas.openxmlformats.org/officeDocument/2006/relationships/hyperlink" Target="http://www.jinkosolar.com/" TargetMode="External"/><Relationship Id="rId21" Type="http://schemas.openxmlformats.org/officeDocument/2006/relationships/vmlDrawing" Target="../drawings/vmlDrawing5.vml"/><Relationship Id="rId7" Type="http://schemas.openxmlformats.org/officeDocument/2006/relationships/hyperlink" Target="http://www.mrsolar.com/" TargetMode="External"/><Relationship Id="rId12" Type="http://schemas.openxmlformats.org/officeDocument/2006/relationships/hyperlink" Target="http://www.thesolarbiz.com/" TargetMode="External"/><Relationship Id="rId17" Type="http://schemas.openxmlformats.org/officeDocument/2006/relationships/hyperlink" Target="https://www.acosolar.com/" TargetMode="External"/><Relationship Id="rId2" Type="http://schemas.openxmlformats.org/officeDocument/2006/relationships/hyperlink" Target="http://r20.rs6.net/tn.jsp?f=001vefln0DRAIofMjURqs76Cym0i6JO6oB1VCKgxxiChbe-vgmJz9aQTloI7QnNRCp8DlAZB0yQ6VmvueevNz_FwCyesglPwVF-vFqLIs2ybe-QtCcBcRioz03tayu5ESIHn4-kqiEL7vIj5A7jQaT4-gJIKHAVd4ygoeSc91HtSyBKWuBDBMJWu8NUlhoJPCB-oi92IPoxnZmAGIJgF1BcEqcxHQXYK0Ox5-xS3821kLh4ZB48dL5-OoAKKH7ndjLc&amp;c=8eptsyj9YtZwJ8GGjyUaxl7zdtP9ttXa3QrJn-JCP29kAzbovmQgZQ==&amp;ch=hldLuH8pGEjCCQtnvu8J5UENIyZuVZ7_QYFyLvUXc1GlXvgkAM-0bg==" TargetMode="External"/><Relationship Id="rId16" Type="http://schemas.openxmlformats.org/officeDocument/2006/relationships/hyperlink" Target="https://www.acosolar.com/" TargetMode="External"/><Relationship Id="rId20" Type="http://schemas.openxmlformats.org/officeDocument/2006/relationships/drawing" Target="../drawings/drawing5.xml"/><Relationship Id="rId1" Type="http://schemas.openxmlformats.org/officeDocument/2006/relationships/hyperlink" Target="http://sunelec.com/" TargetMode="External"/><Relationship Id="rId6" Type="http://schemas.openxmlformats.org/officeDocument/2006/relationships/hyperlink" Target="http://www.mrsolar.com/" TargetMode="External"/><Relationship Id="rId11" Type="http://schemas.openxmlformats.org/officeDocument/2006/relationships/hyperlink" Target="http://www.dmsolar.com/" TargetMode="External"/><Relationship Id="rId5" Type="http://schemas.openxmlformats.org/officeDocument/2006/relationships/hyperlink" Target="https://www.acosolar.com/" TargetMode="External"/><Relationship Id="rId15" Type="http://schemas.openxmlformats.org/officeDocument/2006/relationships/hyperlink" Target="https://www.acosolar.com/" TargetMode="External"/><Relationship Id="rId10" Type="http://schemas.openxmlformats.org/officeDocument/2006/relationships/hyperlink" Target="http://www.jaenergy.net/" TargetMode="External"/><Relationship Id="rId19" Type="http://schemas.openxmlformats.org/officeDocument/2006/relationships/printerSettings" Target="../printerSettings/printerSettings5.bin"/><Relationship Id="rId4" Type="http://schemas.openxmlformats.org/officeDocument/2006/relationships/hyperlink" Target="http://www.freecleansolar.com/" TargetMode="External"/><Relationship Id="rId9" Type="http://schemas.openxmlformats.org/officeDocument/2006/relationships/hyperlink" Target="http://www.mrsolar.com/" TargetMode="External"/><Relationship Id="rId14" Type="http://schemas.openxmlformats.org/officeDocument/2006/relationships/hyperlink" Target="http://www.jaenergy.net/" TargetMode="External"/><Relationship Id="rId22"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http://store.winnicksupply.com/Detail/ProdDesc.CFM?itemid=at40404&amp;Description=ALUMINUM%204x4x1/4%20Square%20Tube&amp;Dept=AL&amp;Cate=tube&amp;SubCat=10" TargetMode="External"/><Relationship Id="rId13" Type="http://schemas.openxmlformats.org/officeDocument/2006/relationships/hyperlink" Target="http://store.winnicksupply.com/Detail/ProdDesc.CFM?itemid=at40404&amp;Description=ALUMINUM%204x4x1/4%20Square%20Tube&amp;Dept=AL&amp;Cate=tube&amp;SubCat=10" TargetMode="External"/><Relationship Id="rId18" Type="http://schemas.openxmlformats.org/officeDocument/2006/relationships/hyperlink" Target="http://www.discountsteel.com/items/Electric_Welded_ERW_Round_Steel_Tube.cfm?item_id=201&amp;size_no=171&amp;pieceLength=full&amp;len_ft=0&amp;len_in=0&amp;len_fraction=0&amp;itemComments=&amp;qty=1" TargetMode="External"/><Relationship Id="rId26" Type="http://schemas.openxmlformats.org/officeDocument/2006/relationships/hyperlink" Target="http://store.winnicksupply.com/Detail/ProdDesc.CFM?itemid=st604011&amp;Description=6" TargetMode="External"/><Relationship Id="rId3" Type="http://schemas.openxmlformats.org/officeDocument/2006/relationships/hyperlink" Target="http://www.totalconstructionhelp.com/index.html" TargetMode="External"/><Relationship Id="rId21" Type="http://schemas.openxmlformats.org/officeDocument/2006/relationships/hyperlink" Target="hhttp://store.winnicksupply.com/Detail/ProdDesc.CFM?itemid=st60603&amp;Description=6" TargetMode="External"/><Relationship Id="rId7" Type="http://schemas.openxmlformats.org/officeDocument/2006/relationships/hyperlink" Target="http://www.fxsolver.com/browse/?q=area+moment+of+inertia+rectangle+hollow" TargetMode="External"/><Relationship Id="rId12" Type="http://schemas.openxmlformats.org/officeDocument/2006/relationships/hyperlink" Target="http://store.winnicksupply.com/Detail/ProdDesc.CFM?itemid=at404011&amp;Description=ALUMINUM%204x4x11ga%20Square%20Tube&amp;Dept=AL&amp;Cate=tube&amp;SubCat=10" TargetMode="External"/><Relationship Id="rId17" Type="http://schemas.openxmlformats.org/officeDocument/2006/relationships/hyperlink" Target="http://www.azom.com/article.aspx?ArticleID=6115" TargetMode="External"/><Relationship Id="rId25" Type="http://schemas.openxmlformats.org/officeDocument/2006/relationships/hyperlink" Target="http://store.winnicksupply.com/Detail/ProdDesc.CFM?itemid=st603011&amp;Description=6" TargetMode="External"/><Relationship Id="rId33" Type="http://schemas.openxmlformats.org/officeDocument/2006/relationships/comments" Target="../comments6.xml"/><Relationship Id="rId2" Type="http://schemas.openxmlformats.org/officeDocument/2006/relationships/hyperlink" Target="http://www.amesweb.info/StructuralBeamDeflection/BeamDeflectionCalculators.aspx" TargetMode="External"/><Relationship Id="rId16" Type="http://schemas.openxmlformats.org/officeDocument/2006/relationships/hyperlink" Target="http://store.winnicksupply.com/Detail/ProdDesc.CFM?itemid=st60403&amp;Description=6" TargetMode="External"/><Relationship Id="rId20" Type="http://schemas.openxmlformats.org/officeDocument/2006/relationships/hyperlink" Target="http://www.discountsteel.com/items/Electric_Welded_ERW_Round_Steel_Tube.cfm?item_id=201&amp;size_no=171&amp;pieceLength=full&amp;len_ft=0&amp;len_in=0&amp;len_fraction=0&amp;itemComments=&amp;qty=1" TargetMode="External"/><Relationship Id="rId29" Type="http://schemas.openxmlformats.org/officeDocument/2006/relationships/hyperlink" Target="http://www.discountsteel.com/items/Electric_Welded_ERW_Round_Steel_Tube.cfm?item_id=201&amp;size_no=160&amp;pieceLength=full&amp;len_ft=0&amp;len_in=0&amp;len_fraction=0&amp;itemComments=&amp;qty=1" TargetMode="External"/><Relationship Id="rId1" Type="http://schemas.openxmlformats.org/officeDocument/2006/relationships/hyperlink" Target="http://en.sopromat.org/2008/" TargetMode="External"/><Relationship Id="rId6" Type="http://schemas.openxmlformats.org/officeDocument/2006/relationships/hyperlink" Target="http://store.winnicksupply.com/Detail/ProdDesc.CFM?itemid=at404011&amp;Description=ALUMINUM%204x4x11ga%20Square%20Tube&amp;Dept=AL&amp;Cate=tube&amp;SubCat=10" TargetMode="External"/><Relationship Id="rId11" Type="http://schemas.openxmlformats.org/officeDocument/2006/relationships/hyperlink" Target="http://store.winnicksupply.com/Detail/ProdDesc.CFM?itemid=at303011&amp;Description=ALUMINUM%203x3x11ga%20Square%20Tube&amp;Dept=AL&amp;Cate=tube&amp;SubCat=10" TargetMode="External"/><Relationship Id="rId24" Type="http://schemas.openxmlformats.org/officeDocument/2006/relationships/hyperlink" Target="http://store.winnicksupply.com/Detail/ProdDesc.CFM?itemid=st603011&amp;Description=6" TargetMode="External"/><Relationship Id="rId32" Type="http://schemas.openxmlformats.org/officeDocument/2006/relationships/vmlDrawing" Target="../drawings/vmlDrawing6.vml"/><Relationship Id="rId5" Type="http://schemas.openxmlformats.org/officeDocument/2006/relationships/hyperlink" Target="http://www.aps.anl.gov/APS_Engineering_Support_Division/Mechanical_Operations_and_Maintenance/Calculators/ElasticBeam2.html" TargetMode="External"/><Relationship Id="rId15" Type="http://schemas.openxmlformats.org/officeDocument/2006/relationships/hyperlink" Target="http://store.winnicksupply.com/Detail/ProdDesc.CFM?itemid=st604011&amp;Description=6" TargetMode="External"/><Relationship Id="rId23" Type="http://schemas.openxmlformats.org/officeDocument/2006/relationships/hyperlink" Target="http://www.venturemfgco.com/custom-actuator/" TargetMode="External"/><Relationship Id="rId28" Type="http://schemas.openxmlformats.org/officeDocument/2006/relationships/hyperlink" Target="hhttp://store.winnicksupply.com/Detail/ProdDesc.CFM?itemid=st60603&amp;Description=6" TargetMode="External"/><Relationship Id="rId10" Type="http://schemas.openxmlformats.org/officeDocument/2006/relationships/hyperlink" Target="http://store.winnicksupply.com/Detail/ProdDesc.CFM?itemid=at303011&amp;Description=ALUMINUM%203x3x11ga%20Square%20Tube&amp;Dept=AL&amp;Cate=tube&amp;SubCat=10" TargetMode="External"/><Relationship Id="rId19" Type="http://schemas.openxmlformats.org/officeDocument/2006/relationships/hyperlink" Target="http://www.discountsteel.com/items/Electric_Welded_ERW_Round_Steel_Tube.cfm?item_id=201&amp;size_no=160&amp;pieceLength=full&amp;len_ft=0&amp;len_in=0&amp;len_fraction=0&amp;itemComments=&amp;qty=1" TargetMode="External"/><Relationship Id="rId31" Type="http://schemas.openxmlformats.org/officeDocument/2006/relationships/printerSettings" Target="../printerSettings/printerSettings6.bin"/><Relationship Id="rId4" Type="http://schemas.openxmlformats.org/officeDocument/2006/relationships/hyperlink" Target="https://www.easycalculation.com/engineering/mechanical/deflection-solid-rectangular-beams.php" TargetMode="External"/><Relationship Id="rId9" Type="http://schemas.openxmlformats.org/officeDocument/2006/relationships/hyperlink" Target="http://store.winnicksupply.com/Detail/ProdDesc.CFM?itemid=at30304&amp;Description=ALUMINUM%203x3x1/4%20Square%20Tube&amp;Dept=AL&amp;Cate=tube&amp;SubCat=10" TargetMode="External"/><Relationship Id="rId14" Type="http://schemas.openxmlformats.org/officeDocument/2006/relationships/hyperlink" Target="http://store.winnicksupply.com/Detail/ProdDesc.CFM?itemid=st404011&amp;Description=4" TargetMode="External"/><Relationship Id="rId22" Type="http://schemas.openxmlformats.org/officeDocument/2006/relationships/hyperlink" Target="https://www.dli.mn.gov/ccld/PDF/bc_map_frost_depth.pdf" TargetMode="External"/><Relationship Id="rId27" Type="http://schemas.openxmlformats.org/officeDocument/2006/relationships/hyperlink" Target="http://store.winnicksupply.com/Detail/ProdDesc.CFM?itemid=st404011&amp;Description=4" TargetMode="External"/><Relationship Id="rId30" Type="http://schemas.openxmlformats.org/officeDocument/2006/relationships/hyperlink" Target="http://www.discountsteel.com/items/A36_Hot_Rolled_Steel_I_Beam.cfm?item_id=186&amp;size_no=5&amp;pieceLength=full&amp;len_ft=0&amp;len_in=0&amp;len_fraction=0&amp;itemComments=&amp;qty=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freecleansolar.com/40000-Watt-DC-Solar-Inverters-s/4499.htm" TargetMode="External"/><Relationship Id="rId13" Type="http://schemas.openxmlformats.org/officeDocument/2006/relationships/hyperlink" Target="http://www.neobits.com/kaco_50_3tl3mpp3_50_0_tl3_1000v_dc_1mppt_p8247103.html" TargetMode="External"/><Relationship Id="rId18" Type="http://schemas.openxmlformats.org/officeDocument/2006/relationships/hyperlink" Target="http://www.wholesalesolar.com/2931719/sma/inverters/sma-sunny-boy-9000tl-us-12-inverter" TargetMode="External"/><Relationship Id="rId26" Type="http://schemas.openxmlformats.org/officeDocument/2006/relationships/hyperlink" Target="https://www.acosolar.com/solaredge-se7600a-us-7-6kw-inverter" TargetMode="External"/><Relationship Id="rId3" Type="http://schemas.openxmlformats.org/officeDocument/2006/relationships/hyperlink" Target="http://www.solarelectricsupply.com/solar-components/solar-inverter/pv-powered-pvp35kw-commercial-grid-tie-inverter" TargetMode="External"/><Relationship Id="rId21" Type="http://schemas.openxmlformats.org/officeDocument/2006/relationships/hyperlink" Target="http://www.wholesalesolar.com/9900214/solaredge/inverters/solaredge-se7600a-us-inverter" TargetMode="External"/><Relationship Id="rId7" Type="http://schemas.openxmlformats.org/officeDocument/2006/relationships/hyperlink" Target="http://www.freecleansolar.com/SMA-Solar-Inverter-Sunny-Tower-ST36-36kW-p/sma-st36.htm" TargetMode="External"/><Relationship Id="rId12" Type="http://schemas.openxmlformats.org/officeDocument/2006/relationships/hyperlink" Target="http://www.neobits.com/kaco_50_3tl3mpp1_50_0_tl3_1000v_dc_1mppt_p8247102.html?atc=gbp&amp;gclid=COT7z_6_9cwCFcsW0wod_lINQA" TargetMode="External"/><Relationship Id="rId17" Type="http://schemas.openxmlformats.org/officeDocument/2006/relationships/hyperlink" Target="http://www.wholesalesolar.com/2931721/sma/inverters/sma-sunny-boy-11000tl-us-12-inverter" TargetMode="External"/><Relationship Id="rId25" Type="http://schemas.openxmlformats.org/officeDocument/2006/relationships/hyperlink" Target="http://www.ginlong.com/Public/Uploads/Down/File/56986080cc64e.pdf" TargetMode="External"/><Relationship Id="rId2" Type="http://schemas.openxmlformats.org/officeDocument/2006/relationships/hyperlink" Target="http://www.solarelectricsupply.com/" TargetMode="External"/><Relationship Id="rId16" Type="http://schemas.openxmlformats.org/officeDocument/2006/relationships/hyperlink" Target="http://www.wholesalesolar.com/2931723/sma/inverters/sma-sunny-boy-7700tl-us-22-inverter" TargetMode="External"/><Relationship Id="rId20" Type="http://schemas.openxmlformats.org/officeDocument/2006/relationships/hyperlink" Target="http://www.wholesalesolar.com/9996952/solaredge/inverters/solaredge-se7600a-us000nnr2-revenue-grade-inverter" TargetMode="External"/><Relationship Id="rId1" Type="http://schemas.openxmlformats.org/officeDocument/2006/relationships/hyperlink" Target="http://www.google.com/url?sa=t&amp;rct=j&amp;q=&amp;esrc=s&amp;source=web&amp;cd=2&amp;cad=rja&amp;uact=8&amp;ved=0ahUKEwi_msX53fPMAhXLVxQKHV1ACS4QFggkMAE&amp;url=http%3A%2F%2Fpdf.wholesalesolar.com%2Finverter%2520pdf%2520folder%2FSMA%2520SB2500U%2520Manual.pdf&amp;usg=AFQjCNGGZJDEfvKnEruT4PAwDXLCJxh3rQ" TargetMode="External"/><Relationship Id="rId6" Type="http://schemas.openxmlformats.org/officeDocument/2006/relationships/hyperlink" Target="http://www.freecleansolar.com/Solar-Inverter-Watts-s/3991.htm" TargetMode="External"/><Relationship Id="rId11" Type="http://schemas.openxmlformats.org/officeDocument/2006/relationships/hyperlink" Target="http://www.infinigi.com/powerone-uno25ioutdsus-2500w-aurora-inverter-p-5570.html" TargetMode="External"/><Relationship Id="rId24" Type="http://schemas.openxmlformats.org/officeDocument/2006/relationships/hyperlink" Target="http://kaco-newenergy.com/fileadmin/data/downloads/products/USA/Commercial_Products/TL3_Series/50_TL3_1MPPT_data_sheet_Rev_6-27-13.pdf" TargetMode="External"/><Relationship Id="rId5" Type="http://schemas.openxmlformats.org/officeDocument/2006/relationships/hyperlink" Target="http://www.freecleansolar.com/" TargetMode="External"/><Relationship Id="rId15" Type="http://schemas.openxmlformats.org/officeDocument/2006/relationships/hyperlink" Target="http://www.wholesalesolar.com/2961050/solis-inverters/inverters/solis-inverters-5k-2g-us-240-208-inverter" TargetMode="External"/><Relationship Id="rId23" Type="http://schemas.openxmlformats.org/officeDocument/2006/relationships/hyperlink" Target="https://www.wholesalesolar.com/cms/solaredge-se3000a-us-u-inverter-specs-2669527910.pdf" TargetMode="External"/><Relationship Id="rId28" Type="http://schemas.openxmlformats.org/officeDocument/2006/relationships/comments" Target="../comments7.xml"/><Relationship Id="rId10" Type="http://schemas.openxmlformats.org/officeDocument/2006/relationships/hyperlink" Target="http://www.freecleansolar.com/Power-One-PVI-Aurora-Uno-2-5-Inverter-2500W-p/power-one-pvi-2-5-outd-us.htm?gclid=COGX2avp88wCFVIYGwodllwP_g" TargetMode="External"/><Relationship Id="rId19" Type="http://schemas.openxmlformats.org/officeDocument/2006/relationships/hyperlink" Target="http://www.wholesalesolar.com/2930610/enphase/inverters/enphase-s280-with-mc4-micro-inverter" TargetMode="External"/><Relationship Id="rId4" Type="http://schemas.openxmlformats.org/officeDocument/2006/relationships/hyperlink" Target="http://www.solarelectricsupply.com/solar-components/solar-inverter/kaco-blueplanet-40-0-tl3-m1-m3-mppt-inverter" TargetMode="External"/><Relationship Id="rId9" Type="http://schemas.openxmlformats.org/officeDocument/2006/relationships/hyperlink" Target="http://www.wholesalesolar.com/" TargetMode="External"/><Relationship Id="rId14" Type="http://schemas.openxmlformats.org/officeDocument/2006/relationships/hyperlink" Target="http://www.fronius.com/cps/rde/xchg/SID-FFE4702D-74502533/fronius_usa/hs.xsl/2714_11792.htm" TargetMode="External"/><Relationship Id="rId22" Type="http://schemas.openxmlformats.org/officeDocument/2006/relationships/hyperlink" Target="http://pdf.wholesalesolar.com/inverter%20pdf%20folder/SE10000A-US000NNR2-Specifications.pdf" TargetMode="External"/><Relationship Id="rId27"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www.redrok.com/decadjust.xls" TargetMode="External"/></Relationships>
</file>

<file path=xl/worksheets/sheet1.xml><?xml version="1.0" encoding="utf-8"?>
<worksheet xmlns="http://schemas.openxmlformats.org/spreadsheetml/2006/main" xmlns:r="http://schemas.openxmlformats.org/officeDocument/2006/relationships">
  <dimension ref="A1:L125"/>
  <sheetViews>
    <sheetView tabSelected="1" topLeftCell="A17" zoomScale="110" zoomScaleNormal="110" workbookViewId="0">
      <selection activeCell="J36" sqref="J36"/>
    </sheetView>
  </sheetViews>
  <sheetFormatPr defaultRowHeight="15" customHeight="1"/>
  <cols>
    <col min="1" max="1" width="30.21875" style="2" customWidth="1"/>
    <col min="2" max="2" width="9.33203125" style="2" customWidth="1"/>
    <col min="3" max="3" width="10.77734375" style="2" customWidth="1"/>
    <col min="4" max="4" width="1.44140625" style="108" customWidth="1"/>
    <col min="5" max="5" width="11.77734375" style="28" customWidth="1"/>
    <col min="6" max="6" width="12" style="6" customWidth="1"/>
    <col min="7" max="7" width="12" style="2" customWidth="1"/>
    <col min="8" max="8" width="13" style="2" customWidth="1"/>
    <col min="9" max="9" width="9.6640625" style="2" customWidth="1"/>
    <col min="10" max="10" width="10.5546875" style="2" customWidth="1"/>
    <col min="11" max="11" width="11.44140625" style="100" customWidth="1"/>
    <col min="12" max="12" width="9.6640625" style="2" customWidth="1"/>
    <col min="13" max="13" width="8" style="2" customWidth="1"/>
    <col min="14" max="14" width="6.6640625" style="2" customWidth="1"/>
    <col min="15" max="16" width="8.88671875" style="2"/>
    <col min="17" max="19" width="2.6640625" style="2" customWidth="1"/>
    <col min="20" max="16384" width="8.88671875" style="2"/>
  </cols>
  <sheetData>
    <row r="1" spans="1:11" ht="24.6" hidden="1" customHeight="1">
      <c r="A1" s="1" t="s">
        <v>3</v>
      </c>
      <c r="B1" s="1"/>
      <c r="C1" s="1"/>
      <c r="J1" s="99" t="s">
        <v>376</v>
      </c>
    </row>
    <row r="2" spans="1:11" s="386" customFormat="1" ht="13.8" hidden="1" customHeight="1">
      <c r="A2" s="382" t="s">
        <v>684</v>
      </c>
      <c r="B2" s="388" t="s">
        <v>4</v>
      </c>
      <c r="C2" s="383"/>
      <c r="D2" s="384"/>
      <c r="E2" s="385"/>
      <c r="F2" s="385"/>
      <c r="G2" s="388" t="s">
        <v>11</v>
      </c>
      <c r="K2" s="389"/>
    </row>
    <row r="3" spans="1:11" s="386" customFormat="1" ht="13.8" hidden="1" customHeight="1">
      <c r="A3" s="383" t="s">
        <v>5</v>
      </c>
      <c r="B3" s="383"/>
      <c r="C3" s="383"/>
      <c r="D3" s="384"/>
      <c r="E3" s="385"/>
      <c r="F3" s="385"/>
      <c r="K3" s="389"/>
    </row>
    <row r="4" spans="1:11" s="383" customFormat="1" ht="13.8" hidden="1" customHeight="1">
      <c r="A4" s="383" t="s">
        <v>241</v>
      </c>
      <c r="D4" s="387"/>
      <c r="E4" s="28"/>
      <c r="F4" s="28"/>
      <c r="K4" s="390"/>
    </row>
    <row r="5" spans="1:11" s="383" customFormat="1" ht="13.8" hidden="1" customHeight="1">
      <c r="A5" s="383" t="s">
        <v>363</v>
      </c>
      <c r="D5" s="387"/>
      <c r="E5" s="28"/>
      <c r="F5" s="28"/>
      <c r="K5" s="390"/>
    </row>
    <row r="6" spans="1:11" s="383" customFormat="1" ht="13.8" hidden="1" customHeight="1">
      <c r="A6" s="383" t="s">
        <v>461</v>
      </c>
      <c r="D6" s="387"/>
      <c r="E6" s="28"/>
      <c r="F6" s="28"/>
      <c r="H6" s="388"/>
      <c r="I6" s="388"/>
      <c r="K6" s="390"/>
    </row>
    <row r="7" spans="1:11" s="383" customFormat="1" ht="13.8" hidden="1" customHeight="1">
      <c r="A7" s="383" t="s">
        <v>462</v>
      </c>
      <c r="D7" s="387"/>
      <c r="E7" s="28"/>
      <c r="F7" s="28"/>
      <c r="H7" s="388"/>
      <c r="I7" s="388"/>
      <c r="K7" s="390"/>
    </row>
    <row r="8" spans="1:11" s="383" customFormat="1" ht="13.8" hidden="1" customHeight="1">
      <c r="A8" s="383" t="s">
        <v>463</v>
      </c>
      <c r="D8" s="387"/>
      <c r="E8" s="28"/>
      <c r="F8" s="28"/>
      <c r="H8" s="388"/>
      <c r="I8" s="388"/>
      <c r="K8" s="390"/>
    </row>
    <row r="9" spans="1:11" s="383" customFormat="1" ht="13.8" hidden="1" customHeight="1">
      <c r="A9" s="383" t="s">
        <v>242</v>
      </c>
      <c r="D9" s="387"/>
      <c r="E9" s="28"/>
      <c r="F9" s="28"/>
      <c r="K9" s="390"/>
    </row>
    <row r="10" spans="1:11" s="383" customFormat="1" ht="13.8" hidden="1" customHeight="1">
      <c r="A10" s="383" t="s">
        <v>370</v>
      </c>
      <c r="D10" s="387"/>
      <c r="E10" s="415" t="s">
        <v>118</v>
      </c>
      <c r="F10" s="415" t="s">
        <v>197</v>
      </c>
      <c r="G10" s="415" t="s">
        <v>230</v>
      </c>
      <c r="H10" s="415" t="s">
        <v>229</v>
      </c>
      <c r="J10" s="416"/>
      <c r="K10" s="390"/>
    </row>
    <row r="11" spans="1:11" s="383" customFormat="1" ht="13.8" hidden="1" customHeight="1">
      <c r="D11" s="387"/>
      <c r="E11" s="388"/>
      <c r="F11" s="388"/>
      <c r="H11" s="388"/>
      <c r="I11" s="388"/>
      <c r="K11" s="390"/>
    </row>
    <row r="12" spans="1:11" s="383" customFormat="1" ht="13.8" hidden="1" customHeight="1">
      <c r="A12" s="383" t="s">
        <v>464</v>
      </c>
      <c r="D12" s="387"/>
      <c r="E12" s="28"/>
      <c r="F12" s="28"/>
      <c r="K12" s="390"/>
    </row>
    <row r="13" spans="1:11" s="383" customFormat="1" ht="13.8" hidden="1" customHeight="1">
      <c r="A13" s="383" t="s">
        <v>466</v>
      </c>
      <c r="D13" s="387"/>
      <c r="E13" s="28"/>
      <c r="F13" s="28"/>
      <c r="K13" s="390"/>
    </row>
    <row r="14" spans="1:11" s="383" customFormat="1" ht="13.8" hidden="1" customHeight="1">
      <c r="A14" s="383" t="s">
        <v>467</v>
      </c>
      <c r="D14" s="387"/>
      <c r="K14" s="390"/>
    </row>
    <row r="15" spans="1:11" s="383" customFormat="1" ht="13.8" hidden="1" customHeight="1">
      <c r="A15" s="383" t="s">
        <v>465</v>
      </c>
      <c r="D15" s="387"/>
      <c r="E15" s="28"/>
      <c r="F15" s="28"/>
      <c r="K15" s="390"/>
    </row>
    <row r="16" spans="1:11" s="383" customFormat="1" ht="13.8" hidden="1" customHeight="1">
      <c r="F16" s="28"/>
      <c r="K16" s="390"/>
    </row>
    <row r="17" spans="1:12" s="4" customFormat="1" ht="12" customHeight="1">
      <c r="A17" s="169" t="s">
        <v>459</v>
      </c>
      <c r="B17" s="302"/>
      <c r="C17" s="301" t="s">
        <v>337</v>
      </c>
      <c r="D17" s="381" t="s">
        <v>460</v>
      </c>
      <c r="E17" s="303" t="s">
        <v>310</v>
      </c>
      <c r="F17" s="256" t="str">
        <f ca="1">PModel</f>
        <v>SS250-60P</v>
      </c>
      <c r="G17" s="827">
        <f ca="1">+MountVmp*MountImp</f>
        <v>2501</v>
      </c>
      <c r="H17" s="829">
        <f ca="1">+PVmp*SerialCon</f>
        <v>152.5</v>
      </c>
      <c r="I17" s="828">
        <f ca="1">+PImp*ParallelCon</f>
        <v>16.399999999999999</v>
      </c>
      <c r="J17" s="827">
        <f ca="1">PVmp*PImp</f>
        <v>250.09999999999997</v>
      </c>
      <c r="K17" s="100"/>
    </row>
    <row r="18" spans="1:12" s="4" customFormat="1" ht="11.4" customHeight="1">
      <c r="A18" s="169" t="s">
        <v>55</v>
      </c>
      <c r="B18" s="170">
        <v>45.489370999999998</v>
      </c>
      <c r="C18" s="170">
        <v>0</v>
      </c>
      <c r="D18" s="108"/>
      <c r="E18" s="594" t="str">
        <f ca="1">PName</f>
        <v>Shine Solar Poly Silver 1000V</v>
      </c>
      <c r="F18" s="257">
        <f ca="1">+PCells</f>
        <v>60</v>
      </c>
      <c r="G18" s="831">
        <f ca="1">+MountVoc*MountIsc</f>
        <v>3273.6000000000004</v>
      </c>
      <c r="H18" s="830">
        <f ca="1">+PVoc*SerialCon</f>
        <v>186</v>
      </c>
      <c r="I18" s="832">
        <f ca="1">+PIsc*ParallelCon</f>
        <v>17.600000000000001</v>
      </c>
      <c r="J18" s="378">
        <f ca="1">+IF(PanelArrangement&lt;&gt;"A_1",  PCost*(SerialCon*ParallelCon),  OFFSET(TestPanel,0,19)  )</f>
        <v>975</v>
      </c>
      <c r="K18" s="100"/>
    </row>
    <row r="19" spans="1:12" s="4" customFormat="1" ht="11.4" customHeight="1">
      <c r="A19" s="169" t="str">
        <f>+IF(ABS(DecAng)=23.439,"True Declinator Angle","Modified Declinator Angle")</f>
        <v>Modified Declinator Angle</v>
      </c>
      <c r="B19" s="170">
        <v>23.439</v>
      </c>
      <c r="C19" s="170">
        <v>0</v>
      </c>
      <c r="D19" s="109"/>
      <c r="E19" s="265">
        <v>500</v>
      </c>
      <c r="F19" s="313">
        <f>8.04+2.3146</f>
        <v>10.3546</v>
      </c>
      <c r="G19" s="313">
        <f>8</f>
        <v>8</v>
      </c>
      <c r="H19" s="313">
        <f>LocalPowerCostRate*3/4</f>
        <v>7.7659500000000001</v>
      </c>
      <c r="I19" s="833">
        <f ca="1">+IF(PanelArrangement&lt;&gt;"A_1",PWatt*NumberOfSystemPanels,OFFSET(TestPanel,0,2)*NumberOfMounts)/1000</f>
        <v>20</v>
      </c>
      <c r="J19" s="696">
        <f ca="1">+PanelCostPerMount*NumberOfMounts*(PanelsPlusSpares/NumberOfSystemPanels)</f>
        <v>8190</v>
      </c>
      <c r="K19" s="100"/>
    </row>
    <row r="20" spans="1:12" s="4" customFormat="1" ht="11.4" customHeight="1">
      <c r="A20" s="20" t="s">
        <v>49</v>
      </c>
      <c r="B20" s="170"/>
      <c r="D20" s="109"/>
      <c r="E20" s="265"/>
      <c r="F20" s="313"/>
      <c r="G20" s="313"/>
      <c r="H20" s="313">
        <f ca="1">IF(SystemPower&gt;40,AvoidedCostRate,IF(SystemPower&gt;20,LocalPowerCostRate,LocalPowerCostRate+PremimumPowerCostRate))</f>
        <v>18.354599999999998</v>
      </c>
      <c r="I20" s="834">
        <f ca="1">SystemPower*1.3410220888</f>
        <v>26.820441775999999</v>
      </c>
      <c r="J20" s="312">
        <f ca="1">+SystemPower/240*1000</f>
        <v>83.333333333333329</v>
      </c>
      <c r="K20" s="100"/>
    </row>
    <row r="21" spans="1:12" s="4" customFormat="1" ht="11.4" customHeight="1">
      <c r="A21" s="268" t="s">
        <v>65</v>
      </c>
      <c r="B21" s="269"/>
      <c r="C21" s="835">
        <f ca="1">LowEndExt+DecOffLen*2+DecHypotLen+HighEndExt</f>
        <v>17.999999999999982</v>
      </c>
      <c r="D21" s="109"/>
      <c r="E21" s="266">
        <f ca="1">+(SerialCon*ParallelCon)*NumberOfMounts</f>
        <v>80</v>
      </c>
      <c r="F21" s="379">
        <f>+RowsOfMounts*ColumnsOfMounts</f>
        <v>8</v>
      </c>
      <c r="G21" s="260">
        <f ca="1">6.15 *OFFSET(INDIRECT(C17),0,0)</f>
        <v>5.3083333333333336</v>
      </c>
      <c r="H21" s="477">
        <f ca="1">-(UtilityMonthlyElectricUsage/1000-SystemPower*SunHoursPerDay*30.43685/1000)</f>
        <v>2.7313789083333337</v>
      </c>
      <c r="I21" s="478">
        <f ca="1">+(LocalPowerCostRate/100+PremimumPowerCostRate/100)*NetEnergyPerMonth*1000</f>
        <v>501.33367310895005</v>
      </c>
      <c r="J21" s="479">
        <f ca="1">IF(SystemPower&gt;40,AvoidedCostRate/100,IF(SystemPower&gt;20,LocalPowerCostRate/100,LocalPowerCostRate/100+PremimumPowerCostRate/100))*NetEnergyPerMonth*1000*12</f>
        <v>6016.0040773074006</v>
      </c>
      <c r="K21" s="100"/>
    </row>
    <row r="22" spans="1:12" s="102" customFormat="1" ht="11.4" customHeight="1">
      <c r="A22" s="20" t="s">
        <v>600</v>
      </c>
      <c r="B22" s="102">
        <f ca="1">(C22/24)/3</f>
        <v>0.999999999999999</v>
      </c>
      <c r="C22" s="799">
        <f ca="1">MainAxisLen*RowsOfMounts</f>
        <v>71.999999999999929</v>
      </c>
      <c r="D22" s="109"/>
      <c r="E22" s="266">
        <f ca="1">ROUND(NumberOfSystemPanels*(1+PVSparesFactor),0)</f>
        <v>84</v>
      </c>
      <c r="F22" s="414">
        <f>40*200</f>
        <v>8000</v>
      </c>
      <c r="G22" s="699">
        <f>-0.00007*ABS(DecAng)^2+0.0035*ABS(DecAng)+0.9581</f>
        <v>0.95809999999999995</v>
      </c>
      <c r="H22" s="258"/>
      <c r="I22" s="473">
        <v>0.05</v>
      </c>
      <c r="J22" s="419">
        <f ca="1">-NetSystemCost/(-NetPaymentPerYear*(1-IncomeTax))*(1+Interest)^(2+5/12)</f>
        <v>2.4444977570468618</v>
      </c>
      <c r="K22" s="826"/>
    </row>
    <row r="23" spans="1:12" s="102" customFormat="1" ht="11.4" customHeight="1">
      <c r="A23" s="270" t="s">
        <v>364</v>
      </c>
      <c r="B23" s="271"/>
      <c r="C23" s="836">
        <v>0</v>
      </c>
      <c r="D23" s="109"/>
      <c r="E23" s="378">
        <f ca="1">+SystemPower*1000*10%</f>
        <v>2000</v>
      </c>
      <c r="F23" s="378">
        <f ca="1">MountCost*NumberOfMounts+TreeAndStumpRemoval</f>
        <v>12131.416135717409</v>
      </c>
      <c r="G23" s="378">
        <f ca="1">+OFFSET(SelectInverter,0,-1)+InterconnectionCosts</f>
        <v>19504</v>
      </c>
      <c r="H23" s="377">
        <f ca="1">+IF(TotalPanelCost&gt;0,(NetSystemCost)/SystemPower/10,0)</f>
        <v>52.281770169646769</v>
      </c>
      <c r="I23" s="259">
        <f ca="1">+IF(TotalPanelCost&gt;0,TotalPanelCost+ConnectionCost+TotalMountCost+ElectricalCost,0)</f>
        <v>41825.416135717409</v>
      </c>
      <c r="J23" s="378">
        <f ca="1">TotalSystemCost*(1-Depreciation)-Rebates</f>
        <v>10456.354033929354</v>
      </c>
    </row>
    <row r="24" spans="1:12" s="102" customFormat="1" ht="11.4" customHeight="1">
      <c r="A24" s="268" t="s">
        <v>365</v>
      </c>
      <c r="B24" s="272"/>
      <c r="C24" s="835">
        <f ca="1">+((B73-B68)^2+(DistHHPed/2)^2)^0.5</f>
        <v>17.999999999999982</v>
      </c>
      <c r="D24" s="112"/>
      <c r="E24" s="267">
        <v>0.2</v>
      </c>
      <c r="F24" s="700">
        <f>20%</f>
        <v>0.2</v>
      </c>
      <c r="G24" s="263">
        <v>0.05</v>
      </c>
      <c r="H24" s="412">
        <f ca="1">IF(SystemPower&lt;=100,IF(SystemPower&lt;=40,30%+25%,30%),0)</f>
        <v>0.55000000000000004</v>
      </c>
      <c r="I24" s="380">
        <f ca="1">IF(TotalPanelCost&gt;0,(TotalPanelCost+ConnectionCost+TotalMountCost+ElectricalCost)*RebateRate,0)</f>
        <v>23003.978874644577</v>
      </c>
      <c r="J24" s="480">
        <f ca="1">-NetSystemCost/(-NetPaymentPerYear*(1-IncomeTax))*(1+Interest)^(2+5/12)</f>
        <v>2.4444977570468618</v>
      </c>
      <c r="K24" s="100"/>
    </row>
    <row r="25" spans="1:12" s="102" customFormat="1" ht="11.4" hidden="1" customHeight="1">
      <c r="A25" s="268" t="s">
        <v>348</v>
      </c>
      <c r="B25" s="272"/>
      <c r="C25" s="835">
        <f ca="1">+DistHLPed*2+DistHHPed</f>
        <v>35.999999999999964</v>
      </c>
      <c r="D25" s="112"/>
      <c r="E25" s="267"/>
      <c r="F25" s="261"/>
      <c r="G25" s="262"/>
      <c r="H25" s="263"/>
      <c r="I25" s="297"/>
      <c r="J25" s="264"/>
      <c r="K25" s="100"/>
    </row>
    <row r="26" spans="1:12" s="4" customFormat="1" ht="11.4" customHeight="1">
      <c r="A26" s="273" t="s">
        <v>50</v>
      </c>
      <c r="B26" s="274"/>
      <c r="C26" s="835">
        <f ca="1">+((B72-B73)^2+(C72-C73)^2+(DistHHPed/2)^2)^0.5</f>
        <v>0</v>
      </c>
      <c r="D26" s="109"/>
      <c r="E26" s="391">
        <f ca="1">+ConnectionCost/TotalSystemCost*100</f>
        <v>4.781781473519092</v>
      </c>
      <c r="F26" s="392">
        <f ca="1">+TotalMountCost/TotalSystemCost*100</f>
        <v>29.004890462662043</v>
      </c>
      <c r="G26" s="393">
        <f ca="1">+ElectricalCost/TotalSystemCost*100</f>
        <v>46.631932929758186</v>
      </c>
      <c r="H26" s="394">
        <f ca="1">+TotalPanelCost/TotalSystemCost*100</f>
        <v>19.581395134060681</v>
      </c>
      <c r="K26" s="100"/>
      <c r="L26" s="61"/>
    </row>
    <row r="27" spans="1:12" s="4" customFormat="1" ht="11.4" customHeight="1">
      <c r="A27" s="268" t="s">
        <v>319</v>
      </c>
      <c r="B27" s="269"/>
      <c r="C27" s="835">
        <f ca="1">+PedHeight+SIN(RADIANS(Latitude))*(DecHypotLen+LowEndExt+HighEndExt)</f>
        <v>7.401410761154855</v>
      </c>
      <c r="D27" s="109"/>
    </row>
    <row r="28" spans="1:12" s="4" customFormat="1" ht="11.4" customHeight="1">
      <c r="A28" s="275" t="s">
        <v>1</v>
      </c>
      <c r="B28" s="269"/>
      <c r="C28" s="836">
        <v>2</v>
      </c>
      <c r="D28" s="109"/>
      <c r="H28" s="413"/>
      <c r="I28" s="855" t="s">
        <v>688</v>
      </c>
      <c r="K28" s="100"/>
    </row>
    <row r="29" spans="1:12" s="4" customFormat="1" ht="11.4" customHeight="1">
      <c r="A29" s="275" t="s">
        <v>366</v>
      </c>
      <c r="B29" s="835">
        <f ca="1">+PedHeight+MinGndClear-MIN($C$86:$C$94,$C$96:$C$104,$C$106:$C$114)</f>
        <v>7.401410761154855</v>
      </c>
      <c r="C29" s="836">
        <v>7.401410761154855</v>
      </c>
      <c r="D29" s="279" t="s">
        <v>45</v>
      </c>
      <c r="I29" s="855" t="s">
        <v>689</v>
      </c>
    </row>
    <row r="30" spans="1:12" s="4" customFormat="1" ht="11.4" hidden="1" customHeight="1">
      <c r="A30" s="45" t="s">
        <v>227</v>
      </c>
      <c r="B30" s="46"/>
      <c r="C30" s="909">
        <f ca="1">1/COS(RADIANS(DecAng))*PanArrayLen</f>
        <v>16.439632545931762</v>
      </c>
      <c r="D30" s="109"/>
    </row>
    <row r="31" spans="1:12" s="4" customFormat="1" ht="11.4" hidden="1" customHeight="1">
      <c r="A31" s="45" t="s">
        <v>228</v>
      </c>
      <c r="B31" s="46"/>
      <c r="C31" s="909">
        <f ca="1">TAN(RADIANS(DecAng))*PanArrayLen/2</f>
        <v>0</v>
      </c>
      <c r="D31" s="109"/>
      <c r="K31" s="100"/>
    </row>
    <row r="32" spans="1:12" s="4" customFormat="1" ht="11.4" customHeight="1">
      <c r="A32" s="222" t="s">
        <v>218</v>
      </c>
      <c r="B32" s="837">
        <v>0.78018372703411143</v>
      </c>
      <c r="C32" s="837">
        <f>LowEndExt</f>
        <v>0.78018372703411143</v>
      </c>
      <c r="D32" s="223" t="s">
        <v>45</v>
      </c>
    </row>
    <row r="33" spans="1:12" s="4" customFormat="1" ht="11.4" customHeight="1">
      <c r="A33" s="45" t="s">
        <v>215</v>
      </c>
      <c r="B33" s="129">
        <f ca="1">180-DEGREES(ATAN2(($B$72-$B$91),($C$72-$C$91)))</f>
        <v>98.219000918378129</v>
      </c>
      <c r="C33" s="838">
        <f ca="1">+Winter_Support_Angle-Equinox_Support_Angle</f>
        <v>0</v>
      </c>
      <c r="D33" s="109"/>
      <c r="K33" s="100"/>
      <c r="L33" s="61"/>
    </row>
    <row r="34" spans="1:12" s="4" customFormat="1" ht="11.4" customHeight="1">
      <c r="A34" s="41" t="s">
        <v>216</v>
      </c>
      <c r="B34" s="130">
        <f ca="1">180-DEGREES(ATAN2(($B$72-$B$101),($C$72-$C$101)))</f>
        <v>98.219000918378129</v>
      </c>
      <c r="C34" s="839">
        <f ca="1">+Equinox_Support_Angle-Summer_Support_Angle</f>
        <v>0</v>
      </c>
      <c r="D34" s="109"/>
      <c r="I34" s="168"/>
      <c r="K34" s="100"/>
    </row>
    <row r="35" spans="1:12" s="4" customFormat="1" ht="11.4" customHeight="1">
      <c r="A35" s="40" t="s">
        <v>217</v>
      </c>
      <c r="B35" s="131">
        <f ca="1">180-DEGREES(ATAN2(($B$72-$B$111),($C$72-$C$111)))</f>
        <v>98.219000918378129</v>
      </c>
      <c r="C35" s="840">
        <f ca="1">+Winter_Support_Angle-Summer_Support_Angle</f>
        <v>0</v>
      </c>
      <c r="D35" s="112"/>
      <c r="I35" s="168"/>
      <c r="K35" s="100"/>
    </row>
    <row r="36" spans="1:12" s="4" customFormat="1" ht="11.4" customHeight="1">
      <c r="A36" s="276" t="s">
        <v>167</v>
      </c>
      <c r="B36" s="277">
        <f ca="1">MIN(Winter_Support_Angle:Summer_Support_Angle)</f>
        <v>98.219000918378129</v>
      </c>
      <c r="C36" s="278">
        <v>90</v>
      </c>
      <c r="D36" s="109"/>
      <c r="I36" s="168"/>
      <c r="J36" s="168"/>
      <c r="K36" s="100"/>
    </row>
    <row r="37" spans="1:12" s="4" customFormat="1" ht="11.4" customHeight="1">
      <c r="A37" s="253" t="s">
        <v>56</v>
      </c>
      <c r="B37" s="841">
        <f ca="1">OFFSET(INDIRECT(PanelArrangement),1,2)</f>
        <v>16.439632545931762</v>
      </c>
      <c r="C37" s="842">
        <f ca="1">+B37</f>
        <v>16.439632545931762</v>
      </c>
      <c r="D37" s="280" t="s">
        <v>45</v>
      </c>
      <c r="I37" s="168"/>
      <c r="K37" s="100"/>
    </row>
    <row r="38" spans="1:12" s="4" customFormat="1" ht="11.4" customHeight="1">
      <c r="A38" s="253" t="s">
        <v>0</v>
      </c>
      <c r="B38" s="841">
        <f ca="1">OFFSET(INDIRECT(PanelArrangement),2,2)</f>
        <v>10.80282152230971</v>
      </c>
      <c r="C38" s="843">
        <f t="shared" ref="C38:C43" ca="1" si="0">+B38</f>
        <v>10.80282152230971</v>
      </c>
      <c r="D38" s="280" t="s">
        <v>45</v>
      </c>
      <c r="I38" s="168"/>
      <c r="K38" s="100"/>
    </row>
    <row r="39" spans="1:12" s="4" customFormat="1" ht="11.4" customHeight="1">
      <c r="A39" s="253" t="s">
        <v>2</v>
      </c>
      <c r="B39" s="841">
        <f ca="1">OFFSET(INDIRECT(PanelArrangement),3,2)</f>
        <v>10.80282152230971</v>
      </c>
      <c r="C39" s="843">
        <f t="shared" ca="1" si="0"/>
        <v>10.80282152230971</v>
      </c>
      <c r="D39" s="280" t="s">
        <v>45</v>
      </c>
      <c r="I39" s="168"/>
      <c r="K39" s="100"/>
    </row>
    <row r="40" spans="1:12" s="4" customFormat="1" ht="11.4" customHeight="1">
      <c r="A40" s="253" t="s">
        <v>206</v>
      </c>
      <c r="B40" s="841">
        <f ca="1">OFFSET(INDIRECT(PanelArrangement),4,2)</f>
        <v>0</v>
      </c>
      <c r="C40" s="843">
        <f t="shared" ca="1" si="0"/>
        <v>0</v>
      </c>
      <c r="D40" s="280" t="s">
        <v>45</v>
      </c>
      <c r="I40" s="168"/>
      <c r="K40" s="100"/>
    </row>
    <row r="41" spans="1:12" s="4" customFormat="1" ht="11.4" customHeight="1">
      <c r="A41" s="253" t="s">
        <v>207</v>
      </c>
      <c r="B41" s="254">
        <f ca="1">OFFSET(INDIRECT(PanelArrangement),5,2)</f>
        <v>0</v>
      </c>
      <c r="C41" s="255">
        <f t="shared" ca="1" si="0"/>
        <v>0</v>
      </c>
      <c r="D41" s="280" t="s">
        <v>45</v>
      </c>
      <c r="I41" s="168"/>
      <c r="K41" s="100"/>
      <c r="L41" s="61"/>
    </row>
    <row r="42" spans="1:12" s="4" customFormat="1" ht="11.4" customHeight="1">
      <c r="A42" s="30" t="s">
        <v>77</v>
      </c>
      <c r="B42" s="248">
        <f ca="1">OFFSET(INDIRECT(PanelArrangement),6,2)</f>
        <v>5</v>
      </c>
      <c r="C42" s="163">
        <f t="shared" ca="1" si="0"/>
        <v>5</v>
      </c>
      <c r="D42" s="110" t="s">
        <v>45</v>
      </c>
      <c r="K42" s="100"/>
      <c r="L42" s="61"/>
    </row>
    <row r="43" spans="1:12" s="4" customFormat="1" ht="11.4" customHeight="1">
      <c r="A43" s="30" t="s">
        <v>78</v>
      </c>
      <c r="B43" s="248">
        <f ca="1">OFFSET(INDIRECT(PanelArrangement),7,2)</f>
        <v>2</v>
      </c>
      <c r="C43" s="164">
        <f t="shared" ca="1" si="0"/>
        <v>2</v>
      </c>
      <c r="D43" s="110" t="s">
        <v>45</v>
      </c>
      <c r="K43" s="100"/>
      <c r="L43" s="61"/>
    </row>
    <row r="44" spans="1:12" s="4" customFormat="1" ht="11.4" hidden="1" customHeight="1">
      <c r="A44" s="45" t="s">
        <v>521</v>
      </c>
      <c r="B44" s="46"/>
      <c r="C44" s="909">
        <f ca="1">+MIN($C$86:$C$94)</f>
        <v>2</v>
      </c>
      <c r="D44" s="109"/>
      <c r="K44" s="100"/>
      <c r="L44" s="61"/>
    </row>
    <row r="45" spans="1:12" s="4" customFormat="1" ht="11.4" hidden="1" customHeight="1">
      <c r="A45" s="41" t="s">
        <v>346</v>
      </c>
      <c r="B45" s="42"/>
      <c r="C45" s="910">
        <f ca="1">+MIN($C$96:$C$104)</f>
        <v>2</v>
      </c>
      <c r="D45" s="109"/>
      <c r="K45" s="100"/>
      <c r="L45" s="61"/>
    </row>
    <row r="46" spans="1:12" s="4" customFormat="1" ht="11.4" hidden="1" customHeight="1">
      <c r="A46" s="40" t="s">
        <v>347</v>
      </c>
      <c r="B46" s="39"/>
      <c r="C46" s="911">
        <f ca="1">+MIN($C$106:$C$114)</f>
        <v>2</v>
      </c>
      <c r="D46" s="109"/>
      <c r="K46" s="100"/>
      <c r="L46" s="61"/>
    </row>
    <row r="47" spans="1:12" s="4" customFormat="1" ht="11.4" hidden="1" customHeight="1">
      <c r="A47" s="132" t="s">
        <v>76</v>
      </c>
      <c r="B47" s="912">
        <f>+PedHeight+SIN(RADIANS(Latitude))*LowEndExt</f>
        <v>7.401410761154855</v>
      </c>
      <c r="C47" s="912">
        <f ca="1">+PedHeight+SIN(RADIANS(Latitude))*(DecHypotLen+LowEndExt)</f>
        <v>7.401410761154855</v>
      </c>
      <c r="D47" s="109"/>
      <c r="K47" s="100"/>
      <c r="L47" s="61"/>
    </row>
    <row r="48" spans="1:12" s="4" customFormat="1" ht="11.4" customHeight="1">
      <c r="A48" s="19" t="s">
        <v>33</v>
      </c>
      <c r="B48" s="8"/>
      <c r="C48" s="171">
        <v>10</v>
      </c>
      <c r="D48" s="109"/>
      <c r="K48" s="100"/>
      <c r="L48" s="61"/>
    </row>
    <row r="49" spans="1:12" s="4" customFormat="1" ht="11.4" hidden="1" customHeight="1">
      <c r="A49" s="20" t="s">
        <v>226</v>
      </c>
      <c r="B49" s="8"/>
      <c r="C49" s="97">
        <f>+StraightLineWind*47.880172</f>
        <v>478.80172000000005</v>
      </c>
      <c r="D49" s="109"/>
      <c r="K49" s="100"/>
      <c r="L49" s="61"/>
    </row>
    <row r="50" spans="1:12" s="4" customFormat="1" ht="11.4" customHeight="1">
      <c r="A50" s="20" t="s">
        <v>316</v>
      </c>
      <c r="B50" s="8"/>
      <c r="C50" s="249">
        <f ca="1">+OFFSET(INDIRECT(PanelArrangement),9,2)+PPounds*IF(PanelArrangement&lt;&gt;"A_1",OFFSET(INDIRECT(PanelArrangement),6,2),1)*IF(PanelArrangement&lt;&gt;"A_1",OFFSET(INDIRECT(PanelArrangement),7,2),1)</f>
        <v>2159.0190578736715</v>
      </c>
      <c r="D50" s="133"/>
      <c r="K50" s="100"/>
    </row>
    <row r="51" spans="1:12" s="4" customFormat="1" ht="11.4" hidden="1" customHeight="1">
      <c r="A51" s="20" t="s">
        <v>429</v>
      </c>
      <c r="B51" s="8"/>
      <c r="C51" s="250">
        <f ca="1">+WindForce*4.4482</f>
        <v>9603.7485732336663</v>
      </c>
      <c r="D51" s="109"/>
      <c r="K51" s="100"/>
    </row>
    <row r="52" spans="1:12" s="4" customFormat="1" ht="11.4" customHeight="1">
      <c r="A52" s="20" t="s">
        <v>317</v>
      </c>
      <c r="B52" s="8"/>
      <c r="C52" s="252">
        <f ca="1">+OFFSET(INDIRECT(PanelArrangement),12,2)*COS(RADIANS(EWSolarPowerAngle))</f>
        <v>4395.0826224869097</v>
      </c>
      <c r="D52" s="109"/>
      <c r="K52" s="100"/>
    </row>
    <row r="53" spans="1:12" s="4" customFormat="1" ht="11.4" hidden="1" customHeight="1">
      <c r="A53" s="20" t="s">
        <v>318</v>
      </c>
      <c r="B53" s="8"/>
      <c r="C53" s="251">
        <f ca="1">+C52*0.737562</f>
        <v>3241.6459292066902</v>
      </c>
      <c r="D53" s="109"/>
      <c r="K53" s="100"/>
    </row>
    <row r="54" spans="1:12" s="4" customFormat="1" ht="11.4" customHeight="1">
      <c r="A54" s="2"/>
      <c r="B54" s="2"/>
      <c r="C54" s="2"/>
      <c r="D54" s="108"/>
      <c r="K54" s="100"/>
    </row>
    <row r="55" spans="1:12" s="4" customFormat="1" ht="11.4" customHeight="1">
      <c r="A55" s="2"/>
      <c r="B55" s="2"/>
      <c r="C55" s="2"/>
      <c r="D55" s="108"/>
      <c r="E55" s="28"/>
      <c r="K55" s="100"/>
    </row>
    <row r="56" spans="1:12" s="4" customFormat="1" ht="11.4" customHeight="1">
      <c r="A56" s="2"/>
      <c r="B56" s="2"/>
      <c r="C56" s="2"/>
      <c r="D56" s="108"/>
      <c r="E56" s="28"/>
      <c r="K56" s="100"/>
    </row>
    <row r="57" spans="1:12" s="4" customFormat="1" ht="11.4" customHeight="1">
      <c r="A57" s="2"/>
      <c r="B57" s="2"/>
      <c r="C57" s="2"/>
      <c r="D57" s="108"/>
      <c r="E57" s="28"/>
      <c r="K57" s="100"/>
    </row>
    <row r="58" spans="1:12" s="4" customFormat="1" ht="11.4" customHeight="1">
      <c r="A58" s="2"/>
      <c r="B58" s="2"/>
      <c r="C58" s="2"/>
      <c r="D58" s="108"/>
      <c r="E58" s="28"/>
      <c r="K58" s="100"/>
    </row>
    <row r="59" spans="1:12" s="4" customFormat="1" ht="11.4" customHeight="1">
      <c r="A59" s="2"/>
      <c r="B59" s="2"/>
      <c r="C59" s="2"/>
      <c r="D59" s="108"/>
      <c r="E59" s="28"/>
      <c r="K59" s="100"/>
    </row>
    <row r="60" spans="1:12" s="4" customFormat="1" ht="11.4" customHeight="1">
      <c r="A60" s="2"/>
      <c r="B60" s="2"/>
      <c r="C60" s="2"/>
      <c r="D60" s="108"/>
      <c r="E60" s="28"/>
      <c r="K60" s="100"/>
    </row>
    <row r="61" spans="1:12" s="4" customFormat="1" ht="11.4" customHeight="1">
      <c r="A61" s="2"/>
      <c r="B61" s="2"/>
      <c r="C61" s="2"/>
      <c r="D61" s="108"/>
      <c r="E61" s="28"/>
      <c r="K61" s="100"/>
    </row>
    <row r="62" spans="1:12" ht="10.8" customHeight="1"/>
    <row r="63" spans="1:12" ht="10.8" customHeight="1"/>
    <row r="64" spans="1:12" ht="10.8" customHeight="1"/>
    <row r="65" spans="1:11" s="56" customFormat="1" ht="10.8" customHeight="1">
      <c r="A65" s="56" t="s">
        <v>367</v>
      </c>
      <c r="D65" s="111"/>
      <c r="E65" s="57"/>
      <c r="F65" s="58"/>
      <c r="K65" s="101"/>
    </row>
    <row r="66" spans="1:11" s="4" customFormat="1" ht="10.199999999999999" customHeight="1">
      <c r="B66" s="7" t="s">
        <v>9</v>
      </c>
      <c r="C66" s="7" t="s">
        <v>10</v>
      </c>
      <c r="D66" s="108"/>
      <c r="E66" s="3"/>
      <c r="K66" s="100"/>
    </row>
    <row r="67" spans="1:11" s="4" customFormat="1" ht="10.199999999999999" customHeight="1">
      <c r="A67" s="5" t="s">
        <v>6</v>
      </c>
      <c r="B67" s="16">
        <v>0</v>
      </c>
      <c r="C67" s="16">
        <v>0</v>
      </c>
      <c r="D67" s="112"/>
      <c r="E67" s="24">
        <f t="shared" ref="E67:F74" si="1">+B67</f>
        <v>0</v>
      </c>
      <c r="F67" s="24">
        <f t="shared" si="1"/>
        <v>0</v>
      </c>
      <c r="K67" s="100"/>
    </row>
    <row r="68" spans="1:11" s="4" customFormat="1" ht="10.199999999999999" customHeight="1">
      <c r="A68" s="5" t="s">
        <v>368</v>
      </c>
      <c r="B68" s="16">
        <f>+$B$637</f>
        <v>0</v>
      </c>
      <c r="C68" s="16">
        <f>+PedHeight</f>
        <v>7.401410761154855</v>
      </c>
      <c r="D68" s="112"/>
      <c r="E68" s="24">
        <f t="shared" si="1"/>
        <v>0</v>
      </c>
      <c r="F68" s="24">
        <f t="shared" si="1"/>
        <v>7.401410761154855</v>
      </c>
      <c r="K68" s="100"/>
    </row>
    <row r="69" spans="1:11" s="4" customFormat="1" ht="10.199999999999999" customHeight="1">
      <c r="A69" s="5" t="s">
        <v>116</v>
      </c>
      <c r="B69" s="16">
        <f>+$B$68+COS(RADIANS(Latitude))*LowEndExt</f>
        <v>0.78018372703411143</v>
      </c>
      <c r="C69" s="16">
        <f>+$C$68+SIN(RADIANS(Latitude))*LowEndExt</f>
        <v>7.401410761154855</v>
      </c>
      <c r="D69" s="112"/>
      <c r="E69" s="24">
        <f t="shared" si="1"/>
        <v>0.78018372703411143</v>
      </c>
      <c r="F69" s="24">
        <f t="shared" si="1"/>
        <v>7.401410761154855</v>
      </c>
      <c r="K69" s="100"/>
    </row>
    <row r="70" spans="1:11" s="4" customFormat="1" ht="10.199999999999999" customHeight="1">
      <c r="A70" s="5" t="s">
        <v>47</v>
      </c>
      <c r="B70" s="16">
        <f ca="1">$B$69+COS(RADIANS(Latitude))*DecHypotLen/2</f>
        <v>8.9999999999999929</v>
      </c>
      <c r="C70" s="16">
        <f ca="1">$C$69+SIN(RADIANS(Latitude))*DecHypotLen/2</f>
        <v>7.401410761154855</v>
      </c>
      <c r="D70" s="112"/>
      <c r="E70" s="24">
        <f t="shared" ca="1" si="1"/>
        <v>8.9999999999999929</v>
      </c>
      <c r="F70" s="24">
        <f t="shared" ca="1" si="1"/>
        <v>7.401410761154855</v>
      </c>
      <c r="K70" s="100"/>
    </row>
    <row r="71" spans="1:11" s="4" customFormat="1" ht="10.199999999999999" customHeight="1">
      <c r="A71" s="5" t="s">
        <v>117</v>
      </c>
      <c r="B71" s="16">
        <f ca="1">$B$70+COS(RADIANS(Latitude))*$C$30/2</f>
        <v>17.219816272965872</v>
      </c>
      <c r="C71" s="16">
        <f ca="1">$C$70+SIN(RADIANS(Latitude))*DecHypotLen/2</f>
        <v>7.401410761154855</v>
      </c>
      <c r="D71" s="112"/>
      <c r="E71" s="24">
        <f t="shared" ca="1" si="1"/>
        <v>17.219816272965872</v>
      </c>
      <c r="F71" s="24">
        <f t="shared" ca="1" si="1"/>
        <v>7.401410761154855</v>
      </c>
      <c r="K71" s="100"/>
    </row>
    <row r="72" spans="1:11" s="4" customFormat="1" ht="10.199999999999999" customHeight="1">
      <c r="A72" s="5" t="s">
        <v>48</v>
      </c>
      <c r="B72" s="16">
        <f ca="1">$B$71+COS(RADIANS(Latitude))*($C$32)</f>
        <v>17.999999999999982</v>
      </c>
      <c r="C72" s="16">
        <f ca="1">+$C$71+SIN(RADIANS(Latitude))*HighEndExt</f>
        <v>7.401410761154855</v>
      </c>
      <c r="D72" s="112"/>
      <c r="E72" s="24">
        <f t="shared" ca="1" si="1"/>
        <v>17.999999999999982</v>
      </c>
      <c r="F72" s="24">
        <f t="shared" ca="1" si="1"/>
        <v>7.401410761154855</v>
      </c>
      <c r="K72" s="100"/>
    </row>
    <row r="73" spans="1:11" s="4" customFormat="1" ht="10.199999999999999" customHeight="1">
      <c r="A73" s="5" t="s">
        <v>369</v>
      </c>
      <c r="B73" s="17">
        <f ca="1">TAN(RADIANS(90-SupAngHighEnd))*($C$72-$C$68)+$B$72</f>
        <v>17.999999999999982</v>
      </c>
      <c r="C73" s="17">
        <f>+$C$68</f>
        <v>7.401410761154855</v>
      </c>
      <c r="D73" s="112"/>
      <c r="E73" s="24">
        <f t="shared" ca="1" si="1"/>
        <v>17.999999999999982</v>
      </c>
      <c r="F73" s="24">
        <f t="shared" si="1"/>
        <v>7.401410761154855</v>
      </c>
      <c r="K73" s="100"/>
    </row>
    <row r="74" spans="1:11" s="4" customFormat="1" ht="10.199999999999999" customHeight="1">
      <c r="A74" s="5" t="s">
        <v>7</v>
      </c>
      <c r="B74" s="17">
        <f ca="1">+$B$73</f>
        <v>17.999999999999982</v>
      </c>
      <c r="C74" s="17">
        <f>+$C$67</f>
        <v>0</v>
      </c>
      <c r="D74" s="112"/>
      <c r="E74" s="24">
        <f t="shared" ca="1" si="1"/>
        <v>17.999999999999982</v>
      </c>
      <c r="F74" s="24">
        <f t="shared" si="1"/>
        <v>0</v>
      </c>
      <c r="K74" s="100"/>
    </row>
    <row r="75" spans="1:11" s="4" customFormat="1" ht="10.199999999999999" customHeight="1">
      <c r="A75" s="5"/>
      <c r="B75" s="29" t="s">
        <v>62</v>
      </c>
      <c r="C75" s="29" t="s">
        <v>62</v>
      </c>
      <c r="D75" s="112"/>
      <c r="E75" s="25">
        <v>0</v>
      </c>
      <c r="F75" s="25">
        <v>0</v>
      </c>
      <c r="K75" s="100"/>
    </row>
    <row r="76" spans="1:11" s="4" customFormat="1" ht="10.199999999999999" customHeight="1">
      <c r="A76" s="46" t="s">
        <v>203</v>
      </c>
      <c r="B76" s="49">
        <f>$B$69</f>
        <v>0.78018372703411143</v>
      </c>
      <c r="C76" s="49">
        <f>$C$69</f>
        <v>7.401410761154855</v>
      </c>
      <c r="D76" s="120"/>
      <c r="E76" s="51">
        <f t="shared" ref="E76:F79" si="2">+B76</f>
        <v>0.78018372703411143</v>
      </c>
      <c r="F76" s="51">
        <f t="shared" si="2"/>
        <v>7.401410761154855</v>
      </c>
    </row>
    <row r="77" spans="1:11" s="4" customFormat="1" ht="10.199999999999999" customHeight="1">
      <c r="A77" s="46"/>
      <c r="B77" s="49">
        <f ca="1">$B$76+COS(RADIANS(90-Latitude-DecAng))*DecOffLen</f>
        <v>0.78018372703411143</v>
      </c>
      <c r="C77" s="47">
        <f ca="1">+$C$76+SIN(RADIANS(-Latitude-DecAng-90))*DecOffLen</f>
        <v>7.401410761154855</v>
      </c>
      <c r="D77" s="120"/>
      <c r="E77" s="51">
        <f t="shared" ca="1" si="2"/>
        <v>0.78018372703411143</v>
      </c>
      <c r="F77" s="51">
        <f t="shared" ca="1" si="2"/>
        <v>7.401410761154855</v>
      </c>
    </row>
    <row r="78" spans="1:11" s="4" customFormat="1" ht="10.199999999999999" customHeight="1">
      <c r="A78" s="46"/>
      <c r="B78" s="49">
        <f ca="1">$B$79-COS(RADIANS(90-Latitude-DecAng))*DecOffLen</f>
        <v>17.219816272965872</v>
      </c>
      <c r="C78" s="49">
        <f ca="1">+$C$79+SIN(RADIANS(Latitude+DecAng+90))*DecOffLen</f>
        <v>7.401410761154855</v>
      </c>
      <c r="D78" s="120"/>
      <c r="E78" s="51">
        <f t="shared" ca="1" si="2"/>
        <v>17.219816272965872</v>
      </c>
      <c r="F78" s="51">
        <f t="shared" ca="1" si="2"/>
        <v>7.401410761154855</v>
      </c>
    </row>
    <row r="79" spans="1:11" s="4" customFormat="1" ht="10.199999999999999" customHeight="1">
      <c r="A79" s="46"/>
      <c r="B79" s="49">
        <f ca="1">COS(RADIANS(Latitude))*(LowEndExt+DecHypotLen)</f>
        <v>17.219816272965872</v>
      </c>
      <c r="C79" s="49">
        <f ca="1">+SIN(RADIANS(Latitude))*(LowEndExt+DecHypotLen)+PedHeight</f>
        <v>7.401410761154855</v>
      </c>
      <c r="D79" s="120"/>
      <c r="E79" s="51">
        <f t="shared" ca="1" si="2"/>
        <v>17.219816272965872</v>
      </c>
      <c r="F79" s="51">
        <f t="shared" ca="1" si="2"/>
        <v>7.401410761154855</v>
      </c>
    </row>
    <row r="80" spans="1:11" s="4" customFormat="1" ht="10.199999999999999" customHeight="1">
      <c r="A80" s="116"/>
      <c r="B80" s="117" t="s">
        <v>62</v>
      </c>
      <c r="C80" s="117" t="s">
        <v>62</v>
      </c>
      <c r="D80" s="118"/>
      <c r="E80" s="119">
        <v>0</v>
      </c>
      <c r="F80" s="119">
        <v>0</v>
      </c>
      <c r="K80" s="100"/>
    </row>
    <row r="81" spans="1:12" s="4" customFormat="1" ht="10.199999999999999" customHeight="1">
      <c r="A81" s="39" t="s">
        <v>204</v>
      </c>
      <c r="B81" s="38">
        <f>$B$69</f>
        <v>0.78018372703411143</v>
      </c>
      <c r="C81" s="38">
        <f>$C$69</f>
        <v>7.401410761154855</v>
      </c>
      <c r="D81" s="115"/>
      <c r="E81" s="55">
        <f t="shared" ref="E81:F84" si="3">+B81</f>
        <v>0.78018372703411143</v>
      </c>
      <c r="F81" s="55">
        <f t="shared" si="3"/>
        <v>7.401410761154855</v>
      </c>
      <c r="K81" s="100"/>
    </row>
    <row r="82" spans="1:12" s="4" customFormat="1" ht="10.199999999999999" customHeight="1">
      <c r="A82" s="39"/>
      <c r="B82" s="38">
        <f ca="1">$B$81+COS(RADIANS(90-DecAng+Latitude))*DecOffLen</f>
        <v>0.78018372703411143</v>
      </c>
      <c r="C82" s="38">
        <f ca="1">+$C$81+SIN(RADIANS(Latitude-DecAng+90))*DecOffLen</f>
        <v>7.401410761154855</v>
      </c>
      <c r="D82" s="115"/>
      <c r="E82" s="55">
        <f t="shared" ca="1" si="3"/>
        <v>0.78018372703411143</v>
      </c>
      <c r="F82" s="55">
        <f t="shared" ca="1" si="3"/>
        <v>7.401410761154855</v>
      </c>
      <c r="G82" s="3"/>
      <c r="K82" s="100"/>
    </row>
    <row r="83" spans="1:12" s="4" customFormat="1" ht="10.199999999999999" customHeight="1">
      <c r="A83" s="39"/>
      <c r="B83" s="38">
        <f ca="1">$B$84-COS(RADIANS(90-DecAng+Latitude))*DecOffLen</f>
        <v>17.219816272965872</v>
      </c>
      <c r="C83" s="38">
        <f ca="1">+$C$84-SIN(RADIANS(Latitude-DecAng+90))*DecOffLen</f>
        <v>7.401410761154855</v>
      </c>
      <c r="D83" s="115"/>
      <c r="E83" s="55">
        <f t="shared" ca="1" si="3"/>
        <v>17.219816272965872</v>
      </c>
      <c r="F83" s="55">
        <f t="shared" ca="1" si="3"/>
        <v>7.401410761154855</v>
      </c>
      <c r="G83" s="3"/>
      <c r="K83" s="100"/>
    </row>
    <row r="84" spans="1:12" s="4" customFormat="1" ht="10.199999999999999" customHeight="1">
      <c r="A84" s="39"/>
      <c r="B84" s="38">
        <f ca="1">COS(RADIANS(Latitude))*(LowEndExt+DecHypotLen)</f>
        <v>17.219816272965872</v>
      </c>
      <c r="C84" s="38">
        <f ca="1">+SIN(RADIANS(Latitude))*(LowEndExt+DecHypotLen)+PedHeight</f>
        <v>7.401410761154855</v>
      </c>
      <c r="D84" s="115"/>
      <c r="E84" s="55">
        <f t="shared" ca="1" si="3"/>
        <v>17.219816272965872</v>
      </c>
      <c r="F84" s="55">
        <f t="shared" ca="1" si="3"/>
        <v>7.401410761154855</v>
      </c>
      <c r="G84" s="3"/>
      <c r="K84" s="100"/>
    </row>
    <row r="85" spans="1:12" s="4" customFormat="1" ht="10.199999999999999" customHeight="1">
      <c r="A85" s="5"/>
      <c r="B85" s="29" t="s">
        <v>62</v>
      </c>
      <c r="C85" s="29" t="s">
        <v>62</v>
      </c>
      <c r="D85" s="112"/>
      <c r="E85" s="25">
        <v>0</v>
      </c>
      <c r="F85" s="25">
        <v>0</v>
      </c>
      <c r="G85" s="128"/>
      <c r="K85" s="100"/>
    </row>
    <row r="86" spans="1:12" s="4" customFormat="1" ht="11.4" customHeight="1">
      <c r="A86" s="48" t="s">
        <v>214</v>
      </c>
      <c r="B86" s="49">
        <f ca="1">+$B$70</f>
        <v>8.9999999999999929</v>
      </c>
      <c r="C86" s="49">
        <f ca="1">+$C$70</f>
        <v>7.401410761154855</v>
      </c>
      <c r="D86" s="112"/>
      <c r="E86" s="51">
        <f t="shared" ref="E86:E94" ca="1" si="4">+B86</f>
        <v>8.9999999999999929</v>
      </c>
      <c r="F86" s="51">
        <f t="shared" ref="F86:F94" ca="1" si="5">+C86</f>
        <v>7.401410761154855</v>
      </c>
      <c r="G86" s="3"/>
      <c r="K86" s="100"/>
    </row>
    <row r="87" spans="1:12" s="4" customFormat="1" ht="11.4" customHeight="1">
      <c r="A87" s="46" t="s">
        <v>209</v>
      </c>
      <c r="B87" s="49">
        <f ca="1">+$B$86-COS(RADIANS(Latitude+DecAng))*PanArrayLen/2</f>
        <v>0.7801837270341121</v>
      </c>
      <c r="C87" s="49">
        <f ca="1">+$C$86-SIN(RADIANS(Latitude+DecAng))*PanArrayLen/2</f>
        <v>7.401410761154855</v>
      </c>
      <c r="D87" s="112"/>
      <c r="E87" s="51">
        <f t="shared" ca="1" si="4"/>
        <v>0.7801837270341121</v>
      </c>
      <c r="F87" s="51">
        <f t="shared" ca="1" si="5"/>
        <v>7.401410761154855</v>
      </c>
      <c r="G87" s="3"/>
      <c r="K87" s="100"/>
    </row>
    <row r="88" spans="1:12" s="4" customFormat="1" ht="11.4" customHeight="1">
      <c r="A88" s="46" t="s">
        <v>0</v>
      </c>
      <c r="B88" s="49">
        <f ca="1">$B$87+COS(RADIANS(Latitude+DecAng+90))*PanWidthLowEnd/2</f>
        <v>0.78018372703411243</v>
      </c>
      <c r="C88" s="49">
        <f ca="1">+$C$87+SIN(RADIANS(Latitude+DecAng+90))*PanWidthLowEnd/2</f>
        <v>12.80282152230971</v>
      </c>
      <c r="D88" s="112"/>
      <c r="E88" s="51">
        <f t="shared" ca="1" si="4"/>
        <v>0.78018372703411243</v>
      </c>
      <c r="F88" s="51">
        <f t="shared" ca="1" si="5"/>
        <v>12.80282152230971</v>
      </c>
      <c r="G88" s="3"/>
      <c r="K88" s="100"/>
      <c r="L88" s="126"/>
    </row>
    <row r="89" spans="1:12" s="4" customFormat="1" ht="11.4" customHeight="1">
      <c r="A89" s="46" t="s">
        <v>211</v>
      </c>
      <c r="B89" s="49">
        <f ca="1">$B$88+COS(RADIANS(Latitude+DecAng+TriangleAngle+0))*TriangleLength</f>
        <v>0.78018372703411243</v>
      </c>
      <c r="C89" s="49">
        <f ca="1">$C$88+SIN(RADIANS(Latitude+DecAng+TriangleAngle+0))*TriangleLength</f>
        <v>12.80282152230971</v>
      </c>
      <c r="D89" s="112"/>
      <c r="E89" s="52">
        <f t="shared" ca="1" si="4"/>
        <v>0.78018372703411243</v>
      </c>
      <c r="F89" s="52">
        <f t="shared" ca="1" si="5"/>
        <v>12.80282152230971</v>
      </c>
      <c r="G89" s="3"/>
      <c r="K89" s="100"/>
    </row>
    <row r="90" spans="1:12" ht="11.4" customHeight="1">
      <c r="A90" s="46" t="s">
        <v>210</v>
      </c>
      <c r="B90" s="49">
        <f ca="1">+$B$89+COS(RADIANS(Latitude+DecAng))*(PanArrayLen-COS(RADIANS(TriangleAngle+0))*TriangleLength)</f>
        <v>17.219816272965875</v>
      </c>
      <c r="C90" s="49">
        <f ca="1">+$C$89+SIN(RADIANS(Latitude+DecAng))*(PanArrayLen-COS(RADIANS(TriangleAngle+0))*TriangleLength)</f>
        <v>12.80282152230971</v>
      </c>
      <c r="E90" s="51">
        <f t="shared" ca="1" si="4"/>
        <v>17.219816272965875</v>
      </c>
      <c r="F90" s="51">
        <f t="shared" ca="1" si="5"/>
        <v>12.80282152230971</v>
      </c>
      <c r="G90" s="28"/>
    </row>
    <row r="91" spans="1:12" ht="11.4" customHeight="1">
      <c r="A91" s="46" t="s">
        <v>2</v>
      </c>
      <c r="B91" s="49">
        <f ca="1">+$B$90-COS(RADIANS(Latitude+DecAng+90))*PanWidthHighEnd</f>
        <v>17.219816272965875</v>
      </c>
      <c r="C91" s="49">
        <f ca="1">+$C$90+SIN(RADIANS(Latitude+DecAng-90))*PanWidthHighEnd</f>
        <v>2</v>
      </c>
      <c r="E91" s="51">
        <f t="shared" ca="1" si="4"/>
        <v>17.219816272965875</v>
      </c>
      <c r="F91" s="51">
        <f t="shared" ca="1" si="5"/>
        <v>2</v>
      </c>
      <c r="G91" s="28"/>
    </row>
    <row r="92" spans="1:12" ht="11.4" customHeight="1">
      <c r="A92" s="46" t="s">
        <v>210</v>
      </c>
      <c r="B92" s="49">
        <f ca="1">+$B$91-COS(RADIANS(Latitude+DecAng))*(PanArrayLen-COS(RADIANS(TriangleAngle+0))*TriangleLength)</f>
        <v>0.78018372703411387</v>
      </c>
      <c r="C92" s="49">
        <f ca="1">+$C$91-SIN(RADIANS(Latitude+DecAng))*(PanArrayLen-COS(RADIANS(TriangleAngle+0))*TriangleLength)</f>
        <v>2</v>
      </c>
      <c r="E92" s="51">
        <f t="shared" ca="1" si="4"/>
        <v>0.78018372703411387</v>
      </c>
      <c r="F92" s="51">
        <f t="shared" ca="1" si="5"/>
        <v>2</v>
      </c>
      <c r="G92" s="28"/>
    </row>
    <row r="93" spans="1:12" ht="11.4" customHeight="1">
      <c r="A93" s="46" t="s">
        <v>208</v>
      </c>
      <c r="B93" s="49">
        <f ca="1">$B$92-COS(RADIANS(Latitude+DecAng-TriangleAngle+0))*TriangleLength</f>
        <v>0.78018372703411387</v>
      </c>
      <c r="C93" s="49">
        <f ca="1">$C$92-SIN(RADIANS(Latitude+DecAng-TriangleAngle+0))*TriangleLength</f>
        <v>2</v>
      </c>
      <c r="E93" s="52">
        <f t="shared" ca="1" si="4"/>
        <v>0.78018372703411387</v>
      </c>
      <c r="F93" s="52">
        <f t="shared" ca="1" si="5"/>
        <v>2</v>
      </c>
      <c r="G93" s="28"/>
    </row>
    <row r="94" spans="1:12" ht="11.4" customHeight="1">
      <c r="A94" s="46" t="s">
        <v>0</v>
      </c>
      <c r="B94" s="49">
        <f ca="1">+$B$87</f>
        <v>0.7801837270341121</v>
      </c>
      <c r="C94" s="49">
        <f ca="1">+$C$87</f>
        <v>7.401410761154855</v>
      </c>
      <c r="E94" s="51">
        <f t="shared" ca="1" si="4"/>
        <v>0.7801837270341121</v>
      </c>
      <c r="F94" s="51">
        <f t="shared" ca="1" si="5"/>
        <v>7.401410761154855</v>
      </c>
      <c r="G94" s="28"/>
    </row>
    <row r="95" spans="1:12" ht="11.4" customHeight="1">
      <c r="A95" s="5"/>
      <c r="B95" s="29" t="s">
        <v>62</v>
      </c>
      <c r="C95" s="29" t="s">
        <v>62</v>
      </c>
      <c r="E95" s="25">
        <v>0</v>
      </c>
      <c r="F95" s="25">
        <v>0</v>
      </c>
      <c r="G95" s="113"/>
      <c r="H95" s="121"/>
    </row>
    <row r="96" spans="1:12" ht="11.4" customHeight="1">
      <c r="A96" s="43" t="s">
        <v>212</v>
      </c>
      <c r="B96" s="44">
        <f ca="1">+$B$70</f>
        <v>8.9999999999999929</v>
      </c>
      <c r="C96" s="44">
        <f ca="1">+$C$70</f>
        <v>7.401410761154855</v>
      </c>
      <c r="E96" s="53">
        <f t="shared" ref="E96:E104" ca="1" si="6">+B96</f>
        <v>8.9999999999999929</v>
      </c>
      <c r="F96" s="53">
        <f t="shared" ref="F96:F104" ca="1" si="7">+C96</f>
        <v>7.401410761154855</v>
      </c>
      <c r="G96" s="113"/>
      <c r="H96" s="121"/>
    </row>
    <row r="97" spans="1:7" ht="11.4" customHeight="1">
      <c r="A97" s="42" t="s">
        <v>209</v>
      </c>
      <c r="B97" s="44">
        <f ca="1">+$B$96-COS(RADIANS(Latitude))*PanArrayLen/2</f>
        <v>0.7801837270341121</v>
      </c>
      <c r="C97" s="44">
        <f ca="1">+$C$106-SIN(RADIANS(Latitude))*PanArrayLen/2</f>
        <v>7.401410761154855</v>
      </c>
      <c r="E97" s="53">
        <f t="shared" ca="1" si="6"/>
        <v>0.7801837270341121</v>
      </c>
      <c r="F97" s="53">
        <f t="shared" ca="1" si="7"/>
        <v>7.401410761154855</v>
      </c>
      <c r="G97" s="114"/>
    </row>
    <row r="98" spans="1:7" ht="11.4" customHeight="1">
      <c r="A98" s="42" t="s">
        <v>0</v>
      </c>
      <c r="B98" s="44">
        <f ca="1">$B$97+COS(RADIANS(Latitude+90))*PanWidthLowEnd/2</f>
        <v>0.78018372703411243</v>
      </c>
      <c r="C98" s="44">
        <f ca="1">+$C$97+SIN(RADIANS(Latitude+90))*PanWidthLowEnd/2</f>
        <v>12.80282152230971</v>
      </c>
      <c r="E98" s="53">
        <f t="shared" ca="1" si="6"/>
        <v>0.78018372703411243</v>
      </c>
      <c r="F98" s="53">
        <f t="shared" ca="1" si="7"/>
        <v>12.80282152230971</v>
      </c>
      <c r="G98" s="113"/>
    </row>
    <row r="99" spans="1:7" ht="11.4" customHeight="1">
      <c r="A99" s="42" t="s">
        <v>211</v>
      </c>
      <c r="B99" s="44">
        <f ca="1">$B$98+COS(RADIANS(Latitude+TriangleAngle+0))*TriangleLength</f>
        <v>0.78018372703411243</v>
      </c>
      <c r="C99" s="44">
        <f ca="1">$C$98+SIN(RADIANS(Latitude+TriangleAngle+0))*TriangleLength</f>
        <v>12.80282152230971</v>
      </c>
      <c r="E99" s="54">
        <f t="shared" ca="1" si="6"/>
        <v>0.78018372703411243</v>
      </c>
      <c r="F99" s="54">
        <f t="shared" ca="1" si="7"/>
        <v>12.80282152230971</v>
      </c>
      <c r="G99" s="114"/>
    </row>
    <row r="100" spans="1:7" ht="11.4" customHeight="1">
      <c r="A100" s="42" t="s">
        <v>210</v>
      </c>
      <c r="B100" s="44">
        <f ca="1">+$B$99+COS(RADIANS(Latitude))*(PanArrayLen-COS(RADIANS(TriangleAngle+0))*TriangleLength)</f>
        <v>17.219816272965875</v>
      </c>
      <c r="C100" s="44">
        <f ca="1">+$C$99+SIN(RADIANS(Latitude))*(PanArrayLen-COS(RADIANS(TriangleAngle+0))*TriangleLength)</f>
        <v>12.80282152230971</v>
      </c>
      <c r="E100" s="53">
        <f t="shared" ca="1" si="6"/>
        <v>17.219816272965875</v>
      </c>
      <c r="F100" s="53">
        <f t="shared" ca="1" si="7"/>
        <v>12.80282152230971</v>
      </c>
      <c r="G100" s="113"/>
    </row>
    <row r="101" spans="1:7" ht="11.4" customHeight="1">
      <c r="A101" s="42" t="s">
        <v>2</v>
      </c>
      <c r="B101" s="44">
        <f ca="1">+$B$100-COS(RADIANS(Latitude+90))*PanWidthHighEnd</f>
        <v>17.219816272965875</v>
      </c>
      <c r="C101" s="44">
        <f ca="1">+$C$100+SIN(RADIANS(Latitude-90))*PanWidthHighEnd</f>
        <v>2</v>
      </c>
      <c r="E101" s="53">
        <f t="shared" ca="1" si="6"/>
        <v>17.219816272965875</v>
      </c>
      <c r="F101" s="53">
        <f t="shared" ca="1" si="7"/>
        <v>2</v>
      </c>
      <c r="G101" s="114"/>
    </row>
    <row r="102" spans="1:7" ht="11.4" customHeight="1">
      <c r="A102" s="42" t="s">
        <v>210</v>
      </c>
      <c r="B102" s="44">
        <f ca="1">+$B$101-COS(RADIANS(Latitude))*(PanArrayLen-COS(RADIANS(TriangleAngle+0))*TriangleLength)</f>
        <v>0.78018372703411387</v>
      </c>
      <c r="C102" s="44">
        <f ca="1">+$C$101-SIN(RADIANS(Latitude))*(PanArrayLen-COS(RADIANS(TriangleAngle+0))*TriangleLength)</f>
        <v>2</v>
      </c>
      <c r="E102" s="53">
        <f t="shared" ca="1" si="6"/>
        <v>0.78018372703411387</v>
      </c>
      <c r="F102" s="53">
        <f t="shared" ca="1" si="7"/>
        <v>2</v>
      </c>
      <c r="G102" s="113"/>
    </row>
    <row r="103" spans="1:7" ht="11.4" customHeight="1">
      <c r="A103" s="42" t="s">
        <v>208</v>
      </c>
      <c r="B103" s="44">
        <f ca="1">$B$102-COS(RADIANS(Latitude-TriangleAngle+0))*TriangleLength</f>
        <v>0.78018372703411387</v>
      </c>
      <c r="C103" s="44">
        <f ca="1">$C$102-SIN(RADIANS(Latitude-TriangleAngle+0))*TriangleLength</f>
        <v>2</v>
      </c>
      <c r="E103" s="54">
        <f t="shared" ca="1" si="6"/>
        <v>0.78018372703411387</v>
      </c>
      <c r="F103" s="54">
        <f t="shared" ca="1" si="7"/>
        <v>2</v>
      </c>
      <c r="G103" s="114"/>
    </row>
    <row r="104" spans="1:7" ht="11.4" customHeight="1">
      <c r="A104" s="42" t="s">
        <v>0</v>
      </c>
      <c r="B104" s="44">
        <f ca="1">+$B$97</f>
        <v>0.7801837270341121</v>
      </c>
      <c r="C104" s="44">
        <f ca="1">+$C$97</f>
        <v>7.401410761154855</v>
      </c>
      <c r="E104" s="53">
        <f t="shared" ca="1" si="6"/>
        <v>0.7801837270341121</v>
      </c>
      <c r="F104" s="53">
        <f t="shared" ca="1" si="7"/>
        <v>7.401410761154855</v>
      </c>
      <c r="G104" s="113"/>
    </row>
    <row r="105" spans="1:7" ht="11.4" customHeight="1">
      <c r="B105" s="29" t="s">
        <v>62</v>
      </c>
      <c r="C105" s="29" t="s">
        <v>62</v>
      </c>
      <c r="E105" s="25">
        <v>0</v>
      </c>
      <c r="F105" s="25">
        <v>0</v>
      </c>
      <c r="G105" s="114"/>
    </row>
    <row r="106" spans="1:7" ht="11.4" customHeight="1">
      <c r="A106" s="37" t="s">
        <v>213</v>
      </c>
      <c r="B106" s="38">
        <f ca="1">+$B$70</f>
        <v>8.9999999999999929</v>
      </c>
      <c r="C106" s="38">
        <f ca="1">+$C$70</f>
        <v>7.401410761154855</v>
      </c>
      <c r="E106" s="55">
        <f t="shared" ref="E106:F108" ca="1" si="8">+B106</f>
        <v>8.9999999999999929</v>
      </c>
      <c r="F106" s="55">
        <f t="shared" ca="1" si="8"/>
        <v>7.401410761154855</v>
      </c>
      <c r="G106" s="127"/>
    </row>
    <row r="107" spans="1:7" ht="11.4" customHeight="1">
      <c r="A107" s="39" t="s">
        <v>209</v>
      </c>
      <c r="B107" s="38">
        <f ca="1">+$B$106-COS(RADIANS(Latitude-DecAng))*PanArrayLen/2</f>
        <v>0.7801837270341121</v>
      </c>
      <c r="C107" s="38">
        <f ca="1">+$C$106-SIN(RADIANS(Latitude-DecAng))*PanArrayLen/2</f>
        <v>7.401410761154855</v>
      </c>
      <c r="E107" s="55">
        <f t="shared" ca="1" si="8"/>
        <v>0.7801837270341121</v>
      </c>
      <c r="F107" s="55">
        <f t="shared" ca="1" si="8"/>
        <v>7.401410761154855</v>
      </c>
      <c r="G107" s="114"/>
    </row>
    <row r="108" spans="1:7" ht="11.4" customHeight="1">
      <c r="A108" s="39" t="s">
        <v>0</v>
      </c>
      <c r="B108" s="38">
        <f ca="1">$B$107+COS(RADIANS(Latitude-DecAng+90))*PanWidthLowEnd/2</f>
        <v>0.78018372703411243</v>
      </c>
      <c r="C108" s="38">
        <f ca="1">+$C$107+SIN(RADIANS(Latitude-DecAng+90))*PanWidthLowEnd/2</f>
        <v>12.80282152230971</v>
      </c>
      <c r="E108" s="55">
        <f t="shared" ca="1" si="8"/>
        <v>0.78018372703411243</v>
      </c>
      <c r="F108" s="55">
        <f t="shared" ca="1" si="8"/>
        <v>12.80282152230971</v>
      </c>
      <c r="G108" s="113"/>
    </row>
    <row r="109" spans="1:7" ht="11.4" customHeight="1">
      <c r="A109" s="39" t="s">
        <v>211</v>
      </c>
      <c r="B109" s="38">
        <f ca="1">$B$108+COS(RADIANS(Latitude-DecAng+TriangleAngle+0))*TriangleLength</f>
        <v>0.78018372703411243</v>
      </c>
      <c r="C109" s="38">
        <f ca="1">$C$108+SIN(RADIANS(Latitude-DecAng+TriangleAngle+0))*TriangleLength</f>
        <v>12.80282152230971</v>
      </c>
      <c r="E109" s="55">
        <f t="shared" ref="E109" ca="1" si="9">+B109</f>
        <v>0.78018372703411243</v>
      </c>
      <c r="F109" s="55">
        <f t="shared" ref="F109" ca="1" si="10">+C109</f>
        <v>12.80282152230971</v>
      </c>
    </row>
    <row r="110" spans="1:7" ht="11.4" customHeight="1">
      <c r="A110" s="39" t="s">
        <v>210</v>
      </c>
      <c r="B110" s="38">
        <f ca="1">+$B$109+COS(RADIANS(Latitude-DecAng))*(PanArrayLen-COS(RADIANS(TriangleAngle+0))*TriangleLength)</f>
        <v>17.219816272965875</v>
      </c>
      <c r="C110" s="38">
        <f ca="1">+$C$109+SIN(RADIANS(Latitude-DecAng))*(PanArrayLen-COS(RADIANS(TriangleAngle+0))*TriangleLength)</f>
        <v>12.80282152230971</v>
      </c>
      <c r="E110" s="55">
        <f t="shared" ref="E110:F112" ca="1" si="11">+B110</f>
        <v>17.219816272965875</v>
      </c>
      <c r="F110" s="55">
        <f t="shared" ca="1" si="11"/>
        <v>12.80282152230971</v>
      </c>
    </row>
    <row r="111" spans="1:7" ht="11.4" customHeight="1">
      <c r="A111" s="39" t="s">
        <v>2</v>
      </c>
      <c r="B111" s="38">
        <f ca="1">+$B$110-COS(RADIANS(Latitude-DecAng+90))*PanWidthHighEnd</f>
        <v>17.219816272965875</v>
      </c>
      <c r="C111" s="38">
        <f ca="1">+$C$110+SIN(RADIANS(Latitude-DecAng-90))*PanWidthHighEnd</f>
        <v>2</v>
      </c>
      <c r="E111" s="55">
        <f t="shared" ca="1" si="11"/>
        <v>17.219816272965875</v>
      </c>
      <c r="F111" s="55">
        <f t="shared" ca="1" si="11"/>
        <v>2</v>
      </c>
    </row>
    <row r="112" spans="1:7" ht="11.4" customHeight="1">
      <c r="A112" s="39" t="s">
        <v>210</v>
      </c>
      <c r="B112" s="38">
        <f ca="1">+$B$111-COS(RADIANS(Latitude-DecAng))*(PanArrayLen-COS(RADIANS(TriangleAngle+0))*TriangleLength)</f>
        <v>0.78018372703411387</v>
      </c>
      <c r="C112" s="38">
        <f ca="1">+$C$111-SIN(RADIANS(Latitude-DecAng))*(PanArrayLen-COS(RADIANS(TriangleAngle+0))*TriangleLength)</f>
        <v>2</v>
      </c>
      <c r="E112" s="55">
        <f t="shared" ca="1" si="11"/>
        <v>0.78018372703411387</v>
      </c>
      <c r="F112" s="55">
        <f t="shared" ca="1" si="11"/>
        <v>2</v>
      </c>
    </row>
    <row r="113" spans="1:7" ht="11.4" customHeight="1">
      <c r="A113" s="39" t="s">
        <v>208</v>
      </c>
      <c r="B113" s="38">
        <f ca="1">$B$112-COS(RADIANS(Latitude-DecAng-TriangleAngle+0))*TriangleLength</f>
        <v>0.78018372703411387</v>
      </c>
      <c r="C113" s="38">
        <f ca="1">$C$112-SIN(RADIANS(Latitude-DecAng-TriangleAngle+0))*TriangleLength</f>
        <v>2</v>
      </c>
      <c r="E113" s="55">
        <f t="shared" ref="E113" ca="1" si="12">+B113</f>
        <v>0.78018372703411387</v>
      </c>
      <c r="F113" s="55">
        <f t="shared" ref="F113" ca="1" si="13">+C113</f>
        <v>2</v>
      </c>
    </row>
    <row r="114" spans="1:7" ht="11.4" customHeight="1">
      <c r="A114" s="39" t="s">
        <v>0</v>
      </c>
      <c r="B114" s="38">
        <f ca="1">+$B$107</f>
        <v>0.7801837270341121</v>
      </c>
      <c r="C114" s="38">
        <f ca="1">+$C$107</f>
        <v>7.401410761154855</v>
      </c>
      <c r="E114" s="55">
        <f t="shared" ref="E114:F114" ca="1" si="14">+B114</f>
        <v>0.7801837270341121</v>
      </c>
      <c r="F114" s="55">
        <f t="shared" ca="1" si="14"/>
        <v>7.401410761154855</v>
      </c>
    </row>
    <row r="115" spans="1:7" ht="10.199999999999999" hidden="1" customHeight="1">
      <c r="A115" s="116"/>
      <c r="B115" s="122"/>
      <c r="C115" s="122"/>
      <c r="D115" s="123"/>
      <c r="E115" s="124"/>
      <c r="F115" s="124"/>
    </row>
    <row r="116" spans="1:7" ht="10.199999999999999" hidden="1" customHeight="1">
      <c r="A116" s="116"/>
      <c r="B116" s="122"/>
      <c r="C116" s="122"/>
      <c r="D116" s="123"/>
      <c r="E116" s="124"/>
      <c r="F116" s="124"/>
    </row>
    <row r="117" spans="1:7" ht="10.8" hidden="1" customHeight="1">
      <c r="A117" s="116"/>
      <c r="B117" s="117"/>
      <c r="C117" s="117"/>
      <c r="D117" s="123"/>
      <c r="E117" s="119"/>
      <c r="F117" s="119"/>
    </row>
    <row r="118" spans="1:7" ht="10.8" hidden="1" customHeight="1">
      <c r="A118" s="116"/>
      <c r="B118" s="125"/>
      <c r="C118" s="125"/>
      <c r="D118" s="123"/>
      <c r="E118" s="124"/>
      <c r="F118" s="124"/>
    </row>
    <row r="119" spans="1:7" ht="10.8" hidden="1" customHeight="1">
      <c r="A119" s="116"/>
      <c r="B119" s="125"/>
      <c r="C119" s="125"/>
      <c r="D119" s="123"/>
      <c r="E119" s="124"/>
      <c r="F119" s="124"/>
    </row>
    <row r="120" spans="1:7" ht="10.8" hidden="1" customHeight="1">
      <c r="A120" s="116"/>
      <c r="B120" s="117"/>
      <c r="C120" s="117"/>
      <c r="D120" s="123"/>
      <c r="E120" s="119"/>
      <c r="F120" s="119"/>
    </row>
    <row r="121" spans="1:7" ht="10.8" hidden="1" customHeight="1">
      <c r="A121" s="116"/>
      <c r="B121" s="125"/>
      <c r="C121" s="125"/>
      <c r="D121" s="123"/>
      <c r="E121" s="124"/>
      <c r="F121" s="124"/>
      <c r="G121" s="28"/>
    </row>
    <row r="122" spans="1:7" ht="10.8" hidden="1" customHeight="1">
      <c r="A122" s="116"/>
      <c r="B122" s="125"/>
      <c r="C122" s="125"/>
      <c r="D122" s="123"/>
      <c r="E122" s="124"/>
      <c r="F122" s="124"/>
      <c r="G122" s="28"/>
    </row>
    <row r="123" spans="1:7" ht="15" hidden="1" customHeight="1"/>
    <row r="124" spans="1:7" ht="15" hidden="1" customHeight="1"/>
    <row r="125" spans="1:7" ht="15" hidden="1" customHeight="1"/>
  </sheetData>
  <sheetProtection sheet="1" objects="1" scenarios="1"/>
  <hyperlinks>
    <hyperlink ref="E10" r:id="rId1"/>
    <hyperlink ref="B2" r:id="rId2" location="tripod"/>
    <hyperlink ref="G2" r:id="rId3"/>
    <hyperlink ref="F10" r:id="rId4"/>
    <hyperlink ref="G10" r:id="rId5"/>
    <hyperlink ref="H10" r:id="rId6"/>
  </hyperlinks>
  <pageMargins left="0.7" right="0.7" top="0.75" bottom="0.75" header="0.3" footer="0.3"/>
  <pageSetup orientation="portrait" r:id="rId7"/>
  <drawing r:id="rId8"/>
  <legacyDrawing r:id="rId9"/>
</worksheet>
</file>

<file path=xl/worksheets/sheet10.xml><?xml version="1.0" encoding="utf-8"?>
<worksheet xmlns="http://schemas.openxmlformats.org/spreadsheetml/2006/main" xmlns:r="http://schemas.openxmlformats.org/officeDocument/2006/relationships">
  <dimension ref="A1"/>
  <sheetViews>
    <sheetView topLeftCell="A56" workbookViewId="0">
      <selection activeCell="K73" sqref="K73"/>
    </sheetView>
  </sheetViews>
  <sheetFormatPr defaultRowHeight="14.4"/>
  <sheetData/>
  <sheetProtection sheet="1" objects="1" scenarios="1"/>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S70"/>
  <sheetViews>
    <sheetView topLeftCell="A16" zoomScaleNormal="100" workbookViewId="0">
      <selection activeCell="Q31" sqref="Q31"/>
    </sheetView>
  </sheetViews>
  <sheetFormatPr defaultRowHeight="11.4" customHeight="1"/>
  <cols>
    <col min="1" max="1" width="9.33203125" style="195" customWidth="1"/>
    <col min="2" max="2" width="8.88671875" style="195" customWidth="1"/>
    <col min="3" max="15" width="5.21875" style="200" customWidth="1"/>
    <col min="16" max="16" width="13.77734375" style="193" bestFit="1" customWidth="1"/>
    <col min="17" max="17" width="12.77734375" style="196" customWidth="1"/>
    <col min="18" max="18" width="12.77734375" style="194" customWidth="1"/>
    <col min="19" max="19" width="7.109375" style="194" customWidth="1"/>
    <col min="20" max="16384" width="8.88671875" style="194"/>
  </cols>
  <sheetData>
    <row r="1" spans="1:19" s="191" customFormat="1" ht="21.6" customHeight="1">
      <c r="A1" s="191" t="s">
        <v>293</v>
      </c>
      <c r="C1" s="199"/>
      <c r="D1" s="199"/>
      <c r="E1" s="199"/>
      <c r="F1" s="199"/>
      <c r="G1" s="199"/>
      <c r="H1" s="199"/>
      <c r="I1" s="199"/>
      <c r="J1" s="199"/>
      <c r="K1" s="199"/>
      <c r="L1" s="199"/>
      <c r="M1" s="199"/>
      <c r="N1" s="199"/>
      <c r="O1" s="199"/>
      <c r="P1" s="201"/>
      <c r="Q1" s="192"/>
      <c r="S1" s="99" t="s">
        <v>177</v>
      </c>
    </row>
    <row r="2" spans="1:19" ht="10.199999999999999" customHeight="1">
      <c r="A2" s="195" t="s">
        <v>243</v>
      </c>
      <c r="B2" s="195" t="s">
        <v>308</v>
      </c>
    </row>
    <row r="3" spans="1:19" ht="10.199999999999999" customHeight="1">
      <c r="A3" s="195" t="s">
        <v>244</v>
      </c>
      <c r="B3" s="653" t="s">
        <v>245</v>
      </c>
    </row>
    <row r="4" spans="1:19" ht="10.199999999999999" customHeight="1">
      <c r="A4" s="195" t="s">
        <v>246</v>
      </c>
      <c r="B4" s="653">
        <v>14926</v>
      </c>
    </row>
    <row r="5" spans="1:19" ht="10.199999999999999" customHeight="1">
      <c r="A5" s="195" t="s">
        <v>247</v>
      </c>
      <c r="B5" s="654">
        <v>45.55</v>
      </c>
    </row>
    <row r="6" spans="1:19" ht="10.199999999999999" customHeight="1">
      <c r="A6" s="195" t="s">
        <v>248</v>
      </c>
      <c r="B6" s="654">
        <v>94.07</v>
      </c>
    </row>
    <row r="7" spans="1:19" ht="10.199999999999999" customHeight="1">
      <c r="A7" s="195" t="s">
        <v>249</v>
      </c>
      <c r="B7" s="653" t="s">
        <v>303</v>
      </c>
    </row>
    <row r="8" spans="1:19" ht="10.199999999999999" customHeight="1">
      <c r="A8" s="195" t="s">
        <v>250</v>
      </c>
      <c r="B8" s="653" t="s">
        <v>304</v>
      </c>
    </row>
    <row r="9" spans="1:19" ht="10.199999999999999" customHeight="1">
      <c r="A9" s="195" t="s">
        <v>251</v>
      </c>
      <c r="B9" s="653" t="s">
        <v>252</v>
      </c>
    </row>
    <row r="10" spans="1:19" s="136" customFormat="1" ht="10.199999999999999" customHeight="1">
      <c r="A10" s="202" t="s">
        <v>307</v>
      </c>
      <c r="B10" s="202"/>
      <c r="C10" s="160"/>
      <c r="D10" s="160"/>
      <c r="E10" s="160"/>
      <c r="F10" s="160"/>
      <c r="G10" s="160"/>
      <c r="H10" s="160"/>
      <c r="I10" s="160"/>
      <c r="J10" s="160"/>
      <c r="K10" s="160"/>
      <c r="L10" s="160"/>
      <c r="M10" s="160"/>
      <c r="N10" s="160"/>
      <c r="O10" s="160"/>
      <c r="P10" s="203"/>
      <c r="Q10" s="204"/>
    </row>
    <row r="11" spans="1:19" ht="10.199999999999999" customHeight="1" thickBot="1">
      <c r="A11" s="653" t="s">
        <v>253</v>
      </c>
      <c r="B11" s="195" t="s">
        <v>254</v>
      </c>
      <c r="C11" s="200" t="s">
        <v>255</v>
      </c>
      <c r="D11" s="200" t="s">
        <v>256</v>
      </c>
      <c r="E11" s="200" t="s">
        <v>257</v>
      </c>
      <c r="F11" s="200" t="s">
        <v>258</v>
      </c>
      <c r="G11" s="200" t="s">
        <v>259</v>
      </c>
      <c r="H11" s="200" t="s">
        <v>260</v>
      </c>
      <c r="I11" s="200" t="s">
        <v>261</v>
      </c>
      <c r="J11" s="200" t="s">
        <v>262</v>
      </c>
      <c r="K11" s="200" t="s">
        <v>263</v>
      </c>
      <c r="L11" s="200" t="s">
        <v>264</v>
      </c>
      <c r="M11" s="200" t="s">
        <v>265</v>
      </c>
      <c r="N11" s="200" t="s">
        <v>266</v>
      </c>
      <c r="O11" s="200" t="s">
        <v>267</v>
      </c>
    </row>
    <row r="12" spans="1:19" ht="10.199999999999999" customHeight="1">
      <c r="A12" s="655" t="s">
        <v>586</v>
      </c>
      <c r="B12" s="603" t="s">
        <v>268</v>
      </c>
      <c r="C12" s="634">
        <v>1.7</v>
      </c>
      <c r="D12" s="634">
        <v>2.7</v>
      </c>
      <c r="E12" s="634">
        <v>3.8</v>
      </c>
      <c r="F12" s="634">
        <v>4.7</v>
      </c>
      <c r="G12" s="634">
        <v>5.6</v>
      </c>
      <c r="H12" s="634">
        <v>6.2</v>
      </c>
      <c r="I12" s="634">
        <v>6.3</v>
      </c>
      <c r="J12" s="634">
        <v>5.4</v>
      </c>
      <c r="K12" s="634">
        <v>4</v>
      </c>
      <c r="L12" s="634">
        <v>2.7</v>
      </c>
      <c r="M12" s="634">
        <v>1.7</v>
      </c>
      <c r="N12" s="634">
        <v>1.3</v>
      </c>
      <c r="O12" s="635">
        <v>3.8</v>
      </c>
      <c r="P12" s="599" t="s">
        <v>362</v>
      </c>
    </row>
    <row r="13" spans="1:19" ht="10.199999999999999" customHeight="1">
      <c r="A13" s="656" t="s">
        <v>341</v>
      </c>
      <c r="B13" s="606" t="s">
        <v>270</v>
      </c>
      <c r="C13" s="636">
        <v>1.4</v>
      </c>
      <c r="D13" s="636">
        <v>2.2000000000000002</v>
      </c>
      <c r="E13" s="636">
        <v>3.1</v>
      </c>
      <c r="F13" s="636">
        <v>4</v>
      </c>
      <c r="G13" s="636">
        <v>4.7</v>
      </c>
      <c r="H13" s="636">
        <v>5.6</v>
      </c>
      <c r="I13" s="636">
        <v>5.6</v>
      </c>
      <c r="J13" s="636">
        <v>4.8</v>
      </c>
      <c r="K13" s="636">
        <v>3.2</v>
      </c>
      <c r="L13" s="636">
        <v>2.2000000000000002</v>
      </c>
      <c r="M13" s="636">
        <v>1.3</v>
      </c>
      <c r="N13" s="636">
        <v>1.1000000000000001</v>
      </c>
      <c r="O13" s="637">
        <v>3.6</v>
      </c>
      <c r="P13" s="600">
        <f>+AVERAGE(C12:N12)</f>
        <v>3.8416666666666668</v>
      </c>
    </row>
    <row r="14" spans="1:19" ht="10.199999999999999" customHeight="1" thickBot="1">
      <c r="A14" s="657" t="s">
        <v>269</v>
      </c>
      <c r="B14" s="607" t="s">
        <v>271</v>
      </c>
      <c r="C14" s="638">
        <v>1.9</v>
      </c>
      <c r="D14" s="638">
        <v>3</v>
      </c>
      <c r="E14" s="638">
        <v>4.4000000000000004</v>
      </c>
      <c r="F14" s="638">
        <v>5.6</v>
      </c>
      <c r="G14" s="638">
        <v>6.4</v>
      </c>
      <c r="H14" s="638">
        <v>7.2</v>
      </c>
      <c r="I14" s="638">
        <v>7.1</v>
      </c>
      <c r="J14" s="638">
        <v>6.5</v>
      </c>
      <c r="K14" s="638">
        <v>4.5</v>
      </c>
      <c r="L14" s="638">
        <v>3.2</v>
      </c>
      <c r="M14" s="638">
        <v>1.9</v>
      </c>
      <c r="N14" s="638">
        <v>1.6</v>
      </c>
      <c r="O14" s="639">
        <v>4.2</v>
      </c>
      <c r="P14" s="601">
        <f>+P13/$P$44</f>
        <v>0.62466124661246625</v>
      </c>
    </row>
    <row r="15" spans="1:19" ht="10.199999999999999" customHeight="1">
      <c r="A15" s="658">
        <f>+$B$5-15</f>
        <v>30.549999999999997</v>
      </c>
      <c r="B15" s="603" t="s">
        <v>268</v>
      </c>
      <c r="C15" s="634">
        <v>3</v>
      </c>
      <c r="D15" s="634">
        <v>4.0999999999999996</v>
      </c>
      <c r="E15" s="634">
        <v>4.8</v>
      </c>
      <c r="F15" s="634">
        <v>5.3</v>
      </c>
      <c r="G15" s="634">
        <v>5.8</v>
      </c>
      <c r="H15" s="634">
        <v>6.1</v>
      </c>
      <c r="I15" s="634">
        <v>6.3</v>
      </c>
      <c r="J15" s="634">
        <v>5.8</v>
      </c>
      <c r="K15" s="634">
        <v>4.8</v>
      </c>
      <c r="L15" s="634">
        <v>3.8</v>
      </c>
      <c r="M15" s="634">
        <v>2.6</v>
      </c>
      <c r="N15" s="634">
        <v>2.2999999999999998</v>
      </c>
      <c r="O15" s="635">
        <v>4.5999999999999996</v>
      </c>
      <c r="P15" s="293" t="s">
        <v>338</v>
      </c>
    </row>
    <row r="16" spans="1:19" ht="10.199999999999999" customHeight="1">
      <c r="A16" s="656" t="s">
        <v>587</v>
      </c>
      <c r="B16" s="606" t="s">
        <v>270</v>
      </c>
      <c r="C16" s="636">
        <v>2.2999999999999998</v>
      </c>
      <c r="D16" s="636">
        <v>3</v>
      </c>
      <c r="E16" s="636">
        <v>3.7</v>
      </c>
      <c r="F16" s="636">
        <v>4.3</v>
      </c>
      <c r="G16" s="636">
        <v>4.8</v>
      </c>
      <c r="H16" s="636">
        <v>5.5</v>
      </c>
      <c r="I16" s="636">
        <v>5.6</v>
      </c>
      <c r="J16" s="636">
        <v>5.0999999999999996</v>
      </c>
      <c r="K16" s="636">
        <v>3.4</v>
      </c>
      <c r="L16" s="636">
        <v>2.9</v>
      </c>
      <c r="M16" s="636">
        <v>1.7</v>
      </c>
      <c r="N16" s="636">
        <v>1.8</v>
      </c>
      <c r="O16" s="637">
        <v>4.0999999999999996</v>
      </c>
      <c r="P16" s="296">
        <f>+AVERAGE(C15:N15)</f>
        <v>4.5583333333333327</v>
      </c>
    </row>
    <row r="17" spans="1:17" ht="10.199999999999999" customHeight="1" thickBot="1">
      <c r="A17" s="657" t="s">
        <v>269</v>
      </c>
      <c r="B17" s="607" t="s">
        <v>271</v>
      </c>
      <c r="C17" s="638">
        <v>3.6</v>
      </c>
      <c r="D17" s="638">
        <v>4.8</v>
      </c>
      <c r="E17" s="638">
        <v>5.9</v>
      </c>
      <c r="F17" s="638">
        <v>6.4</v>
      </c>
      <c r="G17" s="638">
        <v>6.6</v>
      </c>
      <c r="H17" s="638">
        <v>7.1</v>
      </c>
      <c r="I17" s="638">
        <v>7.1</v>
      </c>
      <c r="J17" s="638">
        <v>7.1</v>
      </c>
      <c r="K17" s="638">
        <v>5.6</v>
      </c>
      <c r="L17" s="638">
        <v>4.9000000000000004</v>
      </c>
      <c r="M17" s="638">
        <v>3.1</v>
      </c>
      <c r="N17" s="638">
        <v>3</v>
      </c>
      <c r="O17" s="639">
        <v>5</v>
      </c>
      <c r="P17" s="292">
        <f>+P16/$P$44</f>
        <v>0.74119241192411922</v>
      </c>
    </row>
    <row r="18" spans="1:17" ht="10.199999999999999" customHeight="1">
      <c r="A18" s="658">
        <f>$B$5</f>
        <v>45.55</v>
      </c>
      <c r="B18" s="603" t="s">
        <v>268</v>
      </c>
      <c r="C18" s="634">
        <v>3.4</v>
      </c>
      <c r="D18" s="634">
        <v>4.5</v>
      </c>
      <c r="E18" s="634">
        <v>5</v>
      </c>
      <c r="F18" s="634">
        <v>5.0999999999999996</v>
      </c>
      <c r="G18" s="634">
        <v>5.4</v>
      </c>
      <c r="H18" s="634">
        <v>5.6</v>
      </c>
      <c r="I18" s="634">
        <v>5.8</v>
      </c>
      <c r="J18" s="634">
        <v>5.6</v>
      </c>
      <c r="K18" s="634">
        <v>4.9000000000000004</v>
      </c>
      <c r="L18" s="634">
        <v>4.0999999999999996</v>
      </c>
      <c r="M18" s="634">
        <v>2.9</v>
      </c>
      <c r="N18" s="634">
        <v>2.6</v>
      </c>
      <c r="O18" s="635">
        <v>4.5999999999999996</v>
      </c>
      <c r="P18" s="293" t="s">
        <v>342</v>
      </c>
    </row>
    <row r="19" spans="1:17" ht="10.199999999999999" customHeight="1">
      <c r="A19" s="656" t="s">
        <v>335</v>
      </c>
      <c r="B19" s="606" t="s">
        <v>270</v>
      </c>
      <c r="C19" s="636">
        <v>2.6</v>
      </c>
      <c r="D19" s="636">
        <v>3.2</v>
      </c>
      <c r="E19" s="636">
        <v>3.8</v>
      </c>
      <c r="F19" s="636">
        <v>4.0999999999999996</v>
      </c>
      <c r="G19" s="636">
        <v>4.5</v>
      </c>
      <c r="H19" s="636">
        <v>5</v>
      </c>
      <c r="I19" s="636">
        <v>5.2</v>
      </c>
      <c r="J19" s="636">
        <v>4.9000000000000004</v>
      </c>
      <c r="K19" s="636">
        <v>3.4</v>
      </c>
      <c r="L19" s="636">
        <v>3</v>
      </c>
      <c r="M19" s="636">
        <v>1.8</v>
      </c>
      <c r="N19" s="636">
        <v>2</v>
      </c>
      <c r="O19" s="637">
        <v>4.0999999999999996</v>
      </c>
      <c r="P19" s="296">
        <f>+AVERAGE(C18:N18)</f>
        <v>4.5750000000000002</v>
      </c>
    </row>
    <row r="20" spans="1:17" ht="10.199999999999999" customHeight="1" thickBot="1">
      <c r="A20" s="657" t="s">
        <v>269</v>
      </c>
      <c r="B20" s="607" t="s">
        <v>271</v>
      </c>
      <c r="C20" s="638">
        <v>4.2</v>
      </c>
      <c r="D20" s="638">
        <v>5.4</v>
      </c>
      <c r="E20" s="638">
        <v>6.2</v>
      </c>
      <c r="F20" s="638">
        <v>6.3</v>
      </c>
      <c r="G20" s="638">
        <v>6.2</v>
      </c>
      <c r="H20" s="638">
        <v>6.5</v>
      </c>
      <c r="I20" s="638">
        <v>6.6</v>
      </c>
      <c r="J20" s="638">
        <v>6.9</v>
      </c>
      <c r="K20" s="638">
        <v>5.7</v>
      </c>
      <c r="L20" s="638">
        <v>5.3</v>
      </c>
      <c r="M20" s="638">
        <v>3.5</v>
      </c>
      <c r="N20" s="638">
        <v>3.5</v>
      </c>
      <c r="O20" s="639">
        <v>5.0999999999999996</v>
      </c>
      <c r="P20" s="292">
        <f>+P19/$P$44</f>
        <v>0.74390243902439035</v>
      </c>
    </row>
    <row r="21" spans="1:17" ht="10.199999999999999" customHeight="1">
      <c r="A21" s="658">
        <f>$B$5+15</f>
        <v>60.55</v>
      </c>
      <c r="B21" s="603" t="s">
        <v>268</v>
      </c>
      <c r="C21" s="634">
        <v>3.7</v>
      </c>
      <c r="D21" s="634">
        <v>4.7</v>
      </c>
      <c r="E21" s="634">
        <v>5</v>
      </c>
      <c r="F21" s="634">
        <v>4.7</v>
      </c>
      <c r="G21" s="634">
        <v>4.8</v>
      </c>
      <c r="H21" s="634">
        <v>4.8</v>
      </c>
      <c r="I21" s="634">
        <v>5.0999999999999996</v>
      </c>
      <c r="J21" s="634">
        <v>5</v>
      </c>
      <c r="K21" s="634">
        <v>4.5999999999999996</v>
      </c>
      <c r="L21" s="634">
        <v>4.0999999999999996</v>
      </c>
      <c r="M21" s="634">
        <v>3</v>
      </c>
      <c r="N21" s="634">
        <v>2.8</v>
      </c>
      <c r="O21" s="635">
        <v>4.4000000000000004</v>
      </c>
      <c r="P21" s="293" t="s">
        <v>339</v>
      </c>
    </row>
    <row r="22" spans="1:17" ht="10.199999999999999" customHeight="1">
      <c r="A22" s="656" t="s">
        <v>588</v>
      </c>
      <c r="B22" s="606" t="s">
        <v>270</v>
      </c>
      <c r="C22" s="636">
        <v>2.7</v>
      </c>
      <c r="D22" s="636">
        <v>3.3</v>
      </c>
      <c r="E22" s="636">
        <v>3.7</v>
      </c>
      <c r="F22" s="636">
        <v>3.8</v>
      </c>
      <c r="G22" s="636">
        <v>4</v>
      </c>
      <c r="H22" s="636">
        <v>4.3</v>
      </c>
      <c r="I22" s="636">
        <v>4.5999999999999996</v>
      </c>
      <c r="J22" s="636">
        <v>4.4000000000000004</v>
      </c>
      <c r="K22" s="636">
        <v>3.1</v>
      </c>
      <c r="L22" s="636">
        <v>3</v>
      </c>
      <c r="M22" s="636">
        <v>1.8</v>
      </c>
      <c r="N22" s="636">
        <v>2.1</v>
      </c>
      <c r="O22" s="637">
        <v>3.9</v>
      </c>
      <c r="P22" s="296">
        <f>+AVERAGE(C21:N21)</f>
        <v>4.3583333333333334</v>
      </c>
    </row>
    <row r="23" spans="1:17" ht="10.199999999999999" customHeight="1" thickBot="1">
      <c r="A23" s="657" t="s">
        <v>269</v>
      </c>
      <c r="B23" s="607" t="s">
        <v>271</v>
      </c>
      <c r="C23" s="638">
        <v>4.5</v>
      </c>
      <c r="D23" s="638">
        <v>5.7</v>
      </c>
      <c r="E23" s="638">
        <v>6.3</v>
      </c>
      <c r="F23" s="638">
        <v>5.9</v>
      </c>
      <c r="G23" s="638">
        <v>5.4</v>
      </c>
      <c r="H23" s="638">
        <v>5.6</v>
      </c>
      <c r="I23" s="638">
        <v>5.7</v>
      </c>
      <c r="J23" s="638">
        <v>6.2</v>
      </c>
      <c r="K23" s="638">
        <v>5.5</v>
      </c>
      <c r="L23" s="638">
        <v>5.3</v>
      </c>
      <c r="M23" s="638">
        <v>3.7</v>
      </c>
      <c r="N23" s="638">
        <v>3.8</v>
      </c>
      <c r="O23" s="639">
        <v>4.8</v>
      </c>
      <c r="P23" s="292">
        <f>+P22/$P$44</f>
        <v>0.70867208672086723</v>
      </c>
    </row>
    <row r="24" spans="1:17" ht="10.199999999999999" customHeight="1">
      <c r="A24" s="655" t="s">
        <v>589</v>
      </c>
      <c r="B24" s="603" t="s">
        <v>268</v>
      </c>
      <c r="C24" s="634">
        <v>3.6</v>
      </c>
      <c r="D24" s="634">
        <v>4.4000000000000004</v>
      </c>
      <c r="E24" s="634">
        <v>4.3</v>
      </c>
      <c r="F24" s="634">
        <v>3.4</v>
      </c>
      <c r="G24" s="634">
        <v>3</v>
      </c>
      <c r="H24" s="634">
        <v>2.8</v>
      </c>
      <c r="I24" s="634">
        <v>3</v>
      </c>
      <c r="J24" s="634">
        <v>3.3</v>
      </c>
      <c r="K24" s="634">
        <v>3.5</v>
      </c>
      <c r="L24" s="634">
        <v>3.5</v>
      </c>
      <c r="M24" s="634">
        <v>2.8</v>
      </c>
      <c r="N24" s="634">
        <v>2.7</v>
      </c>
      <c r="O24" s="635">
        <v>3.3</v>
      </c>
      <c r="P24" s="293" t="s">
        <v>340</v>
      </c>
    </row>
    <row r="25" spans="1:17" ht="10.199999999999999" customHeight="1">
      <c r="A25" s="656" t="s">
        <v>336</v>
      </c>
      <c r="B25" s="606" t="s">
        <v>270</v>
      </c>
      <c r="C25" s="636">
        <v>2.6</v>
      </c>
      <c r="D25" s="636">
        <v>3.1</v>
      </c>
      <c r="E25" s="636">
        <v>3</v>
      </c>
      <c r="F25" s="636">
        <v>2.7</v>
      </c>
      <c r="G25" s="636">
        <v>2.6</v>
      </c>
      <c r="H25" s="636">
        <v>2.6</v>
      </c>
      <c r="I25" s="636">
        <v>2.8</v>
      </c>
      <c r="J25" s="636">
        <v>2.9</v>
      </c>
      <c r="K25" s="636">
        <v>2.2999999999999998</v>
      </c>
      <c r="L25" s="636">
        <v>2.5</v>
      </c>
      <c r="M25" s="636">
        <v>1.6</v>
      </c>
      <c r="N25" s="636">
        <v>2</v>
      </c>
      <c r="O25" s="637">
        <v>2.9</v>
      </c>
      <c r="P25" s="296">
        <f>+AVERAGE(C24:N24)</f>
        <v>3.3583333333333338</v>
      </c>
    </row>
    <row r="26" spans="1:17" ht="10.199999999999999" customHeight="1" thickBot="1">
      <c r="A26" s="657" t="s">
        <v>269</v>
      </c>
      <c r="B26" s="607" t="s">
        <v>271</v>
      </c>
      <c r="C26" s="638">
        <v>4.4000000000000004</v>
      </c>
      <c r="D26" s="638">
        <v>5.4</v>
      </c>
      <c r="E26" s="638">
        <v>5.6</v>
      </c>
      <c r="F26" s="638">
        <v>4.0999999999999996</v>
      </c>
      <c r="G26" s="638">
        <v>3.3</v>
      </c>
      <c r="H26" s="638">
        <v>3.2</v>
      </c>
      <c r="I26" s="638">
        <v>3.4</v>
      </c>
      <c r="J26" s="638">
        <v>4</v>
      </c>
      <c r="K26" s="638">
        <v>4.2</v>
      </c>
      <c r="L26" s="638">
        <v>4.5999999999999996</v>
      </c>
      <c r="M26" s="638">
        <v>3.4</v>
      </c>
      <c r="N26" s="638">
        <v>3.8</v>
      </c>
      <c r="O26" s="639">
        <v>3.7</v>
      </c>
      <c r="P26" s="292">
        <f>+P25/$P$44</f>
        <v>0.54607046070460719</v>
      </c>
    </row>
    <row r="27" spans="1:17" s="136" customFormat="1" ht="10.199999999999999" customHeight="1">
      <c r="A27" s="202" t="s">
        <v>300</v>
      </c>
      <c r="B27" s="202"/>
      <c r="C27" s="160"/>
      <c r="D27" s="160"/>
      <c r="E27" s="160"/>
      <c r="F27" s="160"/>
      <c r="G27" s="160"/>
      <c r="H27" s="160"/>
      <c r="I27" s="160"/>
      <c r="J27" s="160"/>
      <c r="K27" s="160"/>
      <c r="L27" s="160"/>
      <c r="M27" s="160"/>
      <c r="N27" s="160"/>
      <c r="O27" s="160"/>
      <c r="P27" s="203"/>
      <c r="Q27" s="204"/>
    </row>
    <row r="28" spans="1:17" ht="10.199999999999999" customHeight="1" thickBot="1">
      <c r="A28" s="653" t="s">
        <v>272</v>
      </c>
      <c r="B28" s="195" t="s">
        <v>254</v>
      </c>
      <c r="C28" s="200" t="s">
        <v>255</v>
      </c>
      <c r="D28" s="200" t="s">
        <v>256</v>
      </c>
      <c r="E28" s="200" t="s">
        <v>257</v>
      </c>
      <c r="F28" s="200" t="s">
        <v>258</v>
      </c>
      <c r="G28" s="200" t="s">
        <v>259</v>
      </c>
      <c r="H28" s="200" t="s">
        <v>260</v>
      </c>
      <c r="I28" s="200" t="s">
        <v>261</v>
      </c>
      <c r="J28" s="200" t="s">
        <v>262</v>
      </c>
      <c r="K28" s="200" t="s">
        <v>263</v>
      </c>
      <c r="L28" s="200" t="s">
        <v>264</v>
      </c>
      <c r="M28" s="200" t="s">
        <v>265</v>
      </c>
      <c r="N28" s="200" t="s">
        <v>266</v>
      </c>
      <c r="O28" s="200" t="s">
        <v>267</v>
      </c>
    </row>
    <row r="29" spans="1:17" ht="10.199999999999999" customHeight="1">
      <c r="A29" s="655" t="s">
        <v>586</v>
      </c>
      <c r="B29" s="603" t="s">
        <v>268</v>
      </c>
      <c r="C29" s="634">
        <v>2.6</v>
      </c>
      <c r="D29" s="634">
        <v>4</v>
      </c>
      <c r="E29" s="634">
        <v>5.3</v>
      </c>
      <c r="F29" s="634">
        <v>6.4</v>
      </c>
      <c r="G29" s="634">
        <v>7.5</v>
      </c>
      <c r="H29" s="634">
        <v>8.1999999999999993</v>
      </c>
      <c r="I29" s="634">
        <v>8.5</v>
      </c>
      <c r="J29" s="634">
        <v>7.4</v>
      </c>
      <c r="K29" s="634">
        <v>5.6</v>
      </c>
      <c r="L29" s="634">
        <v>3.9</v>
      </c>
      <c r="M29" s="634">
        <v>2.4</v>
      </c>
      <c r="N29" s="634">
        <v>1.9</v>
      </c>
      <c r="O29" s="635">
        <v>5.3</v>
      </c>
      <c r="P29" s="293" t="s">
        <v>337</v>
      </c>
    </row>
    <row r="30" spans="1:17" ht="10.199999999999999" customHeight="1">
      <c r="A30" s="656" t="s">
        <v>341</v>
      </c>
      <c r="B30" s="606" t="s">
        <v>270</v>
      </c>
      <c r="C30" s="636">
        <v>2</v>
      </c>
      <c r="D30" s="636">
        <v>2.8</v>
      </c>
      <c r="E30" s="636">
        <v>3.9</v>
      </c>
      <c r="F30" s="636">
        <v>4.8</v>
      </c>
      <c r="G30" s="636">
        <v>5.6</v>
      </c>
      <c r="H30" s="636">
        <v>7.1</v>
      </c>
      <c r="I30" s="636">
        <v>7.5</v>
      </c>
      <c r="J30" s="636">
        <v>6.2</v>
      </c>
      <c r="K30" s="636">
        <v>3.8</v>
      </c>
      <c r="L30" s="636">
        <v>2.8</v>
      </c>
      <c r="M30" s="636">
        <v>1.5</v>
      </c>
      <c r="N30" s="636">
        <v>1.5</v>
      </c>
      <c r="O30" s="637">
        <v>4.7</v>
      </c>
      <c r="P30" s="296">
        <f>+AVERAGE(C29:N29)</f>
        <v>5.3083333333333327</v>
      </c>
    </row>
    <row r="31" spans="1:17" ht="10.199999999999999" customHeight="1" thickBot="1">
      <c r="A31" s="657" t="s">
        <v>269</v>
      </c>
      <c r="B31" s="607" t="s">
        <v>271</v>
      </c>
      <c r="C31" s="638">
        <v>3.1</v>
      </c>
      <c r="D31" s="638">
        <v>4.8</v>
      </c>
      <c r="E31" s="638">
        <v>6.5</v>
      </c>
      <c r="F31" s="638">
        <v>8.1</v>
      </c>
      <c r="G31" s="638">
        <v>8.8000000000000007</v>
      </c>
      <c r="H31" s="638">
        <v>10.1</v>
      </c>
      <c r="I31" s="638">
        <v>10</v>
      </c>
      <c r="J31" s="638">
        <v>9.6999999999999993</v>
      </c>
      <c r="K31" s="638">
        <v>6.7</v>
      </c>
      <c r="L31" s="638">
        <v>5.0999999999999996</v>
      </c>
      <c r="M31" s="638">
        <v>2.9</v>
      </c>
      <c r="N31" s="638">
        <v>2.5</v>
      </c>
      <c r="O31" s="639">
        <v>5.9</v>
      </c>
      <c r="P31" s="292">
        <f>+P30/$P$44</f>
        <v>0.86314363143631434</v>
      </c>
      <c r="Q31" s="825"/>
    </row>
    <row r="32" spans="1:17" ht="10.199999999999999" customHeight="1">
      <c r="A32" s="658">
        <f>+$B$5-15</f>
        <v>30.549999999999997</v>
      </c>
      <c r="B32" s="603" t="s">
        <v>268</v>
      </c>
      <c r="C32" s="640">
        <v>3.6</v>
      </c>
      <c r="D32" s="640">
        <v>5</v>
      </c>
      <c r="E32" s="640">
        <v>6.2</v>
      </c>
      <c r="F32" s="641">
        <v>6.8</v>
      </c>
      <c r="G32" s="642">
        <v>7.7</v>
      </c>
      <c r="H32" s="642">
        <v>8.1999999999999993</v>
      </c>
      <c r="I32" s="642">
        <v>8.6999999999999993</v>
      </c>
      <c r="J32" s="642">
        <v>7.8</v>
      </c>
      <c r="K32" s="641">
        <v>6.3</v>
      </c>
      <c r="L32" s="640">
        <v>4.8</v>
      </c>
      <c r="M32" s="640">
        <v>3.1</v>
      </c>
      <c r="N32" s="640">
        <v>2.7</v>
      </c>
      <c r="O32" s="643">
        <v>5.9</v>
      </c>
      <c r="P32" s="599" t="s">
        <v>329</v>
      </c>
    </row>
    <row r="33" spans="1:19" ht="10.199999999999999" customHeight="1">
      <c r="A33" s="656" t="s">
        <v>334</v>
      </c>
      <c r="B33" s="606" t="s">
        <v>270</v>
      </c>
      <c r="C33" s="636">
        <v>2.7</v>
      </c>
      <c r="D33" s="636">
        <v>3.4</v>
      </c>
      <c r="E33" s="636">
        <v>4.4000000000000004</v>
      </c>
      <c r="F33" s="636">
        <v>5.0999999999999996</v>
      </c>
      <c r="G33" s="636">
        <v>5.8</v>
      </c>
      <c r="H33" s="636">
        <v>7.1</v>
      </c>
      <c r="I33" s="636">
        <v>7.6</v>
      </c>
      <c r="J33" s="636">
        <v>6.5</v>
      </c>
      <c r="K33" s="636">
        <v>4.0999999999999996</v>
      </c>
      <c r="L33" s="636">
        <v>3.3</v>
      </c>
      <c r="M33" s="636">
        <v>1.8</v>
      </c>
      <c r="N33" s="636">
        <v>2</v>
      </c>
      <c r="O33" s="637">
        <v>5.2</v>
      </c>
      <c r="P33" s="608">
        <f>+AVERAGE(C32:N32)</f>
        <v>5.9083333333333323</v>
      </c>
      <c r="Q33" s="294" t="s">
        <v>332</v>
      </c>
      <c r="R33" s="295" t="s">
        <v>333</v>
      </c>
    </row>
    <row r="34" spans="1:19" ht="10.199999999999999" customHeight="1" thickBot="1">
      <c r="A34" s="657" t="s">
        <v>269</v>
      </c>
      <c r="B34" s="607" t="s">
        <v>271</v>
      </c>
      <c r="C34" s="638">
        <v>4.4000000000000004</v>
      </c>
      <c r="D34" s="638">
        <v>6.2</v>
      </c>
      <c r="E34" s="638">
        <v>7.7</v>
      </c>
      <c r="F34" s="638">
        <v>8.8000000000000007</v>
      </c>
      <c r="G34" s="638">
        <v>9.1</v>
      </c>
      <c r="H34" s="638">
        <v>10.199999999999999</v>
      </c>
      <c r="I34" s="638">
        <v>10.199999999999999</v>
      </c>
      <c r="J34" s="638">
        <v>10.3</v>
      </c>
      <c r="K34" s="638">
        <v>7.6</v>
      </c>
      <c r="L34" s="638">
        <v>6.3</v>
      </c>
      <c r="M34" s="638">
        <v>3.8</v>
      </c>
      <c r="N34" s="638">
        <v>3.6</v>
      </c>
      <c r="O34" s="639">
        <v>6.7</v>
      </c>
      <c r="P34" s="609">
        <f>+P33/$P$44</f>
        <v>0.96070460704607041</v>
      </c>
      <c r="Q34" s="290" t="s">
        <v>295</v>
      </c>
      <c r="R34" s="290" t="s">
        <v>294</v>
      </c>
      <c r="S34" s="197"/>
    </row>
    <row r="35" spans="1:19" ht="10.199999999999999" customHeight="1">
      <c r="A35" s="658">
        <f>$B$5</f>
        <v>45.55</v>
      </c>
      <c r="B35" s="603" t="s">
        <v>268</v>
      </c>
      <c r="C35" s="634">
        <v>3.9</v>
      </c>
      <c r="D35" s="634">
        <v>5.4</v>
      </c>
      <c r="E35" s="644">
        <v>6.3</v>
      </c>
      <c r="F35" s="644">
        <v>6.8</v>
      </c>
      <c r="G35" s="634">
        <v>7.4</v>
      </c>
      <c r="H35" s="634">
        <v>7.9</v>
      </c>
      <c r="I35" s="634">
        <v>8.4</v>
      </c>
      <c r="J35" s="634">
        <v>7.7</v>
      </c>
      <c r="K35" s="644">
        <v>6.3</v>
      </c>
      <c r="L35" s="644">
        <v>5</v>
      </c>
      <c r="M35" s="634">
        <v>3.3</v>
      </c>
      <c r="N35" s="634">
        <v>2.9</v>
      </c>
      <c r="O35" s="645">
        <v>5.9</v>
      </c>
      <c r="P35" s="599" t="s">
        <v>330</v>
      </c>
      <c r="Q35" s="291">
        <f>+AVERAGE(C38,D38,E38,F32,G32,H32,I32,J32,K32,L38,M38,N38)</f>
        <v>6.0749999999999993</v>
      </c>
      <c r="R35" s="291">
        <f>+AVERAGE(C38,D38,E35,F35,G32,H32,I32,J32,K35,L35,M38,N38)</f>
        <v>6.0749999999999993</v>
      </c>
      <c r="S35" s="197"/>
    </row>
    <row r="36" spans="1:19" ht="10.199999999999999" customHeight="1">
      <c r="A36" s="656" t="s">
        <v>335</v>
      </c>
      <c r="B36" s="606" t="s">
        <v>270</v>
      </c>
      <c r="C36" s="636">
        <v>3</v>
      </c>
      <c r="D36" s="636">
        <v>3.6</v>
      </c>
      <c r="E36" s="636">
        <v>4.5</v>
      </c>
      <c r="F36" s="636">
        <v>5</v>
      </c>
      <c r="G36" s="636">
        <v>5.6</v>
      </c>
      <c r="H36" s="636">
        <v>6.8</v>
      </c>
      <c r="I36" s="636">
        <v>7.3</v>
      </c>
      <c r="J36" s="636">
        <v>6.3</v>
      </c>
      <c r="K36" s="636">
        <v>4</v>
      </c>
      <c r="L36" s="636">
        <v>3.5</v>
      </c>
      <c r="M36" s="636">
        <v>1.9</v>
      </c>
      <c r="N36" s="636">
        <v>2.2000000000000002</v>
      </c>
      <c r="O36" s="637">
        <v>5.2</v>
      </c>
      <c r="P36" s="600">
        <f>+AVERAGE(C35:N35)</f>
        <v>5.9416666666666664</v>
      </c>
      <c r="Q36" s="292">
        <f>+Q35/$P$44</f>
        <v>0.98780487804878048</v>
      </c>
      <c r="R36" s="292">
        <f>+R35/$P$44</f>
        <v>0.98780487804878048</v>
      </c>
      <c r="S36" s="197"/>
    </row>
    <row r="37" spans="1:19" ht="10.199999999999999" customHeight="1" thickBot="1">
      <c r="A37" s="657" t="s">
        <v>269</v>
      </c>
      <c r="B37" s="607" t="s">
        <v>271</v>
      </c>
      <c r="C37" s="638">
        <v>4.9000000000000004</v>
      </c>
      <c r="D37" s="638">
        <v>6.7</v>
      </c>
      <c r="E37" s="638">
        <v>8</v>
      </c>
      <c r="F37" s="638">
        <v>8.8000000000000007</v>
      </c>
      <c r="G37" s="638">
        <v>8.9</v>
      </c>
      <c r="H37" s="638">
        <v>9.8000000000000007</v>
      </c>
      <c r="I37" s="638">
        <v>9.8000000000000007</v>
      </c>
      <c r="J37" s="638">
        <v>10.1</v>
      </c>
      <c r="K37" s="638">
        <v>7.7</v>
      </c>
      <c r="L37" s="638">
        <v>6.6</v>
      </c>
      <c r="M37" s="638">
        <v>4.0999999999999996</v>
      </c>
      <c r="N37" s="638">
        <v>4</v>
      </c>
      <c r="O37" s="639">
        <v>6.7</v>
      </c>
      <c r="P37" s="601">
        <f>+P36/$P$44</f>
        <v>0.96612466124661256</v>
      </c>
      <c r="Q37" s="198" t="s">
        <v>296</v>
      </c>
      <c r="R37" s="197"/>
      <c r="S37" s="197"/>
    </row>
    <row r="38" spans="1:19" ht="10.199999999999999" customHeight="1">
      <c r="A38" s="658">
        <f>$B$5+15</f>
        <v>60.55</v>
      </c>
      <c r="B38" s="603" t="s">
        <v>268</v>
      </c>
      <c r="C38" s="646">
        <v>4.0999999999999996</v>
      </c>
      <c r="D38" s="646">
        <v>5.5</v>
      </c>
      <c r="E38" s="647">
        <v>6.3</v>
      </c>
      <c r="F38" s="648">
        <v>6.5</v>
      </c>
      <c r="G38" s="648">
        <v>7</v>
      </c>
      <c r="H38" s="648">
        <v>7.4</v>
      </c>
      <c r="I38" s="648">
        <v>7.9</v>
      </c>
      <c r="J38" s="648">
        <v>7.3</v>
      </c>
      <c r="K38" s="648">
        <v>6.1</v>
      </c>
      <c r="L38" s="647">
        <v>5</v>
      </c>
      <c r="M38" s="646">
        <v>3.4</v>
      </c>
      <c r="N38" s="646">
        <v>3.1</v>
      </c>
      <c r="O38" s="649">
        <v>5.8</v>
      </c>
      <c r="P38" s="599" t="s">
        <v>331</v>
      </c>
      <c r="Q38" s="198" t="s">
        <v>297</v>
      </c>
      <c r="R38" s="197"/>
      <c r="S38" s="197"/>
    </row>
    <row r="39" spans="1:19" ht="10.199999999999999" customHeight="1">
      <c r="A39" s="656" t="s">
        <v>588</v>
      </c>
      <c r="B39" s="606" t="s">
        <v>270</v>
      </c>
      <c r="C39" s="636">
        <v>3.1</v>
      </c>
      <c r="D39" s="636">
        <v>3.7</v>
      </c>
      <c r="E39" s="636">
        <v>4.4000000000000004</v>
      </c>
      <c r="F39" s="636">
        <v>4.8</v>
      </c>
      <c r="G39" s="636">
        <v>5.2</v>
      </c>
      <c r="H39" s="636">
        <v>6.3</v>
      </c>
      <c r="I39" s="636">
        <v>6.9</v>
      </c>
      <c r="J39" s="636">
        <v>6</v>
      </c>
      <c r="K39" s="636">
        <v>3.9</v>
      </c>
      <c r="L39" s="636">
        <v>3.4</v>
      </c>
      <c r="M39" s="636">
        <v>1.9</v>
      </c>
      <c r="N39" s="636">
        <v>2.2000000000000002</v>
      </c>
      <c r="O39" s="637">
        <v>5</v>
      </c>
      <c r="P39" s="610">
        <f>+AVERAGE(C38:N38)</f>
        <v>5.8</v>
      </c>
      <c r="Q39" s="198" t="s">
        <v>298</v>
      </c>
      <c r="R39" s="197"/>
      <c r="S39" s="197"/>
    </row>
    <row r="40" spans="1:19" ht="10.199999999999999" customHeight="1" thickBot="1">
      <c r="A40" s="657" t="s">
        <v>269</v>
      </c>
      <c r="B40" s="607" t="s">
        <v>271</v>
      </c>
      <c r="C40" s="638">
        <v>5.2</v>
      </c>
      <c r="D40" s="638">
        <v>6.9</v>
      </c>
      <c r="E40" s="638">
        <v>8</v>
      </c>
      <c r="F40" s="638">
        <v>8.4</v>
      </c>
      <c r="G40" s="638">
        <v>8.4</v>
      </c>
      <c r="H40" s="638">
        <v>9.1999999999999993</v>
      </c>
      <c r="I40" s="638">
        <v>9.3000000000000007</v>
      </c>
      <c r="J40" s="638">
        <v>9.6999999999999993</v>
      </c>
      <c r="K40" s="638">
        <v>7.5</v>
      </c>
      <c r="L40" s="638">
        <v>6.6</v>
      </c>
      <c r="M40" s="638">
        <v>4.3</v>
      </c>
      <c r="N40" s="638">
        <v>4.3</v>
      </c>
      <c r="O40" s="639">
        <v>6.6</v>
      </c>
      <c r="P40" s="611">
        <f>+P39/$P$44</f>
        <v>0.94308943089430897</v>
      </c>
      <c r="Q40" s="205" t="s">
        <v>299</v>
      </c>
      <c r="R40" s="197"/>
      <c r="S40" s="197"/>
    </row>
    <row r="41" spans="1:19" s="136" customFormat="1" ht="10.199999999999999" customHeight="1">
      <c r="A41" s="202" t="s">
        <v>305</v>
      </c>
      <c r="B41" s="202"/>
      <c r="C41" s="160"/>
      <c r="D41" s="160"/>
      <c r="E41" s="160"/>
      <c r="F41" s="160"/>
      <c r="G41" s="160"/>
      <c r="H41" s="160"/>
      <c r="I41" s="160"/>
      <c r="J41" s="160"/>
      <c r="K41" s="160"/>
      <c r="L41" s="160"/>
      <c r="M41" s="160"/>
      <c r="N41" s="160"/>
      <c r="O41" s="160"/>
      <c r="P41" s="193"/>
      <c r="Q41" s="289"/>
      <c r="R41" s="289"/>
    </row>
    <row r="42" spans="1:19" ht="10.199999999999999" customHeight="1" thickBot="1">
      <c r="A42" s="653" t="s">
        <v>273</v>
      </c>
      <c r="B42" s="195" t="s">
        <v>254</v>
      </c>
      <c r="C42" s="200" t="s">
        <v>255</v>
      </c>
      <c r="D42" s="200" t="s">
        <v>256</v>
      </c>
      <c r="E42" s="200" t="s">
        <v>257</v>
      </c>
      <c r="F42" s="200" t="s">
        <v>258</v>
      </c>
      <c r="G42" s="200" t="s">
        <v>259</v>
      </c>
      <c r="H42" s="200" t="s">
        <v>260</v>
      </c>
      <c r="I42" s="200" t="s">
        <v>261</v>
      </c>
      <c r="J42" s="200" t="s">
        <v>262</v>
      </c>
      <c r="K42" s="200" t="s">
        <v>263</v>
      </c>
      <c r="L42" s="200" t="s">
        <v>264</v>
      </c>
      <c r="M42" s="200" t="s">
        <v>265</v>
      </c>
      <c r="N42" s="200" t="s">
        <v>266</v>
      </c>
      <c r="O42" s="200" t="s">
        <v>267</v>
      </c>
      <c r="P42" s="203"/>
    </row>
    <row r="43" spans="1:19" ht="10.199999999999999" customHeight="1">
      <c r="A43" s="655" t="s">
        <v>274</v>
      </c>
      <c r="B43" s="603" t="s">
        <v>268</v>
      </c>
      <c r="C43" s="634">
        <v>4.2</v>
      </c>
      <c r="D43" s="634">
        <v>5.5</v>
      </c>
      <c r="E43" s="634">
        <v>6.3</v>
      </c>
      <c r="F43" s="634">
        <v>6.9</v>
      </c>
      <c r="G43" s="634">
        <v>7.8</v>
      </c>
      <c r="H43" s="634">
        <v>8.5</v>
      </c>
      <c r="I43" s="634">
        <v>8.9</v>
      </c>
      <c r="J43" s="634">
        <v>7.9</v>
      </c>
      <c r="K43" s="634">
        <v>6.3</v>
      </c>
      <c r="L43" s="634">
        <v>5</v>
      </c>
      <c r="M43" s="634">
        <v>3.4</v>
      </c>
      <c r="N43" s="634">
        <v>3.1</v>
      </c>
      <c r="O43" s="635">
        <v>6.1</v>
      </c>
      <c r="P43" s="293" t="s">
        <v>328</v>
      </c>
    </row>
    <row r="44" spans="1:19" ht="10.199999999999999" customHeight="1">
      <c r="A44" s="656" t="s">
        <v>269</v>
      </c>
      <c r="B44" s="606" t="s">
        <v>270</v>
      </c>
      <c r="C44" s="636">
        <v>3.1</v>
      </c>
      <c r="D44" s="636">
        <v>3.7</v>
      </c>
      <c r="E44" s="636">
        <v>4.5</v>
      </c>
      <c r="F44" s="636">
        <v>5.0999999999999996</v>
      </c>
      <c r="G44" s="636">
        <v>5.9</v>
      </c>
      <c r="H44" s="636">
        <v>7.3</v>
      </c>
      <c r="I44" s="636">
        <v>7.8</v>
      </c>
      <c r="J44" s="636">
        <v>6.5</v>
      </c>
      <c r="K44" s="636">
        <v>4.0999999999999996</v>
      </c>
      <c r="L44" s="636">
        <v>3.5</v>
      </c>
      <c r="M44" s="636">
        <v>1.9</v>
      </c>
      <c r="N44" s="636">
        <v>2.2999999999999998</v>
      </c>
      <c r="O44" s="637">
        <v>5.4</v>
      </c>
      <c r="P44" s="296">
        <f>+AVERAGE(C43:N43)</f>
        <v>6.1499999999999995</v>
      </c>
      <c r="Q44" s="825"/>
    </row>
    <row r="45" spans="1:19" ht="10.199999999999999" customHeight="1" thickBot="1">
      <c r="A45" s="657" t="s">
        <v>269</v>
      </c>
      <c r="B45" s="607" t="s">
        <v>271</v>
      </c>
      <c r="C45" s="638">
        <v>5.2</v>
      </c>
      <c r="D45" s="638">
        <v>6.9</v>
      </c>
      <c r="E45" s="638">
        <v>7.9</v>
      </c>
      <c r="F45" s="638">
        <v>8.9</v>
      </c>
      <c r="G45" s="638">
        <v>9.1999999999999993</v>
      </c>
      <c r="H45" s="638">
        <v>10.4</v>
      </c>
      <c r="I45" s="638">
        <v>10.4</v>
      </c>
      <c r="J45" s="638">
        <v>10.4</v>
      </c>
      <c r="K45" s="638">
        <v>7.7</v>
      </c>
      <c r="L45" s="638">
        <v>6.6</v>
      </c>
      <c r="M45" s="638">
        <v>4.3</v>
      </c>
      <c r="N45" s="638">
        <v>4.3</v>
      </c>
      <c r="O45" s="639">
        <v>7</v>
      </c>
      <c r="P45" s="292">
        <f>+P44/$P$44</f>
        <v>1</v>
      </c>
    </row>
    <row r="46" spans="1:19" s="136" customFormat="1" ht="10.199999999999999" customHeight="1">
      <c r="A46" s="602" t="s">
        <v>306</v>
      </c>
      <c r="B46" s="603"/>
      <c r="C46" s="604"/>
      <c r="D46" s="604"/>
      <c r="E46" s="604"/>
      <c r="F46" s="604"/>
      <c r="G46" s="604"/>
      <c r="H46" s="604"/>
      <c r="I46" s="604"/>
      <c r="J46" s="604"/>
      <c r="K46" s="604"/>
      <c r="L46" s="604"/>
      <c r="M46" s="604"/>
      <c r="N46" s="604"/>
      <c r="O46" s="605"/>
      <c r="P46" s="203"/>
      <c r="Q46" s="204"/>
    </row>
    <row r="47" spans="1:19" ht="10.199999999999999" customHeight="1" thickBot="1">
      <c r="A47" s="653" t="s">
        <v>273</v>
      </c>
      <c r="B47" s="195" t="s">
        <v>254</v>
      </c>
      <c r="C47" s="200" t="s">
        <v>255</v>
      </c>
      <c r="D47" s="200" t="s">
        <v>256</v>
      </c>
      <c r="E47" s="200" t="s">
        <v>257</v>
      </c>
      <c r="F47" s="200" t="s">
        <v>258</v>
      </c>
      <c r="G47" s="200" t="s">
        <v>259</v>
      </c>
      <c r="H47" s="200" t="s">
        <v>260</v>
      </c>
      <c r="I47" s="200" t="s">
        <v>261</v>
      </c>
      <c r="J47" s="200" t="s">
        <v>262</v>
      </c>
      <c r="K47" s="200" t="s">
        <v>263</v>
      </c>
      <c r="L47" s="200" t="s">
        <v>264</v>
      </c>
      <c r="M47" s="200" t="s">
        <v>265</v>
      </c>
      <c r="N47" s="200" t="s">
        <v>266</v>
      </c>
      <c r="O47" s="200" t="s">
        <v>267</v>
      </c>
    </row>
    <row r="48" spans="1:19" ht="10.199999999999999" customHeight="1">
      <c r="A48" s="655" t="s">
        <v>275</v>
      </c>
      <c r="B48" s="603" t="s">
        <v>268</v>
      </c>
      <c r="C48" s="650">
        <v>2.4</v>
      </c>
      <c r="D48" s="650">
        <v>2.9</v>
      </c>
      <c r="E48" s="650">
        <v>2.9</v>
      </c>
      <c r="F48" s="650">
        <v>3.1</v>
      </c>
      <c r="G48" s="650">
        <v>3.5</v>
      </c>
      <c r="H48" s="650">
        <v>3.9</v>
      </c>
      <c r="I48" s="650">
        <v>4.2</v>
      </c>
      <c r="J48" s="650">
        <v>3.7</v>
      </c>
      <c r="K48" s="650">
        <v>3</v>
      </c>
      <c r="L48" s="650">
        <v>2.7</v>
      </c>
      <c r="M48" s="650">
        <v>1.9</v>
      </c>
      <c r="N48" s="650">
        <v>1.8</v>
      </c>
      <c r="O48" s="645">
        <v>3</v>
      </c>
      <c r="P48" s="612"/>
    </row>
    <row r="49" spans="1:17" ht="10.199999999999999" customHeight="1">
      <c r="A49" s="656" t="s">
        <v>276</v>
      </c>
      <c r="B49" s="606" t="s">
        <v>270</v>
      </c>
      <c r="C49" s="636">
        <v>1.4</v>
      </c>
      <c r="D49" s="636">
        <v>1.4</v>
      </c>
      <c r="E49" s="636">
        <v>1.9</v>
      </c>
      <c r="F49" s="636">
        <v>1.3</v>
      </c>
      <c r="G49" s="636">
        <v>2.2000000000000002</v>
      </c>
      <c r="H49" s="636">
        <v>2.9</v>
      </c>
      <c r="I49" s="636">
        <v>3.4</v>
      </c>
      <c r="J49" s="636">
        <v>2.7</v>
      </c>
      <c r="K49" s="636">
        <v>1.4</v>
      </c>
      <c r="L49" s="636">
        <v>1.6</v>
      </c>
      <c r="M49" s="636">
        <v>0.7</v>
      </c>
      <c r="N49" s="636">
        <v>1</v>
      </c>
      <c r="O49" s="637">
        <v>2.4</v>
      </c>
      <c r="P49" s="613">
        <f>+AVERAGE(C48:N48)</f>
        <v>2.9999999999999996</v>
      </c>
    </row>
    <row r="50" spans="1:17" ht="10.199999999999999" customHeight="1" thickBot="1">
      <c r="A50" s="657" t="s">
        <v>269</v>
      </c>
      <c r="B50" s="607" t="s">
        <v>271</v>
      </c>
      <c r="C50" s="638">
        <v>3.6</v>
      </c>
      <c r="D50" s="638">
        <v>4.0999999999999996</v>
      </c>
      <c r="E50" s="638">
        <v>4.2</v>
      </c>
      <c r="F50" s="638">
        <v>4.7</v>
      </c>
      <c r="G50" s="638">
        <v>4.5999999999999996</v>
      </c>
      <c r="H50" s="638">
        <v>5.4</v>
      </c>
      <c r="I50" s="638">
        <v>5.3</v>
      </c>
      <c r="J50" s="638">
        <v>5.7</v>
      </c>
      <c r="K50" s="638">
        <v>4.0999999999999996</v>
      </c>
      <c r="L50" s="638">
        <v>4.0999999999999996</v>
      </c>
      <c r="M50" s="638">
        <v>2.7</v>
      </c>
      <c r="N50" s="638">
        <v>2.8</v>
      </c>
      <c r="O50" s="639">
        <v>3.7</v>
      </c>
      <c r="P50" s="614">
        <f>+P49/$P$44</f>
        <v>0.48780487804878048</v>
      </c>
    </row>
    <row r="51" spans="1:17" ht="10.199999999999999" customHeight="1">
      <c r="A51" s="655" t="s">
        <v>277</v>
      </c>
      <c r="B51" s="603" t="s">
        <v>268</v>
      </c>
      <c r="C51" s="650">
        <v>1.5</v>
      </c>
      <c r="D51" s="650">
        <v>2.4</v>
      </c>
      <c r="E51" s="650">
        <v>3.1</v>
      </c>
      <c r="F51" s="650">
        <v>3.9</v>
      </c>
      <c r="G51" s="650">
        <v>4.7</v>
      </c>
      <c r="H51" s="650">
        <v>5.2</v>
      </c>
      <c r="I51" s="650">
        <v>5.6</v>
      </c>
      <c r="J51" s="650">
        <v>4.9000000000000004</v>
      </c>
      <c r="K51" s="650">
        <v>3.6</v>
      </c>
      <c r="L51" s="650">
        <v>2.5</v>
      </c>
      <c r="M51" s="650">
        <v>1.3</v>
      </c>
      <c r="N51" s="650">
        <v>1</v>
      </c>
      <c r="O51" s="645">
        <v>3.3</v>
      </c>
      <c r="P51" s="612"/>
    </row>
    <row r="52" spans="1:17" ht="10.199999999999999" customHeight="1">
      <c r="A52" s="656" t="s">
        <v>276</v>
      </c>
      <c r="B52" s="606" t="s">
        <v>270</v>
      </c>
      <c r="C52" s="636">
        <v>0.9</v>
      </c>
      <c r="D52" s="636">
        <v>1.1000000000000001</v>
      </c>
      <c r="E52" s="636">
        <v>1.9</v>
      </c>
      <c r="F52" s="636">
        <v>1.6</v>
      </c>
      <c r="G52" s="636">
        <v>2.8</v>
      </c>
      <c r="H52" s="636">
        <v>3.8</v>
      </c>
      <c r="I52" s="636">
        <v>4.4000000000000004</v>
      </c>
      <c r="J52" s="636">
        <v>3.5</v>
      </c>
      <c r="K52" s="636">
        <v>1.7</v>
      </c>
      <c r="L52" s="636">
        <v>1.5</v>
      </c>
      <c r="M52" s="636">
        <v>0.4</v>
      </c>
      <c r="N52" s="636">
        <v>0.6</v>
      </c>
      <c r="O52" s="637">
        <v>2.7</v>
      </c>
      <c r="P52" s="613">
        <f>+AVERAGE(C51:N51)</f>
        <v>3.3083333333333331</v>
      </c>
    </row>
    <row r="53" spans="1:17" ht="10.199999999999999" customHeight="1" thickBot="1">
      <c r="A53" s="657" t="s">
        <v>269</v>
      </c>
      <c r="B53" s="607" t="s">
        <v>271</v>
      </c>
      <c r="C53" s="638">
        <v>2.2999999999999998</v>
      </c>
      <c r="D53" s="638">
        <v>3.4</v>
      </c>
      <c r="E53" s="638">
        <v>4.5</v>
      </c>
      <c r="F53" s="638">
        <v>6</v>
      </c>
      <c r="G53" s="638">
        <v>6.1</v>
      </c>
      <c r="H53" s="638">
        <v>7.3</v>
      </c>
      <c r="I53" s="638">
        <v>7.1</v>
      </c>
      <c r="J53" s="638">
        <v>7.6</v>
      </c>
      <c r="K53" s="638">
        <v>4.9000000000000004</v>
      </c>
      <c r="L53" s="638">
        <v>3.8</v>
      </c>
      <c r="M53" s="638">
        <v>1.9</v>
      </c>
      <c r="N53" s="638">
        <v>1.7</v>
      </c>
      <c r="O53" s="639">
        <v>4.0999999999999996</v>
      </c>
      <c r="P53" s="614">
        <f>+P52/$P$44</f>
        <v>0.53794037940379402</v>
      </c>
    </row>
    <row r="54" spans="1:17" ht="10.199999999999999" customHeight="1">
      <c r="A54" s="655" t="s">
        <v>277</v>
      </c>
      <c r="B54" s="603" t="s">
        <v>268</v>
      </c>
      <c r="C54" s="650">
        <v>2.5</v>
      </c>
      <c r="D54" s="650">
        <v>3.4</v>
      </c>
      <c r="E54" s="650">
        <v>3.9</v>
      </c>
      <c r="F54" s="650">
        <v>4.3</v>
      </c>
      <c r="G54" s="650">
        <v>4.7</v>
      </c>
      <c r="H54" s="650">
        <v>4.9000000000000004</v>
      </c>
      <c r="I54" s="650">
        <v>5.5</v>
      </c>
      <c r="J54" s="650">
        <v>5.0999999999999996</v>
      </c>
      <c r="K54" s="650">
        <v>4.2</v>
      </c>
      <c r="L54" s="650">
        <v>3.4</v>
      </c>
      <c r="M54" s="650">
        <v>2.1</v>
      </c>
      <c r="N54" s="650">
        <v>1.8</v>
      </c>
      <c r="O54" s="645">
        <v>3.8</v>
      </c>
      <c r="P54" s="612"/>
    </row>
    <row r="55" spans="1:17" ht="10.199999999999999" customHeight="1">
      <c r="A55" s="656" t="s">
        <v>278</v>
      </c>
      <c r="B55" s="606" t="s">
        <v>270</v>
      </c>
      <c r="C55" s="636">
        <v>1.5</v>
      </c>
      <c r="D55" s="636">
        <v>1.6</v>
      </c>
      <c r="E55" s="636">
        <v>2.4</v>
      </c>
      <c r="F55" s="636">
        <v>1.8</v>
      </c>
      <c r="G55" s="636">
        <v>2.9</v>
      </c>
      <c r="H55" s="636">
        <v>3.7</v>
      </c>
      <c r="I55" s="636">
        <v>4.3</v>
      </c>
      <c r="J55" s="636">
        <v>3.6</v>
      </c>
      <c r="K55" s="636">
        <v>1.9</v>
      </c>
      <c r="L55" s="636">
        <v>2</v>
      </c>
      <c r="M55" s="636">
        <v>0.7</v>
      </c>
      <c r="N55" s="636">
        <v>1.1000000000000001</v>
      </c>
      <c r="O55" s="637">
        <v>3.1</v>
      </c>
      <c r="P55" s="613">
        <f>+AVERAGE(C54:N54)</f>
        <v>3.8166666666666669</v>
      </c>
    </row>
    <row r="56" spans="1:17" ht="10.199999999999999" customHeight="1" thickBot="1">
      <c r="A56" s="657" t="s">
        <v>269</v>
      </c>
      <c r="B56" s="607" t="s">
        <v>271</v>
      </c>
      <c r="C56" s="638">
        <v>3.9</v>
      </c>
      <c r="D56" s="638">
        <v>4.9000000000000004</v>
      </c>
      <c r="E56" s="638">
        <v>5.6</v>
      </c>
      <c r="F56" s="638">
        <v>6.6</v>
      </c>
      <c r="G56" s="638">
        <v>6.1</v>
      </c>
      <c r="H56" s="638">
        <v>6.9</v>
      </c>
      <c r="I56" s="638">
        <v>6.9</v>
      </c>
      <c r="J56" s="638">
        <v>7.9</v>
      </c>
      <c r="K56" s="638">
        <v>5.6</v>
      </c>
      <c r="L56" s="638">
        <v>5.0999999999999996</v>
      </c>
      <c r="M56" s="638">
        <v>3</v>
      </c>
      <c r="N56" s="638">
        <v>3</v>
      </c>
      <c r="O56" s="639">
        <v>4.7</v>
      </c>
      <c r="P56" s="614">
        <f>+P55/$P$44</f>
        <v>0.62059620596205967</v>
      </c>
    </row>
    <row r="57" spans="1:17" ht="10.199999999999999" customHeight="1">
      <c r="A57" s="655" t="s">
        <v>279</v>
      </c>
      <c r="B57" s="603" t="s">
        <v>268</v>
      </c>
      <c r="C57" s="650">
        <v>2.7</v>
      </c>
      <c r="D57" s="650">
        <v>3.5</v>
      </c>
      <c r="E57" s="650">
        <v>3.9</v>
      </c>
      <c r="F57" s="650">
        <v>4.3</v>
      </c>
      <c r="G57" s="650">
        <v>4.9000000000000004</v>
      </c>
      <c r="H57" s="650">
        <v>5.4</v>
      </c>
      <c r="I57" s="650">
        <v>5.9</v>
      </c>
      <c r="J57" s="650">
        <v>5.3</v>
      </c>
      <c r="K57" s="650">
        <v>4.2</v>
      </c>
      <c r="L57" s="650">
        <v>3.4</v>
      </c>
      <c r="M57" s="650">
        <v>2.2000000000000002</v>
      </c>
      <c r="N57" s="650">
        <v>2</v>
      </c>
      <c r="O57" s="645">
        <v>4</v>
      </c>
      <c r="P57" s="612"/>
    </row>
    <row r="58" spans="1:17" ht="10.199999999999999" customHeight="1">
      <c r="A58" s="656" t="s">
        <v>269</v>
      </c>
      <c r="B58" s="606" t="s">
        <v>270</v>
      </c>
      <c r="C58" s="636">
        <v>1.6</v>
      </c>
      <c r="D58" s="636">
        <v>1.7</v>
      </c>
      <c r="E58" s="636">
        <v>2.4</v>
      </c>
      <c r="F58" s="636">
        <v>1.8</v>
      </c>
      <c r="G58" s="636">
        <v>3</v>
      </c>
      <c r="H58" s="636">
        <v>4</v>
      </c>
      <c r="I58" s="636">
        <v>4.5999999999999996</v>
      </c>
      <c r="J58" s="636">
        <v>3.8</v>
      </c>
      <c r="K58" s="636">
        <v>1.9</v>
      </c>
      <c r="L58" s="636">
        <v>2</v>
      </c>
      <c r="M58" s="636">
        <v>0.8</v>
      </c>
      <c r="N58" s="636">
        <v>1.2</v>
      </c>
      <c r="O58" s="637">
        <v>3.2</v>
      </c>
      <c r="P58" s="613">
        <f>+AVERAGE(C57:N57)</f>
        <v>3.9749999999999996</v>
      </c>
    </row>
    <row r="59" spans="1:17" ht="10.199999999999999" customHeight="1" thickBot="1">
      <c r="A59" s="657" t="s">
        <v>269</v>
      </c>
      <c r="B59" s="607" t="s">
        <v>271</v>
      </c>
      <c r="C59" s="638">
        <v>4.2</v>
      </c>
      <c r="D59" s="638">
        <v>5</v>
      </c>
      <c r="E59" s="638">
        <v>5.6</v>
      </c>
      <c r="F59" s="638">
        <v>6.7</v>
      </c>
      <c r="G59" s="638">
        <v>6.5</v>
      </c>
      <c r="H59" s="638">
        <v>7.5</v>
      </c>
      <c r="I59" s="638">
        <v>7.4</v>
      </c>
      <c r="J59" s="638">
        <v>8.1999999999999993</v>
      </c>
      <c r="K59" s="638">
        <v>5.7</v>
      </c>
      <c r="L59" s="638">
        <v>5.2</v>
      </c>
      <c r="M59" s="638">
        <v>3.2</v>
      </c>
      <c r="N59" s="638">
        <v>3.2</v>
      </c>
      <c r="O59" s="639">
        <v>4.9000000000000004</v>
      </c>
      <c r="P59" s="614">
        <f>+P58/$P$44</f>
        <v>0.64634146341463417</v>
      </c>
    </row>
    <row r="60" spans="1:17" s="136" customFormat="1" ht="10.199999999999999" customHeight="1">
      <c r="A60" s="202" t="s">
        <v>280</v>
      </c>
      <c r="B60" s="202"/>
      <c r="C60" s="160"/>
      <c r="D60" s="160"/>
      <c r="E60" s="160"/>
      <c r="F60" s="160"/>
      <c r="G60" s="160"/>
      <c r="H60" s="160"/>
      <c r="I60" s="160"/>
      <c r="J60" s="160"/>
      <c r="K60" s="160"/>
      <c r="L60" s="160"/>
      <c r="M60" s="160"/>
      <c r="N60" s="160"/>
      <c r="O60" s="160"/>
      <c r="P60" s="203"/>
      <c r="Q60" s="204"/>
    </row>
    <row r="61" spans="1:17" ht="10.199999999999999" customHeight="1">
      <c r="A61" s="195" t="s">
        <v>281</v>
      </c>
      <c r="B61" s="195" t="s">
        <v>254</v>
      </c>
      <c r="C61" s="200" t="s">
        <v>255</v>
      </c>
      <c r="D61" s="200" t="s">
        <v>256</v>
      </c>
      <c r="E61" s="200" t="s">
        <v>257</v>
      </c>
      <c r="F61" s="200" t="s">
        <v>258</v>
      </c>
      <c r="G61" s="200" t="s">
        <v>259</v>
      </c>
      <c r="H61" s="200" t="s">
        <v>260</v>
      </c>
      <c r="I61" s="200" t="s">
        <v>261</v>
      </c>
      <c r="J61" s="200" t="s">
        <v>262</v>
      </c>
      <c r="K61" s="200" t="s">
        <v>263</v>
      </c>
      <c r="L61" s="200" t="s">
        <v>264</v>
      </c>
      <c r="M61" s="200" t="s">
        <v>265</v>
      </c>
      <c r="N61" s="200" t="s">
        <v>266</v>
      </c>
      <c r="O61" s="200" t="s">
        <v>267</v>
      </c>
    </row>
    <row r="62" spans="1:17" ht="10.199999999999999" customHeight="1">
      <c r="A62" s="195" t="s">
        <v>282</v>
      </c>
      <c r="B62" s="195" t="s">
        <v>301</v>
      </c>
      <c r="C62" s="651">
        <v>-13.3</v>
      </c>
      <c r="D62" s="651">
        <v>-9.8000000000000007</v>
      </c>
      <c r="E62" s="651">
        <v>-2.4</v>
      </c>
      <c r="F62" s="651">
        <v>6.4</v>
      </c>
      <c r="G62" s="651">
        <v>13.3</v>
      </c>
      <c r="H62" s="651">
        <v>18.2</v>
      </c>
      <c r="I62" s="651">
        <v>21.2</v>
      </c>
      <c r="J62" s="651">
        <v>19.5</v>
      </c>
      <c r="K62" s="651">
        <v>14.1</v>
      </c>
      <c r="L62" s="651">
        <v>7.7</v>
      </c>
      <c r="M62" s="651">
        <v>-1.3</v>
      </c>
      <c r="N62" s="651">
        <v>-9.9</v>
      </c>
      <c r="O62" s="651">
        <v>5.3</v>
      </c>
    </row>
    <row r="63" spans="1:17" ht="10.199999999999999" customHeight="1">
      <c r="A63" s="195" t="s">
        <v>283</v>
      </c>
      <c r="B63" s="195" t="s">
        <v>301</v>
      </c>
      <c r="C63" s="651">
        <v>-19.100000000000001</v>
      </c>
      <c r="D63" s="651">
        <v>-15.7</v>
      </c>
      <c r="E63" s="651">
        <v>-8</v>
      </c>
      <c r="F63" s="651">
        <v>0</v>
      </c>
      <c r="G63" s="651">
        <v>6.3</v>
      </c>
      <c r="H63" s="651">
        <v>11.2</v>
      </c>
      <c r="I63" s="651">
        <v>14.2</v>
      </c>
      <c r="J63" s="651">
        <v>12.7</v>
      </c>
      <c r="K63" s="651">
        <v>7.4</v>
      </c>
      <c r="L63" s="651">
        <v>1.3</v>
      </c>
      <c r="M63" s="651">
        <v>-6.5</v>
      </c>
      <c r="N63" s="651">
        <v>-15</v>
      </c>
      <c r="O63" s="651">
        <v>-0.9</v>
      </c>
    </row>
    <row r="64" spans="1:17" ht="10.199999999999999" customHeight="1">
      <c r="A64" s="195" t="s">
        <v>284</v>
      </c>
      <c r="B64" s="195" t="s">
        <v>301</v>
      </c>
      <c r="C64" s="651">
        <v>-7.5</v>
      </c>
      <c r="D64" s="651">
        <v>-4</v>
      </c>
      <c r="E64" s="651">
        <v>3.1</v>
      </c>
      <c r="F64" s="651">
        <v>12.8</v>
      </c>
      <c r="G64" s="651">
        <v>20.2</v>
      </c>
      <c r="H64" s="651">
        <v>25.2</v>
      </c>
      <c r="I64" s="651">
        <v>28.1</v>
      </c>
      <c r="J64" s="651">
        <v>26.3</v>
      </c>
      <c r="K64" s="651">
        <v>20.6</v>
      </c>
      <c r="L64" s="651">
        <v>14.1</v>
      </c>
      <c r="M64" s="651">
        <v>3.9</v>
      </c>
      <c r="N64" s="651">
        <v>-4.9000000000000004</v>
      </c>
      <c r="O64" s="651">
        <v>11.5</v>
      </c>
    </row>
    <row r="65" spans="1:15" ht="10.199999999999999" customHeight="1">
      <c r="A65" s="195" t="s">
        <v>285</v>
      </c>
      <c r="B65" s="195" t="s">
        <v>301</v>
      </c>
      <c r="C65" s="651">
        <v>-41.7</v>
      </c>
      <c r="D65" s="651">
        <v>-37.200000000000003</v>
      </c>
      <c r="E65" s="651">
        <v>-35.6</v>
      </c>
      <c r="F65" s="651">
        <v>-19.399999999999999</v>
      </c>
      <c r="G65" s="651">
        <v>-7.2</v>
      </c>
      <c r="H65" s="651">
        <v>0.6</v>
      </c>
      <c r="I65" s="651">
        <v>4.4000000000000004</v>
      </c>
      <c r="J65" s="651">
        <v>0.6</v>
      </c>
      <c r="K65" s="651">
        <v>-7.8</v>
      </c>
      <c r="L65" s="651">
        <v>-15</v>
      </c>
      <c r="M65" s="651">
        <v>-28.9</v>
      </c>
      <c r="N65" s="651">
        <v>-40.6</v>
      </c>
      <c r="O65" s="651">
        <v>-41.7</v>
      </c>
    </row>
    <row r="66" spans="1:15" ht="10.199999999999999" customHeight="1">
      <c r="A66" s="195" t="s">
        <v>286</v>
      </c>
      <c r="B66" s="195" t="s">
        <v>301</v>
      </c>
      <c r="C66" s="651">
        <v>12.8</v>
      </c>
      <c r="D66" s="651">
        <v>12.8</v>
      </c>
      <c r="E66" s="651">
        <v>26.1</v>
      </c>
      <c r="F66" s="651">
        <v>35.6</v>
      </c>
      <c r="G66" s="651">
        <v>36.1</v>
      </c>
      <c r="H66" s="651">
        <v>38.9</v>
      </c>
      <c r="I66" s="651">
        <v>39.4</v>
      </c>
      <c r="J66" s="651">
        <v>39.4</v>
      </c>
      <c r="K66" s="651">
        <v>36.700000000000003</v>
      </c>
      <c r="L66" s="651">
        <v>32.200000000000003</v>
      </c>
      <c r="M66" s="651">
        <v>23.3</v>
      </c>
      <c r="N66" s="651">
        <v>15.6</v>
      </c>
      <c r="O66" s="651">
        <v>39.4</v>
      </c>
    </row>
    <row r="67" spans="1:15" ht="10.199999999999999" customHeight="1">
      <c r="A67" s="195" t="s">
        <v>287</v>
      </c>
      <c r="B67" s="195" t="s">
        <v>302</v>
      </c>
      <c r="C67" s="652">
        <v>980</v>
      </c>
      <c r="D67" s="652">
        <v>789</v>
      </c>
      <c r="E67" s="652">
        <v>644</v>
      </c>
      <c r="F67" s="652">
        <v>358</v>
      </c>
      <c r="G67" s="652">
        <v>171</v>
      </c>
      <c r="H67" s="652">
        <v>48</v>
      </c>
      <c r="I67" s="652">
        <v>13</v>
      </c>
      <c r="J67" s="652">
        <v>30</v>
      </c>
      <c r="K67" s="652">
        <v>133</v>
      </c>
      <c r="L67" s="652">
        <v>329</v>
      </c>
      <c r="M67" s="652">
        <v>588</v>
      </c>
      <c r="N67" s="652">
        <v>877</v>
      </c>
      <c r="O67" s="652">
        <v>4960</v>
      </c>
    </row>
    <row r="68" spans="1:15" ht="10.199999999999999" customHeight="1">
      <c r="A68" s="195" t="s">
        <v>288</v>
      </c>
      <c r="B68" s="195" t="s">
        <v>302</v>
      </c>
      <c r="C68" s="652">
        <v>0</v>
      </c>
      <c r="D68" s="652">
        <v>0</v>
      </c>
      <c r="E68" s="652">
        <v>0</v>
      </c>
      <c r="F68" s="652">
        <v>0</v>
      </c>
      <c r="G68" s="652">
        <v>14</v>
      </c>
      <c r="H68" s="652">
        <v>45</v>
      </c>
      <c r="I68" s="652">
        <v>101</v>
      </c>
      <c r="J68" s="652">
        <v>66</v>
      </c>
      <c r="K68" s="652">
        <v>5</v>
      </c>
      <c r="L68" s="652">
        <v>0</v>
      </c>
      <c r="M68" s="652">
        <v>0</v>
      </c>
      <c r="N68" s="652">
        <v>0</v>
      </c>
      <c r="O68" s="652">
        <v>231</v>
      </c>
    </row>
    <row r="69" spans="1:15" ht="10.199999999999999" customHeight="1">
      <c r="A69" s="195" t="s">
        <v>289</v>
      </c>
      <c r="B69" s="195" t="s">
        <v>290</v>
      </c>
      <c r="C69" s="652">
        <v>72</v>
      </c>
      <c r="D69" s="652">
        <v>70</v>
      </c>
      <c r="E69" s="652">
        <v>70</v>
      </c>
      <c r="F69" s="652">
        <v>64</v>
      </c>
      <c r="G69" s="652">
        <v>63</v>
      </c>
      <c r="H69" s="652">
        <v>68</v>
      </c>
      <c r="I69" s="652">
        <v>69</v>
      </c>
      <c r="J69" s="652">
        <v>72</v>
      </c>
      <c r="K69" s="652">
        <v>74</v>
      </c>
      <c r="L69" s="652">
        <v>70</v>
      </c>
      <c r="M69" s="652">
        <v>75</v>
      </c>
      <c r="N69" s="652">
        <v>76</v>
      </c>
      <c r="O69" s="652">
        <v>70</v>
      </c>
    </row>
    <row r="70" spans="1:15" ht="10.199999999999999" customHeight="1">
      <c r="A70" s="195" t="s">
        <v>291</v>
      </c>
      <c r="B70" s="195" t="s">
        <v>292</v>
      </c>
      <c r="C70" s="651">
        <v>4.7</v>
      </c>
      <c r="D70" s="651">
        <v>3.7</v>
      </c>
      <c r="E70" s="651">
        <v>5</v>
      </c>
      <c r="F70" s="651">
        <v>4.7</v>
      </c>
      <c r="G70" s="651">
        <v>4.4000000000000004</v>
      </c>
      <c r="H70" s="651">
        <v>3.7</v>
      </c>
      <c r="I70" s="651">
        <v>3.2</v>
      </c>
      <c r="J70" s="651">
        <v>3.3</v>
      </c>
      <c r="K70" s="651">
        <v>3.4</v>
      </c>
      <c r="L70" s="651">
        <v>3.9</v>
      </c>
      <c r="M70" s="651">
        <v>4.2</v>
      </c>
      <c r="N70" s="651">
        <v>4.4000000000000004</v>
      </c>
      <c r="O70" s="651">
        <v>4.0999999999999996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dimension ref="A1:AA323"/>
  <sheetViews>
    <sheetView topLeftCell="D2" zoomScale="90" zoomScaleNormal="90" workbookViewId="0">
      <selection activeCell="L21" sqref="L21"/>
    </sheetView>
  </sheetViews>
  <sheetFormatPr defaultRowHeight="16.2" customHeight="1"/>
  <cols>
    <col min="1" max="1" width="39.5546875" style="2" customWidth="1"/>
    <col min="2" max="2" width="10.44140625" style="2" customWidth="1"/>
    <col min="3" max="8" width="8.88671875" style="2"/>
    <col min="9" max="9" width="11.44140625" style="2" customWidth="1"/>
    <col min="10" max="10" width="7.109375" style="2" bestFit="1" customWidth="1"/>
    <col min="11" max="11" width="7" style="2" customWidth="1"/>
    <col min="12" max="12" width="7.109375" style="121" customWidth="1"/>
    <col min="13" max="13" width="7.109375" style="121" bestFit="1" customWidth="1"/>
    <col min="14" max="14" width="5.6640625" style="2" bestFit="1" customWidth="1"/>
    <col min="15" max="15" width="2.6640625" style="460" bestFit="1" customWidth="1"/>
    <col min="16" max="16" width="5.44140625" style="458" bestFit="1" customWidth="1"/>
    <col min="17" max="18" width="6.109375" style="2" bestFit="1" customWidth="1"/>
    <col min="19" max="19" width="4.77734375" style="421" bestFit="1" customWidth="1"/>
    <col min="20" max="20" width="5.77734375" style="421" bestFit="1" customWidth="1"/>
    <col min="21" max="22" width="4.77734375" style="421" bestFit="1" customWidth="1"/>
    <col min="23" max="24" width="2.88671875" style="2" bestFit="1" customWidth="1"/>
    <col min="25" max="25" width="6.109375" style="456" customWidth="1"/>
    <col min="26" max="27" width="3.109375" style="455" customWidth="1"/>
    <col min="28" max="16384" width="8.88671875" style="2"/>
  </cols>
  <sheetData>
    <row r="1" spans="1:27" s="462" customFormat="1" ht="16.2" hidden="1" customHeight="1">
      <c r="A1" s="395" t="s">
        <v>492</v>
      </c>
      <c r="L1" s="463"/>
      <c r="M1" s="463"/>
      <c r="O1" s="460"/>
      <c r="P1" s="458"/>
      <c r="S1" s="464"/>
      <c r="T1" s="464"/>
      <c r="U1" s="464"/>
      <c r="V1" s="464"/>
      <c r="Y1" s="456"/>
      <c r="Z1" s="455"/>
      <c r="AA1" s="455"/>
    </row>
    <row r="2" spans="1:27" s="422" customFormat="1" ht="16.2" customHeight="1">
      <c r="A2" s="422" t="s">
        <v>474</v>
      </c>
      <c r="J2" s="436"/>
      <c r="K2" s="436"/>
      <c r="L2" s="437"/>
      <c r="M2" s="435" t="s">
        <v>9</v>
      </c>
      <c r="N2" s="431" t="s">
        <v>10</v>
      </c>
      <c r="O2" s="431"/>
      <c r="P2" s="459"/>
      <c r="Q2" s="423">
        <f>+$M$3</f>
        <v>0</v>
      </c>
      <c r="R2" s="423">
        <f>+$N$3</f>
        <v>0</v>
      </c>
      <c r="S2" s="420"/>
      <c r="T2" s="420"/>
      <c r="U2" s="420"/>
      <c r="V2" s="420"/>
      <c r="W2" s="424">
        <f>+Q2</f>
        <v>0</v>
      </c>
      <c r="X2" s="424">
        <f>+R2</f>
        <v>0</v>
      </c>
      <c r="Y2" s="457"/>
      <c r="Z2" s="25"/>
      <c r="AA2" s="25"/>
    </row>
    <row r="3" spans="1:27" s="422" customFormat="1" ht="16.2" customHeight="1" thickBot="1">
      <c r="A3" s="422" t="s">
        <v>475</v>
      </c>
      <c r="J3" s="431" t="s">
        <v>486</v>
      </c>
      <c r="K3" s="431" t="s">
        <v>477</v>
      </c>
      <c r="L3" s="446">
        <v>24</v>
      </c>
      <c r="M3" s="448">
        <v>0</v>
      </c>
      <c r="N3" s="449">
        <v>0</v>
      </c>
      <c r="O3" s="431"/>
      <c r="P3" s="459"/>
      <c r="Q3" s="423"/>
      <c r="R3" s="423"/>
      <c r="S3" s="420"/>
      <c r="T3" s="420"/>
      <c r="U3" s="420"/>
      <c r="V3" s="420"/>
      <c r="W3" s="424"/>
      <c r="X3" s="424"/>
      <c r="Y3" s="457"/>
      <c r="Z3" s="25"/>
      <c r="AA3" s="25"/>
    </row>
    <row r="4" spans="1:27" s="422" customFormat="1" ht="16.2" customHeight="1" thickTop="1" thickBot="1">
      <c r="A4" s="422" t="s">
        <v>476</v>
      </c>
      <c r="J4" s="431" t="s">
        <v>148</v>
      </c>
      <c r="K4" s="431" t="s">
        <v>487</v>
      </c>
      <c r="L4" s="447">
        <v>1.1000000000000001</v>
      </c>
      <c r="M4" s="450">
        <v>-8.7288485675670007</v>
      </c>
      <c r="N4" s="446">
        <v>24</v>
      </c>
      <c r="O4" s="431"/>
      <c r="P4" s="459"/>
      <c r="Q4" s="423">
        <f>$M$4</f>
        <v>-8.7288485675670007</v>
      </c>
      <c r="R4" s="423">
        <f>$N$4</f>
        <v>24</v>
      </c>
      <c r="S4" s="420"/>
      <c r="T4" s="420"/>
      <c r="U4" s="420"/>
      <c r="V4" s="420"/>
      <c r="W4" s="424">
        <f>+Q4</f>
        <v>-8.7288485675670007</v>
      </c>
      <c r="X4" s="424">
        <f>+R4</f>
        <v>24</v>
      </c>
      <c r="Y4" s="457">
        <f ca="1">MAX(Y6:OFFSET(Y6,$L$9*6,))</f>
        <v>3437.1272339088532</v>
      </c>
      <c r="Z4" s="461">
        <v>20</v>
      </c>
      <c r="AA4" s="461">
        <v>20</v>
      </c>
    </row>
    <row r="5" spans="1:27" s="422" customFormat="1" ht="16.2" customHeight="1" thickTop="1" thickBot="1">
      <c r="A5" s="422" t="s">
        <v>473</v>
      </c>
      <c r="B5" s="425">
        <f>(90-EWSolarPowerAngle)*2</f>
        <v>137.78806584717981</v>
      </c>
      <c r="J5" s="469">
        <f>EWSolarPowerAngle</f>
        <v>21.105967076410099</v>
      </c>
      <c r="K5" s="439">
        <f ca="1">DEGREES(ATAN2(R8-R9,OFFSET(Q8,L9*5,)-OFFSET(Q9,L9*5,)))</f>
        <v>26.025693556754298</v>
      </c>
      <c r="L5" s="433" t="s">
        <v>489</v>
      </c>
      <c r="M5" s="433"/>
      <c r="N5" s="436"/>
      <c r="O5" s="431"/>
      <c r="P5" s="459"/>
      <c r="Q5" s="423"/>
      <c r="R5" s="423"/>
      <c r="S5" s="429" t="s">
        <v>481</v>
      </c>
      <c r="T5" s="430" t="s">
        <v>481</v>
      </c>
      <c r="U5" s="429" t="s">
        <v>482</v>
      </c>
      <c r="V5" s="429" t="s">
        <v>483</v>
      </c>
      <c r="W5" s="424"/>
      <c r="X5" s="424"/>
      <c r="Y5" s="457">
        <f ca="1">MIN(Y6:OFFSET(Y6,$L$9*6,))</f>
        <v>-2726.9137066122321</v>
      </c>
      <c r="Z5" s="25"/>
      <c r="AA5" s="25"/>
    </row>
    <row r="6" spans="1:27" s="422" customFormat="1" ht="16.2" customHeight="1" thickTop="1" thickBot="1">
      <c r="A6" s="426" t="s">
        <v>471</v>
      </c>
      <c r="B6" s="427">
        <v>30</v>
      </c>
      <c r="J6" s="442"/>
      <c r="K6" s="441" t="s">
        <v>488</v>
      </c>
      <c r="L6" s="451">
        <v>24.592682761320781</v>
      </c>
      <c r="M6" s="437"/>
      <c r="N6" s="436"/>
      <c r="O6" s="431" t="s">
        <v>486</v>
      </c>
      <c r="P6" s="459">
        <f>+WheelStartDeg</f>
        <v>0</v>
      </c>
      <c r="Q6" s="423">
        <f>+$M$3</f>
        <v>0</v>
      </c>
      <c r="R6" s="423">
        <f>+$N$3</f>
        <v>0</v>
      </c>
      <c r="S6" s="420"/>
      <c r="T6" s="420"/>
      <c r="U6" s="420"/>
      <c r="V6" s="420"/>
      <c r="W6" s="424">
        <f>+Q6</f>
        <v>0</v>
      </c>
      <c r="X6" s="424">
        <f>+R6</f>
        <v>0</v>
      </c>
      <c r="Y6" s="457">
        <f ca="1">SIN(ATAN2(Q8-Q9,R8-R9))*WindTorque/((SQRT(POWER(Q13-Q7,2)+POWER(R13-R7,2))*$L$3)/(SQRT(POWER(Q14-Q8,2)+POWER(R14-R8,2))*$L$3*$L$4))</f>
        <v>537.63299057023005</v>
      </c>
      <c r="Z6" s="25">
        <f ca="1">SIN(RADIANS(P6))*ABS(Y6)/100+$M$3</f>
        <v>0</v>
      </c>
      <c r="AA6" s="25">
        <f ca="1">COS(RADIANS(P6))*ABS(Y6)/100+$N$3</f>
        <v>5.3763299057023008</v>
      </c>
    </row>
    <row r="7" spans="1:27" s="422" customFormat="1" ht="16.2" customHeight="1" thickTop="1" thickBot="1">
      <c r="J7" s="470">
        <f>EWSolarPowerAngle</f>
        <v>21.105967076410099</v>
      </c>
      <c r="K7" s="440">
        <f>DEGREES(ATAN2(R8-R9,Q8-Q9))</f>
        <v>21.424993681273111</v>
      </c>
      <c r="L7" s="434" t="s">
        <v>490</v>
      </c>
      <c r="M7" s="437"/>
      <c r="N7" s="436"/>
      <c r="O7" s="431" t="s">
        <v>479</v>
      </c>
      <c r="P7" s="459"/>
      <c r="Q7" s="423">
        <f>+SIN(RADIANS($P6))*$L$3+$M$3</f>
        <v>0</v>
      </c>
      <c r="R7" s="423">
        <f>+COS(RADIANS($P6))*$L$3+$N$3</f>
        <v>24</v>
      </c>
      <c r="S7" s="420">
        <f>$L$6</f>
        <v>24.592682761320781</v>
      </c>
      <c r="T7" s="428">
        <f>IF(2*U7*V7=0,90,DEGREES(ACOS((U7^2+V7^2-S7^2)/(2*U7*V7))))</f>
        <v>68.575006318726892</v>
      </c>
      <c r="U7" s="420">
        <f>SQRT((Q9-Q7)^2+(R9-R7)^2)</f>
        <v>8.7288485675670007</v>
      </c>
      <c r="V7" s="420">
        <f>$L$3*$L$4</f>
        <v>26.400000000000002</v>
      </c>
      <c r="W7" s="424">
        <f t="shared" ref="W7" si="0">+Q7</f>
        <v>0</v>
      </c>
      <c r="X7" s="424">
        <f t="shared" ref="X7" si="1">+R7</f>
        <v>24</v>
      </c>
      <c r="Y7" s="457">
        <f>DEGREES(ATAN2(Q8-Q9,R8-R9))</f>
        <v>68.575006318726892</v>
      </c>
      <c r="Z7" s="25">
        <f ca="1">SIN(RADIANS(P12))*ABS(Y12)/100+$M$3</f>
        <v>1.687933260273673</v>
      </c>
      <c r="AA7" s="25">
        <f ca="1">COS(RADIANS(P12))*ABS(Y12)/100+$N$3</f>
        <v>19.293165448498556</v>
      </c>
    </row>
    <row r="8" spans="1:27" s="422" customFormat="1" ht="16.2" customHeight="1" thickTop="1">
      <c r="J8" s="468">
        <f>TotalEWRotation</f>
        <v>137.78806584717981</v>
      </c>
      <c r="K8" s="438">
        <f ca="1">180-K7-K5</f>
        <v>132.54931276197257</v>
      </c>
      <c r="L8" s="432"/>
      <c r="M8" s="432"/>
      <c r="N8" s="432"/>
      <c r="O8" s="431" t="s">
        <v>480</v>
      </c>
      <c r="P8" s="459"/>
      <c r="Q8" s="423">
        <f>+COS(RADIANS(T7+DEGREES(ATAN2(Q7-Q9,R7-R9))))*$L$3*$L$4+Q9</f>
        <v>0.91461990444233265</v>
      </c>
      <c r="R8" s="423">
        <f>+SIN(RADIANS(T7+DEGREES(ATAN2(Q7-Q9,R7-R9))))*$L$3*$L$4+R9</f>
        <v>48.57566918375494</v>
      </c>
      <c r="S8" s="428"/>
      <c r="T8" s="420"/>
      <c r="V8" s="420"/>
      <c r="W8" s="424">
        <f>+Q8</f>
        <v>0.91461990444233265</v>
      </c>
      <c r="X8" s="424">
        <f>+R8</f>
        <v>48.57566918375494</v>
      </c>
      <c r="Y8" s="457"/>
    </row>
    <row r="9" spans="1:27" s="422" customFormat="1" ht="16.2" customHeight="1" thickBot="1">
      <c r="J9" s="431" t="s">
        <v>484</v>
      </c>
      <c r="K9" s="453">
        <v>0</v>
      </c>
      <c r="L9" s="454">
        <v>50</v>
      </c>
      <c r="M9" s="438">
        <f>+(WheelEndDeg-WheelStartDeg)/WheelSteepsDeg</f>
        <v>5</v>
      </c>
      <c r="N9" s="436"/>
      <c r="O9" s="431" t="s">
        <v>150</v>
      </c>
      <c r="P9" s="459"/>
      <c r="Q9" s="423">
        <f>$M$4</f>
        <v>-8.7288485675670007</v>
      </c>
      <c r="R9" s="423">
        <f>$N$4</f>
        <v>24</v>
      </c>
      <c r="S9" s="428"/>
      <c r="T9" s="420"/>
      <c r="U9" s="420"/>
      <c r="V9" s="420"/>
      <c r="W9" s="424">
        <f>+Q9</f>
        <v>-8.7288485675670007</v>
      </c>
      <c r="X9" s="424">
        <f>+R9</f>
        <v>24</v>
      </c>
      <c r="Y9" s="457"/>
      <c r="Z9" s="25">
        <f>SIN(RADIANS(P6))*$Z$4+$M$3</f>
        <v>0</v>
      </c>
      <c r="AA9" s="25">
        <f>COS(RADIANS(P6))*$AA$4+$N$3</f>
        <v>20</v>
      </c>
    </row>
    <row r="10" spans="1:27" s="422" customFormat="1" ht="16.2" customHeight="1" thickTop="1" thickBot="1">
      <c r="J10" s="444" t="s">
        <v>485</v>
      </c>
      <c r="K10" s="452">
        <v>250</v>
      </c>
      <c r="L10" s="445">
        <f ca="1">270-K5</f>
        <v>243.97430644324569</v>
      </c>
      <c r="M10" s="443">
        <f ca="1">MOD(DEGREES(ATAN2(OFFSET(R6,L9*6,)-OFFSET(R8,L9*6,),OFFSET(Q6,L9*6,)-OFFSET(Q8,L9*6,))),360)</f>
        <v>305.9731517463872</v>
      </c>
      <c r="N10" s="436"/>
      <c r="O10" s="431"/>
      <c r="P10" s="459"/>
      <c r="Q10" s="423"/>
      <c r="R10" s="423"/>
      <c r="S10" s="420"/>
      <c r="T10" s="420"/>
      <c r="U10" s="420"/>
      <c r="V10" s="420"/>
      <c r="W10" s="424"/>
      <c r="X10" s="424"/>
      <c r="Y10" s="457"/>
      <c r="Z10" s="25">
        <f>SIN(RADIANS(P12))*$Z$4+$M$3</f>
        <v>1.7431148549531632</v>
      </c>
      <c r="AA10" s="25">
        <f>COS(RADIANS(P12))*$AA$4+$N$3</f>
        <v>19.92389396183491</v>
      </c>
    </row>
    <row r="11" spans="1:27" s="422" customFormat="1" ht="16.2" customHeight="1" thickTop="1"/>
    <row r="12" spans="1:27" s="422" customFormat="1" ht="16.2" customHeight="1">
      <c r="M12" s="432"/>
      <c r="N12" s="432"/>
      <c r="O12" s="431" t="s">
        <v>486</v>
      </c>
      <c r="P12" s="459">
        <f>P6+$M$9</f>
        <v>5</v>
      </c>
      <c r="Q12" s="423">
        <f>+$M$3</f>
        <v>0</v>
      </c>
      <c r="R12" s="423">
        <f>+$N$3</f>
        <v>0</v>
      </c>
      <c r="S12" s="420"/>
      <c r="T12" s="420"/>
      <c r="U12" s="420"/>
      <c r="V12" s="420"/>
      <c r="W12" s="424">
        <f>+Q12</f>
        <v>0</v>
      </c>
      <c r="X12" s="424">
        <f>+R12</f>
        <v>0</v>
      </c>
      <c r="Y12" s="457">
        <f ca="1">SIN(ATAN2(Q14-Q15,R14-R15))*WindTorque/((SQRT(POWER(Q19-Q13,2)+POWER(R19-R13,2))*$L$3)/(SQRT(POWER(Q20-Q14,2)+POWER(R20-R14,2))*$L$3*$L$4))</f>
        <v>1936.6862206208746</v>
      </c>
      <c r="Z12" s="25">
        <f t="shared" ref="Z12" ca="1" si="2">SIN(RADIANS(P12))*ABS(Y12)/100+$M$3</f>
        <v>1.687933260273673</v>
      </c>
      <c r="AA12" s="25">
        <f t="shared" ref="AA12" ca="1" si="3">COS(RADIANS(P12))*ABS(Y12)/100+$N$3</f>
        <v>19.293165448498556</v>
      </c>
    </row>
    <row r="13" spans="1:27" s="422" customFormat="1" ht="16.2" customHeight="1">
      <c r="K13" s="437"/>
      <c r="M13" s="432"/>
      <c r="N13" s="432"/>
      <c r="O13" s="431" t="s">
        <v>479</v>
      </c>
      <c r="P13" s="459"/>
      <c r="Q13" s="423">
        <f>+SIN(RADIANS($P12))*$L$3+$M$3</f>
        <v>2.0917378259437962</v>
      </c>
      <c r="R13" s="423">
        <f>+COS(RADIANS($P12))*$L$3+$N$3</f>
        <v>23.908672754201895</v>
      </c>
      <c r="S13" s="420">
        <f>$L$6</f>
        <v>24.592682761320781</v>
      </c>
      <c r="T13" s="428">
        <f>DEGREES(ACOS((U13^2+V13^2-S13^2)/(2*U13*V13)))</f>
        <v>68.515746586075963</v>
      </c>
      <c r="U13" s="420">
        <f>SQRT((Q15-Q13)^2+(R15-R13)^2)</f>
        <v>10.82097179394051</v>
      </c>
      <c r="V13" s="420">
        <f>$L$3*$L$4</f>
        <v>26.400000000000002</v>
      </c>
      <c r="W13" s="424">
        <f t="shared" ref="W13" si="4">+Q13</f>
        <v>2.0917378259437962</v>
      </c>
      <c r="X13" s="424">
        <f t="shared" ref="X13" si="5">+R13</f>
        <v>23.908672754201895</v>
      </c>
      <c r="Y13" s="457">
        <f t="shared" ref="Y13" si="6">DEGREES(ATAN2(Q14-Q15,R14-R15))</f>
        <v>68.032173764555367</v>
      </c>
      <c r="Z13" s="25">
        <f ca="1">SIN(RADIANS(P18))*ABS(Y18)/100+$M$3</f>
        <v>4.699150688835493</v>
      </c>
      <c r="AA13" s="25">
        <f ca="1">COS(RADIANS(P18))*ABS(Y18)/100+$N$3</f>
        <v>26.65020786923677</v>
      </c>
    </row>
    <row r="14" spans="1:27" s="422" customFormat="1" ht="16.2" customHeight="1">
      <c r="K14" s="423"/>
      <c r="M14" s="423"/>
      <c r="O14" s="431" t="s">
        <v>480</v>
      </c>
      <c r="P14" s="459"/>
      <c r="Q14" s="423">
        <f>+COS(RADIANS(T13+DEGREES(ATAN2(Q13-Q15,R13-R15))))*$L$3*$L$4+Q15</f>
        <v>1.1470188043350724</v>
      </c>
      <c r="R14" s="423">
        <f>+SIN(RADIANS(T13+DEGREES(ATAN2(Q13-Q15,R13-R15))))*$L$3*$L$4+R15</f>
        <v>48.483203296394862</v>
      </c>
      <c r="S14" s="428"/>
      <c r="T14" s="420"/>
      <c r="V14" s="420"/>
      <c r="W14" s="424">
        <f>+Q14</f>
        <v>1.1470188043350724</v>
      </c>
      <c r="X14" s="424">
        <f>+R14</f>
        <v>48.483203296394862</v>
      </c>
      <c r="Y14" s="457"/>
    </row>
    <row r="15" spans="1:27" s="422" customFormat="1" ht="16.2" customHeight="1">
      <c r="L15" s="423"/>
      <c r="M15" s="423"/>
      <c r="O15" s="431" t="s">
        <v>150</v>
      </c>
      <c r="P15" s="459"/>
      <c r="Q15" s="423">
        <f>$M$4</f>
        <v>-8.7288485675670007</v>
      </c>
      <c r="R15" s="423">
        <f>$N$4</f>
        <v>24</v>
      </c>
      <c r="S15" s="428"/>
      <c r="T15" s="420"/>
      <c r="U15" s="420"/>
      <c r="V15" s="420"/>
      <c r="W15" s="424">
        <f>+Q15</f>
        <v>-8.7288485675670007</v>
      </c>
      <c r="X15" s="424">
        <f>+R15</f>
        <v>24</v>
      </c>
      <c r="Y15" s="457"/>
      <c r="Z15" s="25">
        <f>SIN(RADIANS(P12))*$Z$4+$M$3</f>
        <v>1.7431148549531632</v>
      </c>
      <c r="AA15" s="25">
        <f>COS(RADIANS(P12))*$AA$4+$N$3</f>
        <v>19.92389396183491</v>
      </c>
    </row>
    <row r="16" spans="1:27" s="422" customFormat="1" ht="16.2" customHeight="1">
      <c r="L16" s="423"/>
      <c r="M16" s="423"/>
      <c r="O16" s="431"/>
      <c r="P16" s="459"/>
      <c r="Q16" s="423"/>
      <c r="R16" s="423"/>
      <c r="S16" s="420"/>
      <c r="T16" s="420"/>
      <c r="U16" s="420"/>
      <c r="V16" s="420"/>
      <c r="W16" s="424"/>
      <c r="X16" s="424"/>
      <c r="Y16" s="457"/>
      <c r="Z16" s="25">
        <f>SIN(RADIANS(P18))*$Z$4+$M$3</f>
        <v>3.4729635533386065</v>
      </c>
      <c r="AA16" s="25">
        <f>COS(RADIANS(P18))*$AA$4+$N$3</f>
        <v>19.696155060244159</v>
      </c>
    </row>
    <row r="17" spans="12:27" s="422" customFormat="1" ht="16.2" customHeight="1">
      <c r="L17" s="423"/>
      <c r="M17" s="423"/>
    </row>
    <row r="18" spans="12:27" s="422" customFormat="1" ht="16.2" customHeight="1">
      <c r="L18" s="423"/>
      <c r="M18" s="423"/>
      <c r="O18" s="431" t="s">
        <v>486</v>
      </c>
      <c r="P18" s="459">
        <f>P12+$M$9</f>
        <v>10</v>
      </c>
      <c r="Q18" s="423">
        <f>+$M$3</f>
        <v>0</v>
      </c>
      <c r="R18" s="423">
        <f>+$N$3</f>
        <v>0</v>
      </c>
      <c r="S18" s="420"/>
      <c r="T18" s="420"/>
      <c r="U18" s="420"/>
      <c r="V18" s="420"/>
      <c r="W18" s="424">
        <f>+Q18</f>
        <v>0</v>
      </c>
      <c r="X18" s="424">
        <f>+R18</f>
        <v>0</v>
      </c>
      <c r="Y18" s="457">
        <f ca="1">SIN(ATAN2(Q20-Q21,R20-R21))*WindTorque/((SQRT(POWER(Q25-Q19,2)+POWER(R25-R19,2))*$L$3)/(SQRT(POWER(Q26-Q20,2)+POWER(R26-R20,2))*$L$3*$L$4))</f>
        <v>2706.1330282709914</v>
      </c>
      <c r="Z18" s="25">
        <f t="shared" ref="Z18" ca="1" si="7">SIN(RADIANS(P18))*ABS(Y18)/100+$M$3</f>
        <v>4.699150688835493</v>
      </c>
      <c r="AA18" s="25">
        <f t="shared" ref="AA18" ca="1" si="8">COS(RADIANS(P18))*ABS(Y18)/100+$N$3</f>
        <v>26.65020786923677</v>
      </c>
    </row>
    <row r="19" spans="12:27" s="422" customFormat="1" ht="16.2" customHeight="1">
      <c r="L19" s="423"/>
      <c r="M19" s="423"/>
      <c r="O19" s="431" t="s">
        <v>479</v>
      </c>
      <c r="P19" s="459"/>
      <c r="Q19" s="423">
        <f>+SIN(RADIANS($P18))*$L$3+$M$3</f>
        <v>4.1675562640063282</v>
      </c>
      <c r="R19" s="423">
        <f>+COS(RADIANS($P18))*$L$3+$N$3</f>
        <v>23.635386072292992</v>
      </c>
      <c r="S19" s="420">
        <f>$L$6</f>
        <v>24.592682761320781</v>
      </c>
      <c r="T19" s="428">
        <f>DEGREES(ACOS((U19^2+V19^2-S19^2)/(2*U19*V19)))</f>
        <v>67.688748704434445</v>
      </c>
      <c r="U19" s="420">
        <f>SQRT((Q21-Q19)^2+(R21-R19)^2)</f>
        <v>12.901558080174107</v>
      </c>
      <c r="V19" s="420">
        <f>$L$3*$L$4</f>
        <v>26.400000000000002</v>
      </c>
      <c r="W19" s="424">
        <f t="shared" ref="W19" si="9">+Q19</f>
        <v>4.1675562640063282</v>
      </c>
      <c r="X19" s="424">
        <f t="shared" ref="X19" si="10">+R19</f>
        <v>23.635386072292992</v>
      </c>
      <c r="Y19" s="457">
        <f t="shared" ref="Y19" si="11">DEGREES(ATAN2(Q20-Q21,R20-R21))</f>
        <v>66.069283753867438</v>
      </c>
      <c r="Z19" s="25">
        <f ca="1">SIN(RADIANS(P24))*ABS(Y24)/100+$M$3</f>
        <v>8.1111958001397824</v>
      </c>
      <c r="AA19" s="25">
        <f ca="1">COS(RADIANS(P24))*ABS(Y24)/100+$N$3</f>
        <v>30.271394836260967</v>
      </c>
    </row>
    <row r="20" spans="12:27" s="422" customFormat="1" ht="16.2" customHeight="1">
      <c r="L20" s="423"/>
      <c r="M20" s="423"/>
      <c r="O20" s="431" t="s">
        <v>480</v>
      </c>
      <c r="P20" s="459"/>
      <c r="Q20" s="423">
        <f>+COS(RADIANS(T19+DEGREES(ATAN2(Q19-Q21,R19-R21))))*$L$3*$L$4+Q21</f>
        <v>1.9798272496498175</v>
      </c>
      <c r="R20" s="423">
        <f>+SIN(RADIANS(T19+DEGREES(ATAN2(Q19-Q21,R19-R21))))*$L$3*$L$4+R21</f>
        <v>48.130566968924612</v>
      </c>
      <c r="S20" s="428"/>
      <c r="T20" s="420"/>
      <c r="V20" s="420"/>
      <c r="W20" s="424">
        <f>+Q20</f>
        <v>1.9798272496498175</v>
      </c>
      <c r="X20" s="424">
        <f>+R20</f>
        <v>48.130566968924612</v>
      </c>
      <c r="Y20" s="457"/>
    </row>
    <row r="21" spans="12:27" s="422" customFormat="1" ht="16.2" customHeight="1">
      <c r="L21" s="423"/>
      <c r="M21" s="423"/>
      <c r="O21" s="431" t="s">
        <v>150</v>
      </c>
      <c r="P21" s="459"/>
      <c r="Q21" s="423">
        <f>$M$4</f>
        <v>-8.7288485675670007</v>
      </c>
      <c r="R21" s="423">
        <f>$N$4</f>
        <v>24</v>
      </c>
      <c r="S21" s="428"/>
      <c r="T21" s="420"/>
      <c r="U21" s="420"/>
      <c r="V21" s="420"/>
      <c r="W21" s="424">
        <f>+Q21</f>
        <v>-8.7288485675670007</v>
      </c>
      <c r="X21" s="424">
        <f>+R21</f>
        <v>24</v>
      </c>
      <c r="Y21" s="457"/>
      <c r="Z21" s="25">
        <f>SIN(RADIANS(P18))*$Z$4+$M$3</f>
        <v>3.4729635533386065</v>
      </c>
      <c r="AA21" s="25">
        <f>COS(RADIANS(P18))*$AA$4+$N$3</f>
        <v>19.696155060244159</v>
      </c>
    </row>
    <row r="22" spans="12:27" s="422" customFormat="1" ht="16.2" customHeight="1">
      <c r="L22" s="423"/>
      <c r="M22" s="423"/>
      <c r="O22" s="431"/>
      <c r="P22" s="459"/>
      <c r="Q22" s="423"/>
      <c r="R22" s="423"/>
      <c r="S22" s="420"/>
      <c r="T22" s="420"/>
      <c r="U22" s="420"/>
      <c r="V22" s="420"/>
      <c r="W22" s="424"/>
      <c r="X22" s="424"/>
      <c r="Y22" s="457"/>
      <c r="Z22" s="25">
        <f>SIN(RADIANS(P24))*$Z$4+$M$3</f>
        <v>5.1763809020504148</v>
      </c>
      <c r="AA22" s="25">
        <f>COS(RADIANS(P24))*$AA$4+$N$3</f>
        <v>19.318516525781366</v>
      </c>
    </row>
    <row r="23" spans="12:27" s="422" customFormat="1" ht="16.2" customHeight="1">
      <c r="L23" s="423"/>
      <c r="M23" s="423"/>
    </row>
    <row r="24" spans="12:27" s="422" customFormat="1" ht="16.2" customHeight="1">
      <c r="L24" s="423"/>
      <c r="M24" s="423"/>
      <c r="O24" s="431" t="s">
        <v>486</v>
      </c>
      <c r="P24" s="459">
        <f>P18+$M$9</f>
        <v>15</v>
      </c>
      <c r="Q24" s="423">
        <f>+$M$3</f>
        <v>0</v>
      </c>
      <c r="R24" s="423">
        <f>+$N$3</f>
        <v>0</v>
      </c>
      <c r="S24" s="420"/>
      <c r="T24" s="420"/>
      <c r="U24" s="420"/>
      <c r="V24" s="420"/>
      <c r="W24" s="424">
        <f>+Q24</f>
        <v>0</v>
      </c>
      <c r="X24" s="424">
        <f>+R24</f>
        <v>0</v>
      </c>
      <c r="Y24" s="457">
        <f ca="1">SIN(ATAN2(Q26-Q27,R26-R27))*WindTorque/((SQRT(POWER(Q31-Q25,2)+POWER(R31-R25,2))*$L$3)/(SQRT(POWER(Q32-Q26,2)+POWER(R32-R26,2))*$L$3*$L$4))</f>
        <v>3133.9254021769761</v>
      </c>
      <c r="Z24" s="25">
        <f t="shared" ref="Z24" ca="1" si="12">SIN(RADIANS(P24))*ABS(Y24)/100+$M$3</f>
        <v>8.1111958001397824</v>
      </c>
      <c r="AA24" s="25">
        <f t="shared" ref="AA24" ca="1" si="13">COS(RADIANS(P24))*ABS(Y24)/100+$N$3</f>
        <v>30.271394836260967</v>
      </c>
    </row>
    <row r="25" spans="12:27" s="422" customFormat="1" ht="16.2" customHeight="1">
      <c r="L25" s="423"/>
      <c r="M25" s="423"/>
      <c r="O25" s="431" t="s">
        <v>479</v>
      </c>
      <c r="P25" s="459"/>
      <c r="Q25" s="423">
        <f>+SIN(RADIANS($P24))*$L$3+$M$3</f>
        <v>6.2116570824604977</v>
      </c>
      <c r="R25" s="423">
        <f>+COS(RADIANS($P24))*$L$3+$N$3</f>
        <v>23.18221983093764</v>
      </c>
      <c r="S25" s="420">
        <f>$L$6</f>
        <v>24.592682761320781</v>
      </c>
      <c r="T25" s="428">
        <f>DEGREES(ACOS((U25^2+V25^2-S25^2)/(2*U25*V25)))</f>
        <v>66.419319659612825</v>
      </c>
      <c r="U25" s="420">
        <f>SQRT((Q27-Q25)^2+(R27-R25)^2)</f>
        <v>14.962869827790898</v>
      </c>
      <c r="V25" s="420">
        <f>$L$3*$L$4</f>
        <v>26.400000000000002</v>
      </c>
      <c r="W25" s="424">
        <f t="shared" ref="W25" si="14">+Q25</f>
        <v>6.2116570824604977</v>
      </c>
      <c r="X25" s="424">
        <f t="shared" ref="X25" si="15">+R25</f>
        <v>23.18221983093764</v>
      </c>
      <c r="Y25" s="457">
        <f t="shared" ref="Y25" si="16">DEGREES(ATAN2(Q26-Q27,R26-R27))</f>
        <v>63.286317047136478</v>
      </c>
      <c r="Z25" s="25">
        <f ca="1">SIN(RADIANS(P30))*ABS(Y30)/100+$M$3</f>
        <v>11.473063202572924</v>
      </c>
      <c r="AA25" s="25">
        <f ca="1">COS(RADIANS(P30))*ABS(Y30)/100+$N$3</f>
        <v>31.521982081044843</v>
      </c>
    </row>
    <row r="26" spans="12:27" s="422" customFormat="1" ht="16.2" customHeight="1">
      <c r="L26" s="423"/>
      <c r="M26" s="423"/>
      <c r="O26" s="431" t="s">
        <v>480</v>
      </c>
      <c r="P26" s="459"/>
      <c r="Q26" s="423">
        <f>+COS(RADIANS(T25+DEGREES(ATAN2(Q25-Q27,R25-R27))))*$L$3*$L$4+Q27</f>
        <v>3.138805053368424</v>
      </c>
      <c r="R26" s="423">
        <f>+SIN(RADIANS(T25+DEGREES(ATAN2(Q25-Q27,R25-R27))))*$L$3*$L$4+R27</f>
        <v>47.582171179378257</v>
      </c>
      <c r="S26" s="428"/>
      <c r="T26" s="420"/>
      <c r="V26" s="420"/>
      <c r="W26" s="424">
        <f>+Q26</f>
        <v>3.138805053368424</v>
      </c>
      <c r="X26" s="424">
        <f>+R26</f>
        <v>47.582171179378257</v>
      </c>
      <c r="Y26" s="457"/>
    </row>
    <row r="27" spans="12:27" s="422" customFormat="1" ht="16.2" customHeight="1">
      <c r="L27" s="423"/>
      <c r="M27" s="423"/>
      <c r="O27" s="431" t="s">
        <v>150</v>
      </c>
      <c r="P27" s="459"/>
      <c r="Q27" s="423">
        <f>$M$4</f>
        <v>-8.7288485675670007</v>
      </c>
      <c r="R27" s="423">
        <f>$N$4</f>
        <v>24</v>
      </c>
      <c r="S27" s="428"/>
      <c r="T27" s="420"/>
      <c r="U27" s="420"/>
      <c r="V27" s="420"/>
      <c r="W27" s="424">
        <f>+Q27</f>
        <v>-8.7288485675670007</v>
      </c>
      <c r="X27" s="424">
        <f>+R27</f>
        <v>24</v>
      </c>
      <c r="Y27" s="457"/>
      <c r="Z27" s="25">
        <f>SIN(RADIANS(P24))*$Z$4+$M$3</f>
        <v>5.1763809020504148</v>
      </c>
      <c r="AA27" s="25">
        <f>COS(RADIANS(P24))*$AA$4+$N$3</f>
        <v>19.318516525781366</v>
      </c>
    </row>
    <row r="28" spans="12:27" s="422" customFormat="1" ht="16.2" customHeight="1">
      <c r="L28" s="423"/>
      <c r="M28" s="423"/>
      <c r="O28" s="431"/>
      <c r="P28" s="459"/>
      <c r="Q28" s="423"/>
      <c r="R28" s="423"/>
      <c r="S28" s="420"/>
      <c r="T28" s="420"/>
      <c r="U28" s="420"/>
      <c r="V28" s="420"/>
      <c r="W28" s="424"/>
      <c r="X28" s="424"/>
      <c r="Y28" s="457"/>
      <c r="Z28" s="25">
        <f>SIN(RADIANS(P30))*$Z$4+$M$3</f>
        <v>6.840402866513374</v>
      </c>
      <c r="AA28" s="25">
        <f>COS(RADIANS(P30))*$AA$4+$N$3</f>
        <v>18.79385241571817</v>
      </c>
    </row>
    <row r="29" spans="12:27" s="422" customFormat="1" ht="16.2" customHeight="1">
      <c r="L29" s="423"/>
      <c r="M29" s="423"/>
    </row>
    <row r="30" spans="12:27" s="422" customFormat="1" ht="16.2" customHeight="1">
      <c r="L30" s="423"/>
      <c r="M30" s="423"/>
      <c r="O30" s="431" t="s">
        <v>486</v>
      </c>
      <c r="P30" s="459">
        <f>P24+$M$9</f>
        <v>20</v>
      </c>
      <c r="Q30" s="423">
        <f>+$M$3</f>
        <v>0</v>
      </c>
      <c r="R30" s="423">
        <f>+$N$3</f>
        <v>0</v>
      </c>
      <c r="S30" s="420"/>
      <c r="T30" s="420"/>
      <c r="U30" s="420"/>
      <c r="V30" s="420"/>
      <c r="W30" s="424">
        <f>+Q30</f>
        <v>0</v>
      </c>
      <c r="X30" s="424">
        <f>+R30</f>
        <v>0</v>
      </c>
      <c r="Y30" s="457">
        <f ca="1">SIN(ATAN2(Q32-Q33,R32-R33))*WindTorque/((SQRT(POWER(Q37-Q31,2)+POWER(R37-R31,2))*$L$3)/(SQRT(POWER(Q38-Q32,2)+POWER(R38-R32,2))*$L$3*$L$4))</f>
        <v>3354.4992675031917</v>
      </c>
      <c r="Z30" s="25">
        <f t="shared" ref="Z30" ca="1" si="17">SIN(RADIANS(P30))*ABS(Y30)/100+$M$3</f>
        <v>11.473063202572924</v>
      </c>
      <c r="AA30" s="25">
        <f t="shared" ref="AA30" ca="1" si="18">COS(RADIANS(P30))*ABS(Y30)/100+$N$3</f>
        <v>31.521982081044843</v>
      </c>
    </row>
    <row r="31" spans="12:27" s="422" customFormat="1" ht="16.2" customHeight="1">
      <c r="L31" s="423"/>
      <c r="M31" s="423"/>
      <c r="O31" s="431" t="s">
        <v>479</v>
      </c>
      <c r="P31" s="459"/>
      <c r="Q31" s="423">
        <f>+SIN(RADIANS($P30))*$L$3+$M$3</f>
        <v>8.2084834398160496</v>
      </c>
      <c r="R31" s="423">
        <f>+COS(RADIANS($P30))*$L$3+$N$3</f>
        <v>22.552622898861802</v>
      </c>
      <c r="S31" s="420">
        <f>$L$6</f>
        <v>24.592682761320781</v>
      </c>
      <c r="T31" s="428">
        <f>DEGREES(ACOS((U31^2+V31^2-S31^2)/(2*U31*V31)))</f>
        <v>64.872668936463327</v>
      </c>
      <c r="U31" s="420">
        <f>SQRT((Q33-Q31)^2+(R33-R31)^2)</f>
        <v>16.999062209463837</v>
      </c>
      <c r="V31" s="420">
        <f>$L$3*$L$4</f>
        <v>26.400000000000002</v>
      </c>
      <c r="W31" s="424">
        <f t="shared" ref="W31" si="19">+Q31</f>
        <v>8.2084834398160496</v>
      </c>
      <c r="X31" s="424">
        <f t="shared" ref="X31" si="20">+R31</f>
        <v>22.552622898861802</v>
      </c>
      <c r="Y31" s="457">
        <f t="shared" ref="Y31" si="21">DEGREES(ATAN2(Q32-Q33,R32-R33))</f>
        <v>59.988333185119195</v>
      </c>
      <c r="Z31" s="25">
        <f ca="1">SIN(RADIANS(P36))*ABS(Y36)/100+$M$3</f>
        <v>14.52592736976178</v>
      </c>
      <c r="AA31" s="25">
        <f ca="1">COS(RADIANS(P36))*ABS(Y36)/100+$N$3</f>
        <v>31.150951771273345</v>
      </c>
    </row>
    <row r="32" spans="12:27" s="422" customFormat="1" ht="16.2" customHeight="1">
      <c r="L32" s="423"/>
      <c r="M32" s="423"/>
      <c r="O32" s="431" t="s">
        <v>480</v>
      </c>
      <c r="P32" s="459"/>
      <c r="Q32" s="423">
        <f>+COS(RADIANS(T31+DEGREES(ATAN2(Q31-Q33,R31-R33))))*$L$3*$L$4+Q33</f>
        <v>4.475806636256852</v>
      </c>
      <c r="R32" s="423">
        <f>+SIN(RADIANS(T31+DEGREES(ATAN2(Q31-Q33,R31-R33))))*$L$3*$L$4+R33</f>
        <v>46.860382344749347</v>
      </c>
      <c r="S32" s="428"/>
      <c r="T32" s="420"/>
      <c r="V32" s="420"/>
      <c r="W32" s="424">
        <f>+Q32</f>
        <v>4.475806636256852</v>
      </c>
      <c r="X32" s="424">
        <f>+R32</f>
        <v>46.860382344749347</v>
      </c>
      <c r="Y32" s="457"/>
    </row>
    <row r="33" spans="12:27" s="422" customFormat="1" ht="16.2" customHeight="1">
      <c r="L33" s="423"/>
      <c r="M33" s="423"/>
      <c r="O33" s="431" t="s">
        <v>150</v>
      </c>
      <c r="P33" s="459"/>
      <c r="Q33" s="423">
        <f>$M$4</f>
        <v>-8.7288485675670007</v>
      </c>
      <c r="R33" s="423">
        <f>$N$4</f>
        <v>24</v>
      </c>
      <c r="S33" s="428"/>
      <c r="T33" s="420"/>
      <c r="U33" s="420"/>
      <c r="V33" s="420"/>
      <c r="W33" s="424">
        <f>+Q33</f>
        <v>-8.7288485675670007</v>
      </c>
      <c r="X33" s="424">
        <f>+R33</f>
        <v>24</v>
      </c>
      <c r="Y33" s="457"/>
      <c r="Z33" s="25">
        <f>SIN(RADIANS(P30))*$Z$4+$M$3</f>
        <v>6.840402866513374</v>
      </c>
      <c r="AA33" s="25">
        <f>COS(RADIANS(P30))*$AA$4+$N$3</f>
        <v>18.79385241571817</v>
      </c>
    </row>
    <row r="34" spans="12:27" s="422" customFormat="1" ht="16.2" customHeight="1">
      <c r="L34" s="423"/>
      <c r="M34" s="423"/>
      <c r="O34" s="431"/>
      <c r="P34" s="459"/>
      <c r="Q34" s="423"/>
      <c r="R34" s="423"/>
      <c r="S34" s="420"/>
      <c r="T34" s="420"/>
      <c r="U34" s="420"/>
      <c r="V34" s="420"/>
      <c r="W34" s="424"/>
      <c r="X34" s="424"/>
      <c r="Y34" s="457"/>
      <c r="Z34" s="25">
        <f>SIN(RADIANS(P36))*$Z$4+$M$3</f>
        <v>8.452365234813989</v>
      </c>
      <c r="AA34" s="25">
        <f>COS(RADIANS(P36))*$AA$4+$N$3</f>
        <v>18.126155740732997</v>
      </c>
    </row>
    <row r="35" spans="12:27" s="422" customFormat="1" ht="16.2" customHeight="1">
      <c r="L35" s="423"/>
      <c r="M35" s="423"/>
    </row>
    <row r="36" spans="12:27" s="422" customFormat="1" ht="16.2" customHeight="1">
      <c r="L36" s="423"/>
      <c r="M36" s="423"/>
      <c r="O36" s="431" t="s">
        <v>486</v>
      </c>
      <c r="P36" s="459">
        <f>P30+$M$9</f>
        <v>25</v>
      </c>
      <c r="Q36" s="423">
        <f>+$M$3</f>
        <v>0</v>
      </c>
      <c r="R36" s="423">
        <f>+$N$3</f>
        <v>0</v>
      </c>
      <c r="S36" s="420"/>
      <c r="T36" s="420"/>
      <c r="U36" s="420"/>
      <c r="V36" s="420"/>
      <c r="W36" s="424">
        <f>+Q36</f>
        <v>0</v>
      </c>
      <c r="X36" s="424">
        <f>+R36</f>
        <v>0</v>
      </c>
      <c r="Y36" s="457">
        <f ca="1">SIN(ATAN2(Q38-Q39,R38-R39))*WindTorque/((SQRT(POWER(Q43-Q37,2)+POWER(R43-R37,2))*$L$3)/(SQRT(POWER(Q44-Q38,2)+POWER(R44-R38,2))*$L$3*$L$4))</f>
        <v>3437.1272339088532</v>
      </c>
      <c r="Z36" s="25">
        <f t="shared" ref="Z36" ca="1" si="22">SIN(RADIANS(P36))*ABS(Y36)/100+$M$3</f>
        <v>14.52592736976178</v>
      </c>
      <c r="AA36" s="25">
        <f t="shared" ref="AA36" ca="1" si="23">COS(RADIANS(P36))*ABS(Y36)/100+$N$3</f>
        <v>31.150951771273345</v>
      </c>
    </row>
    <row r="37" spans="12:27" s="422" customFormat="1" ht="16.2" customHeight="1">
      <c r="L37" s="423"/>
      <c r="M37" s="423"/>
      <c r="O37" s="431" t="s">
        <v>479</v>
      </c>
      <c r="P37" s="459"/>
      <c r="Q37" s="423">
        <f>+SIN(RADIANS($P36))*$L$3+$M$3</f>
        <v>10.142838281776786</v>
      </c>
      <c r="R37" s="423">
        <f>+COS(RADIANS($P36))*$L$3+$N$3</f>
        <v>21.751386888879598</v>
      </c>
      <c r="S37" s="420">
        <f>$L$6</f>
        <v>24.592682761320781</v>
      </c>
      <c r="T37" s="428">
        <f>DEGREES(ACOS((U37^2+V37^2-S37^2)/(2*U37*V37)))</f>
        <v>63.141572643021107</v>
      </c>
      <c r="U37" s="420">
        <f>SQRT((Q39-Q37)^2+(R39-R37)^2)</f>
        <v>19.005178911633479</v>
      </c>
      <c r="V37" s="420">
        <f>$L$3*$L$4</f>
        <v>26.400000000000002</v>
      </c>
      <c r="W37" s="424">
        <f t="shared" ref="W37" si="24">+Q37</f>
        <v>10.142838281776786</v>
      </c>
      <c r="X37" s="424">
        <f t="shared" ref="X37" si="25">+R37</f>
        <v>21.751386888879598</v>
      </c>
      <c r="Y37" s="457">
        <f t="shared" ref="Y37" si="26">DEGREES(ATAN2(Q38-Q39,R38-R39))</f>
        <v>56.346659577578102</v>
      </c>
      <c r="Z37" s="25">
        <f ca="1">SIN(RADIANS(P42))*ABS(Y42)/100+$M$3</f>
        <v>17.103476754701816</v>
      </c>
      <c r="AA37" s="25">
        <f ca="1">COS(RADIANS(P42))*ABS(Y42)/100+$N$3</f>
        <v>29.624090725216806</v>
      </c>
    </row>
    <row r="38" spans="12:27" s="422" customFormat="1" ht="16.2" customHeight="1">
      <c r="L38" s="423"/>
      <c r="M38" s="423"/>
      <c r="O38" s="431" t="s">
        <v>480</v>
      </c>
      <c r="P38" s="459"/>
      <c r="Q38" s="423">
        <f>+COS(RADIANS(T37+DEGREES(ATAN2(Q37-Q39,R37-R39))))*$L$3*$L$4+Q39</f>
        <v>5.9011531221720706</v>
      </c>
      <c r="R38" s="423">
        <f>+SIN(RADIANS(T37+DEGREES(ATAN2(Q37-Q39,R37-R39))))*$L$3*$L$4+R39</f>
        <v>45.975510245685584</v>
      </c>
      <c r="S38" s="428"/>
      <c r="T38" s="420"/>
      <c r="V38" s="420"/>
      <c r="W38" s="424">
        <f>+Q38</f>
        <v>5.9011531221720706</v>
      </c>
      <c r="X38" s="424">
        <f>+R38</f>
        <v>45.975510245685584</v>
      </c>
      <c r="Y38" s="457"/>
    </row>
    <row r="39" spans="12:27" s="422" customFormat="1" ht="16.2" customHeight="1">
      <c r="L39" s="423"/>
      <c r="M39" s="423"/>
      <c r="O39" s="431" t="s">
        <v>150</v>
      </c>
      <c r="P39" s="459"/>
      <c r="Q39" s="423">
        <f>$M$4</f>
        <v>-8.7288485675670007</v>
      </c>
      <c r="R39" s="423">
        <f>$N$4</f>
        <v>24</v>
      </c>
      <c r="S39" s="428"/>
      <c r="T39" s="420"/>
      <c r="U39" s="420"/>
      <c r="V39" s="420"/>
      <c r="W39" s="424">
        <f>+Q39</f>
        <v>-8.7288485675670007</v>
      </c>
      <c r="X39" s="424">
        <f>+R39</f>
        <v>24</v>
      </c>
      <c r="Y39" s="457"/>
      <c r="Z39" s="25">
        <f>SIN(RADIANS(P36))*$Z$4+$M$3</f>
        <v>8.452365234813989</v>
      </c>
      <c r="AA39" s="25">
        <f>COS(RADIANS(P36))*$AA$4+$N$3</f>
        <v>18.126155740732997</v>
      </c>
    </row>
    <row r="40" spans="12:27" s="422" customFormat="1" ht="16.2" customHeight="1">
      <c r="L40" s="423"/>
      <c r="M40" s="423"/>
      <c r="O40" s="431"/>
      <c r="P40" s="459"/>
      <c r="Q40" s="423"/>
      <c r="R40" s="423"/>
      <c r="S40" s="420"/>
      <c r="T40" s="420"/>
      <c r="U40" s="420"/>
      <c r="V40" s="420"/>
      <c r="W40" s="424"/>
      <c r="X40" s="424"/>
      <c r="Y40" s="457"/>
      <c r="Z40" s="25">
        <f>SIN(RADIANS(P42))*$Z$4+$M$3</f>
        <v>9.9999999999999982</v>
      </c>
      <c r="AA40" s="25">
        <f>COS(RADIANS(P42))*$AA$4+$N$3</f>
        <v>17.320508075688775</v>
      </c>
    </row>
    <row r="41" spans="12:27" s="422" customFormat="1" ht="16.2" customHeight="1">
      <c r="L41" s="423"/>
      <c r="M41" s="423"/>
    </row>
    <row r="42" spans="12:27" s="422" customFormat="1" ht="16.2" customHeight="1">
      <c r="L42" s="423"/>
      <c r="M42" s="423"/>
      <c r="O42" s="431" t="s">
        <v>486</v>
      </c>
      <c r="P42" s="459">
        <f>P36+$M$9</f>
        <v>30</v>
      </c>
      <c r="Q42" s="423">
        <f>+$M$3</f>
        <v>0</v>
      </c>
      <c r="R42" s="423">
        <f>+$N$3</f>
        <v>0</v>
      </c>
      <c r="S42" s="420"/>
      <c r="T42" s="420"/>
      <c r="U42" s="420"/>
      <c r="V42" s="420"/>
      <c r="W42" s="424">
        <f>+Q42</f>
        <v>0</v>
      </c>
      <c r="X42" s="424">
        <f>+R42</f>
        <v>0</v>
      </c>
      <c r="Y42" s="457">
        <f ca="1">SIN(ATAN2(Q44-Q45,R44-R45))*WindTorque/((SQRT(POWER(Q49-Q43,2)+POWER(R49-R43,2))*$L$3)/(SQRT(POWER(Q50-Q44,2)+POWER(R50-R44,2))*$L$3*$L$4))</f>
        <v>3420.6953509403638</v>
      </c>
      <c r="Z42" s="25">
        <f t="shared" ref="Z42" ca="1" si="27">SIN(RADIANS(P42))*ABS(Y42)/100+$M$3</f>
        <v>17.103476754701816</v>
      </c>
      <c r="AA42" s="25">
        <f t="shared" ref="AA42" ca="1" si="28">COS(RADIANS(P42))*ABS(Y42)/100+$N$3</f>
        <v>29.624090725216806</v>
      </c>
    </row>
    <row r="43" spans="12:27" s="422" customFormat="1" ht="16.2" customHeight="1">
      <c r="L43" s="423"/>
      <c r="M43" s="423"/>
      <c r="O43" s="431" t="s">
        <v>479</v>
      </c>
      <c r="P43" s="459"/>
      <c r="Q43" s="423">
        <f>+SIN(RADIANS($P42))*$L$3+$M$3</f>
        <v>11.999999999999998</v>
      </c>
      <c r="R43" s="423">
        <f>+COS(RADIANS($P42))*$L$3+$N$3</f>
        <v>20.784609690826528</v>
      </c>
      <c r="S43" s="420">
        <f>$L$6</f>
        <v>24.592682761320781</v>
      </c>
      <c r="T43" s="428">
        <f>DEGREES(ACOS((U43^2+V43^2-S43^2)/(2*U43*V43)))</f>
        <v>61.282208414450928</v>
      </c>
      <c r="U43" s="420">
        <f>SQRT((Q45-Q43)^2+(R45-R43)^2)</f>
        <v>20.976746596587638</v>
      </c>
      <c r="V43" s="420">
        <f>$L$3*$L$4</f>
        <v>26.400000000000002</v>
      </c>
      <c r="W43" s="424">
        <f t="shared" ref="W43" si="29">+Q43</f>
        <v>11.999999999999998</v>
      </c>
      <c r="X43" s="424">
        <f t="shared" ref="X43" si="30">+R43</f>
        <v>20.784609690826528</v>
      </c>
      <c r="Y43" s="457">
        <f t="shared" ref="Y43" si="31">DEGREES(ATAN2(Q44-Q45,R44-R45))</f>
        <v>52.464946742093971</v>
      </c>
      <c r="Z43" s="25">
        <f ca="1">SIN(RADIANS(P48))*ABS(Y48)/100+$M$3</f>
        <v>19.093112765391567</v>
      </c>
      <c r="AA43" s="25">
        <f ca="1">COS(RADIANS(P48))*ABS(Y48)/100+$N$3</f>
        <v>27.267790938396391</v>
      </c>
    </row>
    <row r="44" spans="12:27" s="422" customFormat="1" ht="16.2" customHeight="1">
      <c r="L44" s="423"/>
      <c r="M44" s="423"/>
      <c r="O44" s="431" t="s">
        <v>480</v>
      </c>
      <c r="P44" s="459"/>
      <c r="Q44" s="423">
        <f>+COS(RADIANS(T43+DEGREES(ATAN2(Q43-Q45,R43-R45))))*$L$3*$L$4+Q45</f>
        <v>7.3552639024548991</v>
      </c>
      <c r="R44" s="423">
        <f>+SIN(RADIANS(T43+DEGREES(ATAN2(Q43-Q45,R43-R45))))*$L$3*$L$4+R45</f>
        <v>44.934691926361992</v>
      </c>
      <c r="S44" s="428"/>
      <c r="T44" s="420"/>
      <c r="V44" s="420"/>
      <c r="W44" s="424">
        <f>+Q44</f>
        <v>7.3552639024548991</v>
      </c>
      <c r="X44" s="424">
        <f>+R44</f>
        <v>44.934691926361992</v>
      </c>
      <c r="Y44" s="457"/>
    </row>
    <row r="45" spans="12:27" s="422" customFormat="1" ht="16.2" customHeight="1">
      <c r="L45" s="423"/>
      <c r="M45" s="423"/>
      <c r="O45" s="431" t="s">
        <v>150</v>
      </c>
      <c r="P45" s="459"/>
      <c r="Q45" s="423">
        <f>$M$4</f>
        <v>-8.7288485675670007</v>
      </c>
      <c r="R45" s="423">
        <f>$N$4</f>
        <v>24</v>
      </c>
      <c r="S45" s="428"/>
      <c r="T45" s="420"/>
      <c r="U45" s="420"/>
      <c r="V45" s="420"/>
      <c r="W45" s="424">
        <f>+Q45</f>
        <v>-8.7288485675670007</v>
      </c>
      <c r="X45" s="424">
        <f>+R45</f>
        <v>24</v>
      </c>
      <c r="Y45" s="457"/>
      <c r="Z45" s="25">
        <f>SIN(RADIANS(P42))*$Z$4+$M$3</f>
        <v>9.9999999999999982</v>
      </c>
      <c r="AA45" s="25">
        <f>COS(RADIANS(P42))*$AA$4+$N$3</f>
        <v>17.320508075688775</v>
      </c>
    </row>
    <row r="46" spans="12:27" s="422" customFormat="1" ht="16.2" customHeight="1">
      <c r="L46" s="423"/>
      <c r="M46" s="423"/>
      <c r="O46" s="431"/>
      <c r="P46" s="459"/>
      <c r="Q46" s="423"/>
      <c r="R46" s="423"/>
      <c r="S46" s="420"/>
      <c r="T46" s="420"/>
      <c r="U46" s="420"/>
      <c r="V46" s="420"/>
      <c r="W46" s="424"/>
      <c r="X46" s="424"/>
      <c r="Y46" s="457"/>
      <c r="Z46" s="25">
        <f>SIN(RADIANS(P48))*$Z$4+$M$3</f>
        <v>11.471528727020921</v>
      </c>
      <c r="AA46" s="25">
        <f>COS(RADIANS(P48))*$AA$4+$N$3</f>
        <v>16.383040885779835</v>
      </c>
    </row>
    <row r="47" spans="12:27" s="422" customFormat="1" ht="16.2" customHeight="1">
      <c r="L47" s="423"/>
      <c r="M47" s="423"/>
    </row>
    <row r="48" spans="12:27" s="422" customFormat="1" ht="16.2" customHeight="1">
      <c r="L48" s="423"/>
      <c r="M48" s="423"/>
      <c r="O48" s="431" t="s">
        <v>486</v>
      </c>
      <c r="P48" s="459">
        <f>P42+$M$9</f>
        <v>35</v>
      </c>
      <c r="Q48" s="423">
        <f>+$M$3</f>
        <v>0</v>
      </c>
      <c r="R48" s="423">
        <f>+$N$3</f>
        <v>0</v>
      </c>
      <c r="S48" s="420"/>
      <c r="T48" s="420"/>
      <c r="U48" s="420"/>
      <c r="V48" s="420"/>
      <c r="W48" s="424">
        <f>+Q48</f>
        <v>0</v>
      </c>
      <c r="X48" s="424">
        <f>+R48</f>
        <v>0</v>
      </c>
      <c r="Y48" s="457">
        <f ca="1">SIN(ATAN2(Q50-Q51,R50-R51))*WindTorque/((SQRT(POWER(Q55-Q49,2)+POWER(R55-R49,2))*$L$3)/(SQRT(POWER(Q56-Q50,2)+POWER(R56-R50,2))*$L$3*$L$4))</f>
        <v>3328.7826269254215</v>
      </c>
      <c r="Z48" s="25">
        <f t="shared" ref="Z48" ca="1" si="32">SIN(RADIANS(P48))*ABS(Y48)/100+$M$3</f>
        <v>19.093112765391567</v>
      </c>
      <c r="AA48" s="25">
        <f t="shared" ref="AA48" ca="1" si="33">COS(RADIANS(P48))*ABS(Y48)/100+$N$3</f>
        <v>27.267790938396391</v>
      </c>
    </row>
    <row r="49" spans="12:27" s="422" customFormat="1" ht="16.2" customHeight="1">
      <c r="L49" s="423"/>
      <c r="M49" s="423"/>
      <c r="O49" s="431" t="s">
        <v>479</v>
      </c>
      <c r="P49" s="459"/>
      <c r="Q49" s="423">
        <f>+SIN(RADIANS($P48))*$L$3+$M$3</f>
        <v>13.765834472425105</v>
      </c>
      <c r="R49" s="423">
        <f>+COS(RADIANS($P48))*$L$3+$N$3</f>
        <v>19.659649062935802</v>
      </c>
      <c r="S49" s="420">
        <f>$L$6</f>
        <v>24.592682761320781</v>
      </c>
      <c r="T49" s="428">
        <f>DEGREES(ACOS((U49^2+V49^2-S49^2)/(2*U49*V49)))</f>
        <v>59.330670687733857</v>
      </c>
      <c r="U49" s="420">
        <f>SQRT((Q51-Q49)^2+(R51-R49)^2)</f>
        <v>22.909592124841122</v>
      </c>
      <c r="V49" s="420">
        <f>$L$3*$L$4</f>
        <v>26.400000000000002</v>
      </c>
      <c r="W49" s="424">
        <f t="shared" ref="W49" si="34">+Q49</f>
        <v>13.765834472425105</v>
      </c>
      <c r="X49" s="424">
        <f t="shared" ref="X49" si="35">+R49</f>
        <v>19.659649062935802</v>
      </c>
      <c r="Y49" s="457">
        <f t="shared" ref="Y49" si="36">DEGREES(ATAN2(Q50-Q51,R50-R51))</f>
        <v>48.409654280081057</v>
      </c>
      <c r="Z49" s="25">
        <f ca="1">SIN(RADIANS(P54))*ABS(Y54)/100+$M$3</f>
        <v>20.419880986134867</v>
      </c>
      <c r="AA49" s="25">
        <f ca="1">COS(RADIANS(P54))*ABS(Y54)/100+$N$3</f>
        <v>24.335466525572429</v>
      </c>
    </row>
    <row r="50" spans="12:27" s="422" customFormat="1" ht="16.2" customHeight="1">
      <c r="L50" s="423"/>
      <c r="M50" s="423"/>
      <c r="O50" s="431" t="s">
        <v>480</v>
      </c>
      <c r="P50" s="459"/>
      <c r="Q50" s="423">
        <f>+COS(RADIANS(T49+DEGREES(ATAN2(Q49-Q51,R49-R51))))*$L$3*$L$4+Q51</f>
        <v>8.7954767128691937</v>
      </c>
      <c r="R50" s="423">
        <f>+SIN(RADIANS(T49+DEGREES(ATAN2(Q49-Q51,R49-R51))))*$L$3*$L$4+R51</f>
        <v>43.7448227002793</v>
      </c>
      <c r="S50" s="428"/>
      <c r="T50" s="420"/>
      <c r="V50" s="420"/>
      <c r="W50" s="424">
        <f>+Q50</f>
        <v>8.7954767128691937</v>
      </c>
      <c r="X50" s="424">
        <f>+R50</f>
        <v>43.7448227002793</v>
      </c>
      <c r="Y50" s="457"/>
    </row>
    <row r="51" spans="12:27" s="422" customFormat="1" ht="16.2" customHeight="1">
      <c r="L51" s="423"/>
      <c r="M51" s="423"/>
      <c r="O51" s="431" t="s">
        <v>150</v>
      </c>
      <c r="P51" s="459"/>
      <c r="Q51" s="423">
        <f>$M$4</f>
        <v>-8.7288485675670007</v>
      </c>
      <c r="R51" s="423">
        <f>$N$4</f>
        <v>24</v>
      </c>
      <c r="S51" s="428"/>
      <c r="T51" s="420"/>
      <c r="U51" s="420"/>
      <c r="V51" s="420"/>
      <c r="W51" s="424">
        <f>+Q51</f>
        <v>-8.7288485675670007</v>
      </c>
      <c r="X51" s="424">
        <f>+R51</f>
        <v>24</v>
      </c>
      <c r="Y51" s="457"/>
      <c r="Z51" s="25">
        <f>SIN(RADIANS(P48))*$Z$4+$M$3</f>
        <v>11.471528727020921</v>
      </c>
      <c r="AA51" s="25">
        <f>COS(RADIANS(P48))*$AA$4+$N$3</f>
        <v>16.383040885779835</v>
      </c>
    </row>
    <row r="52" spans="12:27" s="422" customFormat="1" ht="16.2" customHeight="1">
      <c r="L52" s="423"/>
      <c r="M52" s="423"/>
      <c r="O52" s="431"/>
      <c r="P52" s="459"/>
      <c r="Q52" s="423"/>
      <c r="R52" s="423"/>
      <c r="S52" s="420"/>
      <c r="T52" s="420"/>
      <c r="U52" s="420"/>
      <c r="V52" s="420"/>
      <c r="W52" s="424"/>
      <c r="X52" s="424"/>
      <c r="Y52" s="457"/>
      <c r="Z52" s="25">
        <f>SIN(RADIANS(P54))*$Z$4+$M$3</f>
        <v>12.855752193730785</v>
      </c>
      <c r="AA52" s="25">
        <f>COS(RADIANS(P54))*$AA$4+$N$3</f>
        <v>15.32088886237956</v>
      </c>
    </row>
    <row r="53" spans="12:27" s="422" customFormat="1" ht="16.2" customHeight="1">
      <c r="L53" s="423"/>
      <c r="M53" s="423"/>
    </row>
    <row r="54" spans="12:27" s="422" customFormat="1" ht="16.2" customHeight="1">
      <c r="L54" s="423"/>
      <c r="M54" s="423"/>
      <c r="O54" s="431" t="s">
        <v>486</v>
      </c>
      <c r="P54" s="459">
        <f>P48+$M$9</f>
        <v>40</v>
      </c>
      <c r="Q54" s="423">
        <f>+$M$3</f>
        <v>0</v>
      </c>
      <c r="R54" s="423">
        <f>+$N$3</f>
        <v>0</v>
      </c>
      <c r="S54" s="420"/>
      <c r="T54" s="420"/>
      <c r="U54" s="420"/>
      <c r="V54" s="420"/>
      <c r="W54" s="424">
        <f>+Q54</f>
        <v>0</v>
      </c>
      <c r="X54" s="424">
        <f>+R54</f>
        <v>0</v>
      </c>
      <c r="Y54" s="457">
        <f ca="1">SIN(ATAN2(Q56-Q57,R56-R57))*WindTorque/((SQRT(POWER(Q61-Q55,2)+POWER(R61-R55,2))*$L$3)/(SQRT(POWER(Q62-Q56,2)+POWER(R62-R56,2))*$L$3*$L$4))</f>
        <v>3176.7695391783909</v>
      </c>
      <c r="Z54" s="25">
        <f t="shared" ref="Z54" ca="1" si="37">SIN(RADIANS(P54))*ABS(Y54)/100+$M$3</f>
        <v>20.419880986134867</v>
      </c>
      <c r="AA54" s="25">
        <f t="shared" ref="AA54" ca="1" si="38">COS(RADIANS(P54))*ABS(Y54)/100+$N$3</f>
        <v>24.335466525572429</v>
      </c>
    </row>
    <row r="55" spans="12:27" s="422" customFormat="1" ht="16.2" customHeight="1">
      <c r="L55" s="423"/>
      <c r="M55" s="423"/>
      <c r="O55" s="431" t="s">
        <v>479</v>
      </c>
      <c r="P55" s="459"/>
      <c r="Q55" s="423">
        <f>+SIN(RADIANS($P54))*$L$3+$M$3</f>
        <v>15.426902632476942</v>
      </c>
      <c r="R55" s="423">
        <f>+COS(RADIANS($P54))*$L$3+$N$3</f>
        <v>18.385066634855473</v>
      </c>
      <c r="S55" s="420">
        <f>$L$6</f>
        <v>24.592682761320781</v>
      </c>
      <c r="T55" s="428">
        <f>DEGREES(ACOS((U55^2+V55^2-S55^2)/(2*U55*V55)))</f>
        <v>57.311309630932591</v>
      </c>
      <c r="U55" s="420">
        <f>SQRT((Q57-Q55)^2+(R57-R55)^2)</f>
        <v>24.799753884533565</v>
      </c>
      <c r="V55" s="420">
        <f>$L$3*$L$4</f>
        <v>26.400000000000002</v>
      </c>
      <c r="W55" s="424">
        <f t="shared" ref="W55" si="39">+Q55</f>
        <v>15.426902632476942</v>
      </c>
      <c r="X55" s="424">
        <f t="shared" ref="X55" si="40">+R55</f>
        <v>18.385066634855473</v>
      </c>
      <c r="Y55" s="457">
        <f t="shared" ref="Y55" si="41">DEGREES(ATAN2(Q56-Q57,R56-R57))</f>
        <v>44.225454519354535</v>
      </c>
      <c r="Z55" s="25">
        <f ca="1">SIN(RADIANS(P60))*ABS(Y60)/100+$M$3</f>
        <v>21.039473581559605</v>
      </c>
      <c r="AA55" s="25">
        <f ca="1">COS(RADIANS(P60))*ABS(Y60)/100+$N$3</f>
        <v>21.039473581559609</v>
      </c>
    </row>
    <row r="56" spans="12:27" s="422" customFormat="1" ht="16.2" customHeight="1">
      <c r="L56" s="423"/>
      <c r="M56" s="423"/>
      <c r="O56" s="431" t="s">
        <v>480</v>
      </c>
      <c r="P56" s="459"/>
      <c r="Q56" s="423">
        <f>+COS(RADIANS(T55+DEGREES(ATAN2(Q55-Q57,R55-R57))))*$L$3*$L$4+Q57</f>
        <v>10.189412835897459</v>
      </c>
      <c r="R56" s="423">
        <f>+SIN(RADIANS(T55+DEGREES(ATAN2(Q55-Q57,R55-R57))))*$L$3*$L$4+R57</f>
        <v>42.413565256901961</v>
      </c>
      <c r="S56" s="428"/>
      <c r="T56" s="420"/>
      <c r="V56" s="420"/>
      <c r="W56" s="424">
        <f>+Q56</f>
        <v>10.189412835897459</v>
      </c>
      <c r="X56" s="424">
        <f>+R56</f>
        <v>42.413565256901961</v>
      </c>
      <c r="Y56" s="457"/>
    </row>
    <row r="57" spans="12:27" s="422" customFormat="1" ht="16.2" customHeight="1">
      <c r="L57" s="423"/>
      <c r="M57" s="423"/>
      <c r="O57" s="431" t="s">
        <v>150</v>
      </c>
      <c r="P57" s="459"/>
      <c r="Q57" s="423">
        <f>$M$4</f>
        <v>-8.7288485675670007</v>
      </c>
      <c r="R57" s="423">
        <f>$N$4</f>
        <v>24</v>
      </c>
      <c r="S57" s="428"/>
      <c r="T57" s="420"/>
      <c r="U57" s="420"/>
      <c r="V57" s="420"/>
      <c r="W57" s="424">
        <f>+Q57</f>
        <v>-8.7288485675670007</v>
      </c>
      <c r="X57" s="424">
        <f>+R57</f>
        <v>24</v>
      </c>
      <c r="Y57" s="457"/>
      <c r="Z57" s="25">
        <f>SIN(RADIANS(P54))*$Z$4+$M$3</f>
        <v>12.855752193730785</v>
      </c>
      <c r="AA57" s="25">
        <f>COS(RADIANS(P54))*$AA$4+$N$3</f>
        <v>15.32088886237956</v>
      </c>
    </row>
    <row r="58" spans="12:27" s="422" customFormat="1" ht="16.2" customHeight="1">
      <c r="L58" s="423"/>
      <c r="M58" s="423"/>
      <c r="O58" s="431"/>
      <c r="P58" s="459"/>
      <c r="Q58" s="423"/>
      <c r="R58" s="423"/>
      <c r="S58" s="420"/>
      <c r="T58" s="420"/>
      <c r="U58" s="420"/>
      <c r="V58" s="420"/>
      <c r="W58" s="424"/>
      <c r="X58" s="424"/>
      <c r="Y58" s="457"/>
      <c r="Z58" s="25">
        <f>SIN(RADIANS(P60))*$Z$4+$M$3</f>
        <v>14.142135623730949</v>
      </c>
      <c r="AA58" s="25">
        <f>COS(RADIANS(P60))*$AA$4+$N$3</f>
        <v>14.142135623730951</v>
      </c>
    </row>
    <row r="59" spans="12:27" s="422" customFormat="1" ht="16.2" customHeight="1">
      <c r="L59" s="423"/>
      <c r="M59" s="423"/>
    </row>
    <row r="60" spans="12:27" s="422" customFormat="1" ht="16.2" customHeight="1">
      <c r="L60" s="423"/>
      <c r="M60" s="423"/>
      <c r="O60" s="431" t="s">
        <v>486</v>
      </c>
      <c r="P60" s="459">
        <f>P54+$M$9</f>
        <v>45</v>
      </c>
      <c r="Q60" s="423">
        <f>+$M$3</f>
        <v>0</v>
      </c>
      <c r="R60" s="423">
        <f>+$N$3</f>
        <v>0</v>
      </c>
      <c r="S60" s="420"/>
      <c r="T60" s="420"/>
      <c r="U60" s="420"/>
      <c r="V60" s="420"/>
      <c r="W60" s="424">
        <f>+Q60</f>
        <v>0</v>
      </c>
      <c r="X60" s="424">
        <f>+R60</f>
        <v>0</v>
      </c>
      <c r="Y60" s="457">
        <f ca="1">SIN(ATAN2(Q62-Q63,R62-R63))*WindTorque/((SQRT(POWER(Q67-Q61,2)+POWER(R67-R61,2))*$L$3)/(SQRT(POWER(Q68-Q62,2)+POWER(R68-R62,2))*$L$3*$L$4))</f>
        <v>2975.4308884232032</v>
      </c>
      <c r="Z60" s="25">
        <f t="shared" ref="Z60" ca="1" si="42">SIN(RADIANS(P60))*ABS(Y60)/100+$M$3</f>
        <v>21.039473581559605</v>
      </c>
      <c r="AA60" s="25">
        <f t="shared" ref="AA60" ca="1" si="43">COS(RADIANS(P60))*ABS(Y60)/100+$N$3</f>
        <v>21.039473581559609</v>
      </c>
    </row>
    <row r="61" spans="12:27" s="422" customFormat="1" ht="16.2" customHeight="1">
      <c r="L61" s="423"/>
      <c r="M61" s="423"/>
      <c r="O61" s="431" t="s">
        <v>479</v>
      </c>
      <c r="P61" s="459"/>
      <c r="Q61" s="423">
        <f>+SIN(RADIANS($P60))*$L$3+$M$3</f>
        <v>16.970562748477139</v>
      </c>
      <c r="R61" s="423">
        <f>+COS(RADIANS($P60))*$L$3+$N$3</f>
        <v>16.970562748477143</v>
      </c>
      <c r="S61" s="420">
        <f>$L$6</f>
        <v>24.592682761320781</v>
      </c>
      <c r="T61" s="428">
        <f>DEGREES(ACOS((U61^2+V61^2-S61^2)/(2*U61*V61)))</f>
        <v>55.241257392917127</v>
      </c>
      <c r="U61" s="420">
        <f>SQRT((Q63-Q61)^2+(R63-R61)^2)</f>
        <v>26.643436904129221</v>
      </c>
      <c r="V61" s="420">
        <f>$L$3*$L$4</f>
        <v>26.400000000000002</v>
      </c>
      <c r="W61" s="424">
        <f t="shared" ref="W61" si="44">+Q61</f>
        <v>16.970562748477139</v>
      </c>
      <c r="X61" s="424">
        <f t="shared" ref="X61" si="45">+R61</f>
        <v>16.970562748477143</v>
      </c>
      <c r="Y61" s="457">
        <f t="shared" ref="Y61" si="46">DEGREES(ATAN2(Q62-Q63,R62-R63))</f>
        <v>39.943593223178617</v>
      </c>
      <c r="Z61" s="25">
        <f ca="1">SIN(RADIANS(P66))*ABS(Y66)/100+$M$3</f>
        <v>20.934921589492966</v>
      </c>
      <c r="AA61" s="25">
        <f ca="1">COS(RADIANS(P66))*ABS(Y66)/100+$N$3</f>
        <v>17.566484984468829</v>
      </c>
    </row>
    <row r="62" spans="12:27" s="422" customFormat="1" ht="16.2" customHeight="1">
      <c r="L62" s="423"/>
      <c r="M62" s="423"/>
      <c r="O62" s="431" t="s">
        <v>480</v>
      </c>
      <c r="P62" s="459"/>
      <c r="Q62" s="423">
        <f>+COS(RADIANS(T61+DEGREES(ATAN2(Q61-Q63,R61-R63))))*$L$3*$L$4+Q63</f>
        <v>11.51142121992917</v>
      </c>
      <c r="R62" s="423">
        <f>+SIN(RADIANS(T61+DEGREES(ATAN2(Q61-Q63,R61-R63))))*$L$3*$L$4+R63</f>
        <v>40.949674891553812</v>
      </c>
      <c r="S62" s="428"/>
      <c r="T62" s="420"/>
      <c r="V62" s="420"/>
      <c r="W62" s="424">
        <f>+Q62</f>
        <v>11.51142121992917</v>
      </c>
      <c r="X62" s="424">
        <f>+R62</f>
        <v>40.949674891553812</v>
      </c>
      <c r="Y62" s="457"/>
    </row>
    <row r="63" spans="12:27" s="422" customFormat="1" ht="16.2" customHeight="1">
      <c r="L63" s="423"/>
      <c r="M63" s="423"/>
      <c r="O63" s="431" t="s">
        <v>150</v>
      </c>
      <c r="P63" s="459"/>
      <c r="Q63" s="423">
        <f>$M$4</f>
        <v>-8.7288485675670007</v>
      </c>
      <c r="R63" s="423">
        <f>$N$4</f>
        <v>24</v>
      </c>
      <c r="S63" s="428"/>
      <c r="T63" s="420"/>
      <c r="U63" s="420"/>
      <c r="V63" s="420"/>
      <c r="W63" s="424">
        <f>+Q63</f>
        <v>-8.7288485675670007</v>
      </c>
      <c r="X63" s="424">
        <f>+R63</f>
        <v>24</v>
      </c>
      <c r="Y63" s="457"/>
      <c r="Z63" s="25">
        <f>SIN(RADIANS(P60))*$Z$4+$M$3</f>
        <v>14.142135623730949</v>
      </c>
      <c r="AA63" s="25">
        <f>COS(RADIANS(P60))*$AA$4+$N$3</f>
        <v>14.142135623730951</v>
      </c>
    </row>
    <row r="64" spans="12:27" s="422" customFormat="1" ht="16.2" customHeight="1">
      <c r="L64" s="423"/>
      <c r="M64" s="423"/>
      <c r="O64" s="431"/>
      <c r="P64" s="459"/>
      <c r="Q64" s="423"/>
      <c r="R64" s="423"/>
      <c r="S64" s="420"/>
      <c r="T64" s="420"/>
      <c r="U64" s="420"/>
      <c r="V64" s="420"/>
      <c r="W64" s="424"/>
      <c r="X64" s="424"/>
      <c r="Y64" s="457"/>
      <c r="Z64" s="25">
        <f>SIN(RADIANS(P66))*$Z$4+$M$3</f>
        <v>15.32088886237956</v>
      </c>
      <c r="AA64" s="25">
        <f>COS(RADIANS(P66))*$AA$4+$N$3</f>
        <v>12.855752193730787</v>
      </c>
    </row>
    <row r="65" spans="12:27" s="422" customFormat="1" ht="16.2" customHeight="1">
      <c r="L65" s="423"/>
      <c r="M65" s="423"/>
    </row>
    <row r="66" spans="12:27" s="422" customFormat="1" ht="16.2" customHeight="1">
      <c r="L66" s="423"/>
      <c r="M66" s="423"/>
      <c r="O66" s="431" t="s">
        <v>486</v>
      </c>
      <c r="P66" s="459">
        <f>P60+$M$9</f>
        <v>50</v>
      </c>
      <c r="Q66" s="423">
        <f>+$M$3</f>
        <v>0</v>
      </c>
      <c r="R66" s="423">
        <f>+$N$3</f>
        <v>0</v>
      </c>
      <c r="S66" s="420"/>
      <c r="T66" s="420"/>
      <c r="U66" s="420"/>
      <c r="V66" s="420"/>
      <c r="W66" s="424">
        <f>+Q66</f>
        <v>0</v>
      </c>
      <c r="X66" s="424">
        <f>+R66</f>
        <v>0</v>
      </c>
      <c r="Y66" s="457">
        <f ca="1">SIN(ATAN2(Q68-Q69,R68-R69))*WindTorque/((SQRT(POWER(Q73-Q67,2)+POWER(R73-R67,2))*$L$3)/(SQRT(POWER(Q74-Q68,2)+POWER(R74-R68,2))*$L$3*$L$4))</f>
        <v>2732.8599244523812</v>
      </c>
      <c r="Z66" s="25">
        <f t="shared" ref="Z66" ca="1" si="47">SIN(RADIANS(P66))*ABS(Y66)/100+$M$3</f>
        <v>20.934921589492966</v>
      </c>
      <c r="AA66" s="25">
        <f t="shared" ref="AA66" ca="1" si="48">COS(RADIANS(P66))*ABS(Y66)/100+$N$3</f>
        <v>17.566484984468829</v>
      </c>
    </row>
    <row r="67" spans="12:27" s="422" customFormat="1" ht="16.2" customHeight="1">
      <c r="L67" s="423"/>
      <c r="M67" s="423"/>
      <c r="O67" s="431" t="s">
        <v>479</v>
      </c>
      <c r="P67" s="459"/>
      <c r="Q67" s="423">
        <f>+SIN(RADIANS($P66))*$L$3+$M$3</f>
        <v>18.385066634855473</v>
      </c>
      <c r="R67" s="423">
        <f>+COS(RADIANS($P66))*$L$3+$N$3</f>
        <v>15.426902632476946</v>
      </c>
      <c r="S67" s="420">
        <f>$L$6</f>
        <v>24.592682761320781</v>
      </c>
      <c r="T67" s="428">
        <f>DEGREES(ACOS((U67^2+V67^2-S67^2)/(2*U67*V67)))</f>
        <v>53.13303535784916</v>
      </c>
      <c r="U67" s="420">
        <f>SQRT((Q69-Q67)^2+(R69-R67)^2)</f>
        <v>28.436989926452966</v>
      </c>
      <c r="V67" s="420">
        <f>$L$3*$L$4</f>
        <v>26.400000000000002</v>
      </c>
      <c r="W67" s="424">
        <f t="shared" ref="W67" si="49">+Q67</f>
        <v>18.385066634855473</v>
      </c>
      <c r="X67" s="424">
        <f t="shared" ref="X67" si="50">+R67</f>
        <v>15.426902632476946</v>
      </c>
      <c r="Y67" s="457">
        <f t="shared" ref="Y67" si="51">DEGREES(ATAN2(Q68-Q69,R68-R69))</f>
        <v>35.586700784935807</v>
      </c>
      <c r="Z67" s="25">
        <f ca="1">SIN(RADIANS(P72))*ABS(Y72)/100+$M$3</f>
        <v>20.114685357234197</v>
      </c>
      <c r="AA67" s="25">
        <f ca="1">COS(RADIANS(P72))*ABS(Y72)/100+$N$3</f>
        <v>14.084454315851856</v>
      </c>
    </row>
    <row r="68" spans="12:27" s="422" customFormat="1" ht="16.2" customHeight="1">
      <c r="L68" s="423"/>
      <c r="M68" s="423"/>
      <c r="O68" s="431" t="s">
        <v>480</v>
      </c>
      <c r="P68" s="459"/>
      <c r="Q68" s="423">
        <f>+COS(RADIANS(T67+DEGREES(ATAN2(Q67-Q69,R67-R69))))*$L$3*$L$4+Q69</f>
        <v>12.740578101268364</v>
      </c>
      <c r="R68" s="423">
        <f>+SIN(RADIANS(T67+DEGREES(ATAN2(Q67-Q69,R67-R69))))*$L$3*$L$4+R69</f>
        <v>39.363063448137581</v>
      </c>
      <c r="S68" s="428"/>
      <c r="T68" s="420"/>
      <c r="V68" s="420"/>
      <c r="W68" s="424">
        <f>+Q68</f>
        <v>12.740578101268364</v>
      </c>
      <c r="X68" s="424">
        <f>+R68</f>
        <v>39.363063448137581</v>
      </c>
      <c r="Y68" s="457"/>
    </row>
    <row r="69" spans="12:27" s="422" customFormat="1" ht="16.2" customHeight="1">
      <c r="L69" s="423"/>
      <c r="M69" s="423"/>
      <c r="O69" s="431" t="s">
        <v>150</v>
      </c>
      <c r="P69" s="459"/>
      <c r="Q69" s="423">
        <f>$M$4</f>
        <v>-8.7288485675670007</v>
      </c>
      <c r="R69" s="423">
        <f>$N$4</f>
        <v>24</v>
      </c>
      <c r="S69" s="428"/>
      <c r="T69" s="420"/>
      <c r="U69" s="420"/>
      <c r="V69" s="420"/>
      <c r="W69" s="424">
        <f>+Q69</f>
        <v>-8.7288485675670007</v>
      </c>
      <c r="X69" s="424">
        <f>+R69</f>
        <v>24</v>
      </c>
      <c r="Y69" s="457"/>
      <c r="Z69" s="25">
        <f>SIN(RADIANS(P66))*$Z$4+$M$3</f>
        <v>15.32088886237956</v>
      </c>
      <c r="AA69" s="25">
        <f>COS(RADIANS(P66))*$AA$4+$N$3</f>
        <v>12.855752193730787</v>
      </c>
    </row>
    <row r="70" spans="12:27" s="422" customFormat="1" ht="16.2" customHeight="1">
      <c r="L70" s="423"/>
      <c r="M70" s="423"/>
      <c r="O70" s="431"/>
      <c r="P70" s="459"/>
      <c r="Q70" s="423"/>
      <c r="R70" s="423"/>
      <c r="S70" s="420"/>
      <c r="T70" s="420"/>
      <c r="U70" s="420"/>
      <c r="V70" s="420"/>
      <c r="W70" s="424"/>
      <c r="X70" s="424"/>
      <c r="Y70" s="457"/>
      <c r="Z70" s="25">
        <f>SIN(RADIANS(P72))*$Z$4+$M$3</f>
        <v>16.383040885779835</v>
      </c>
      <c r="AA70" s="25">
        <f>COS(RADIANS(P72))*$AA$4+$N$3</f>
        <v>11.471528727020923</v>
      </c>
    </row>
    <row r="71" spans="12:27" s="422" customFormat="1" ht="16.2" customHeight="1">
      <c r="L71" s="423"/>
      <c r="M71" s="423"/>
    </row>
    <row r="72" spans="12:27" s="422" customFormat="1" ht="16.2" customHeight="1">
      <c r="L72" s="423"/>
      <c r="M72" s="423"/>
      <c r="O72" s="431" t="s">
        <v>486</v>
      </c>
      <c r="P72" s="459">
        <f>P66+$M$9</f>
        <v>55</v>
      </c>
      <c r="Q72" s="423">
        <f>+$M$3</f>
        <v>0</v>
      </c>
      <c r="R72" s="423">
        <f>+$N$3</f>
        <v>0</v>
      </c>
      <c r="S72" s="420"/>
      <c r="T72" s="420"/>
      <c r="U72" s="420"/>
      <c r="V72" s="420"/>
      <c r="W72" s="424">
        <f>+Q72</f>
        <v>0</v>
      </c>
      <c r="X72" s="424">
        <f>+R72</f>
        <v>0</v>
      </c>
      <c r="Y72" s="457">
        <f ca="1">SIN(ATAN2(Q74-Q75,R74-R75))*WindTorque/((SQRT(POWER(Q79-Q73,2)+POWER(R79-R73,2))*$L$3)/(SQRT(POWER(Q80-Q74,2)+POWER(R80-R74,2))*$L$3*$L$4))</f>
        <v>2455.5496745043661</v>
      </c>
      <c r="Z72" s="25">
        <f t="shared" ref="Z72" ca="1" si="52">SIN(RADIANS(P72))*ABS(Y72)/100+$M$3</f>
        <v>20.114685357234197</v>
      </c>
      <c r="AA72" s="25">
        <f t="shared" ref="AA72" ca="1" si="53">COS(RADIANS(P72))*ABS(Y72)/100+$N$3</f>
        <v>14.084454315851856</v>
      </c>
    </row>
    <row r="73" spans="12:27" s="422" customFormat="1" ht="16.2" customHeight="1">
      <c r="L73" s="423"/>
      <c r="M73" s="423"/>
      <c r="O73" s="431" t="s">
        <v>479</v>
      </c>
      <c r="P73" s="459"/>
      <c r="Q73" s="423">
        <f>+SIN(RADIANS($P72))*$L$3+$M$3</f>
        <v>19.659649062935802</v>
      </c>
      <c r="R73" s="423">
        <f>+COS(RADIANS($P72))*$L$3+$N$3</f>
        <v>13.765834472425109</v>
      </c>
      <c r="S73" s="420">
        <f>$L$6</f>
        <v>24.592682761320781</v>
      </c>
      <c r="T73" s="428">
        <f>DEGREES(ACOS((U73^2+V73^2-S73^2)/(2*U73*V73)))</f>
        <v>50.996134538386329</v>
      </c>
      <c r="U73" s="420">
        <f>SQRT((Q75-Q73)^2+(R75-R73)^2)</f>
        <v>30.176894170256581</v>
      </c>
      <c r="V73" s="420">
        <f>$L$3*$L$4</f>
        <v>26.400000000000002</v>
      </c>
      <c r="W73" s="424">
        <f t="shared" ref="W73" si="54">+Q73</f>
        <v>19.659649062935802</v>
      </c>
      <c r="X73" s="424">
        <f t="shared" ref="X73" si="55">+R73</f>
        <v>13.765834472425109</v>
      </c>
      <c r="Y73" s="457">
        <f t="shared" ref="Y73" si="56">DEGREES(ATAN2(Q74-Q75,R74-R75))</f>
        <v>31.171700850394689</v>
      </c>
      <c r="Z73" s="25">
        <f ca="1">SIN(RADIANS(P78))*ABS(Y78)/100+$M$3</f>
        <v>18.611109188766736</v>
      </c>
      <c r="AA73" s="25">
        <f ca="1">COS(RADIANS(P78))*ABS(Y78)/100+$N$3</f>
        <v>10.745128900051995</v>
      </c>
    </row>
    <row r="74" spans="12:27" s="422" customFormat="1" ht="16.2" customHeight="1">
      <c r="L74" s="423"/>
      <c r="M74" s="423"/>
      <c r="O74" s="431" t="s">
        <v>480</v>
      </c>
      <c r="P74" s="459"/>
      <c r="Q74" s="423">
        <f>+COS(RADIANS(T73+DEGREES(ATAN2(Q73-Q75,R73-R75))))*$L$3*$L$4+Q75</f>
        <v>13.859519861836647</v>
      </c>
      <c r="R74" s="423">
        <f>+SIN(RADIANS(T73+DEGREES(ATAN2(Q73-Q75,R73-R75))))*$L$3*$L$4+R75</f>
        <v>37.664758018257061</v>
      </c>
      <c r="S74" s="428"/>
      <c r="T74" s="420"/>
      <c r="V74" s="420"/>
      <c r="W74" s="424">
        <f>+Q74</f>
        <v>13.859519861836647</v>
      </c>
      <c r="X74" s="424">
        <f>+R74</f>
        <v>37.664758018257061</v>
      </c>
      <c r="Y74" s="457"/>
    </row>
    <row r="75" spans="12:27" s="422" customFormat="1" ht="16.2" customHeight="1">
      <c r="L75" s="423"/>
      <c r="M75" s="423"/>
      <c r="O75" s="431" t="s">
        <v>150</v>
      </c>
      <c r="P75" s="459"/>
      <c r="Q75" s="423">
        <f>$M$4</f>
        <v>-8.7288485675670007</v>
      </c>
      <c r="R75" s="423">
        <f>$N$4</f>
        <v>24</v>
      </c>
      <c r="S75" s="428"/>
      <c r="T75" s="420"/>
      <c r="U75" s="420"/>
      <c r="V75" s="420"/>
      <c r="W75" s="424">
        <f>+Q75</f>
        <v>-8.7288485675670007</v>
      </c>
      <c r="X75" s="424">
        <f>+R75</f>
        <v>24</v>
      </c>
      <c r="Y75" s="457"/>
      <c r="Z75" s="25">
        <f>SIN(RADIANS(P72))*$Z$4+$M$3</f>
        <v>16.383040885779835</v>
      </c>
      <c r="AA75" s="25">
        <f>COS(RADIANS(P72))*$AA$4+$N$3</f>
        <v>11.471528727020923</v>
      </c>
    </row>
    <row r="76" spans="12:27" s="422" customFormat="1" ht="16.2" customHeight="1">
      <c r="L76" s="423"/>
      <c r="M76" s="423"/>
      <c r="O76" s="431"/>
      <c r="P76" s="459"/>
      <c r="Q76" s="423"/>
      <c r="R76" s="423"/>
      <c r="S76" s="420"/>
      <c r="T76" s="420"/>
      <c r="U76" s="420"/>
      <c r="V76" s="420"/>
      <c r="W76" s="424"/>
      <c r="X76" s="424"/>
      <c r="Y76" s="457"/>
      <c r="Z76" s="25">
        <f>SIN(RADIANS(P78))*$Z$4+$M$3</f>
        <v>17.320508075688771</v>
      </c>
      <c r="AA76" s="25">
        <f>COS(RADIANS(P78))*$AA$4+$N$3</f>
        <v>10.000000000000002</v>
      </c>
    </row>
    <row r="77" spans="12:27" s="422" customFormat="1" ht="16.2" customHeight="1">
      <c r="L77" s="423"/>
      <c r="M77" s="423"/>
    </row>
    <row r="78" spans="12:27" s="422" customFormat="1" ht="16.2" customHeight="1">
      <c r="L78" s="423"/>
      <c r="M78" s="423"/>
      <c r="O78" s="431" t="s">
        <v>486</v>
      </c>
      <c r="P78" s="459">
        <f>P72+$M$9</f>
        <v>60</v>
      </c>
      <c r="Q78" s="423">
        <f>+$M$3</f>
        <v>0</v>
      </c>
      <c r="R78" s="423">
        <f>+$N$3</f>
        <v>0</v>
      </c>
      <c r="S78" s="420"/>
      <c r="T78" s="420"/>
      <c r="U78" s="420"/>
      <c r="V78" s="420"/>
      <c r="W78" s="424">
        <f>+Q78</f>
        <v>0</v>
      </c>
      <c r="X78" s="424">
        <f>+R78</f>
        <v>0</v>
      </c>
      <c r="Y78" s="457">
        <f ca="1">SIN(ATAN2(Q80-Q81,R80-R81))*WindTorque/((SQRT(POWER(Q85-Q79,2)+POWER(R85-R79,2))*$L$3)/(SQRT(POWER(Q86-Q80,2)+POWER(R86-R80,2))*$L$3*$L$4))</f>
        <v>2149.0257800103986</v>
      </c>
      <c r="Z78" s="25">
        <f t="shared" ref="Z78" ca="1" si="57">SIN(RADIANS(P78))*ABS(Y78)/100+$M$3</f>
        <v>18.611109188766736</v>
      </c>
      <c r="AA78" s="25">
        <f t="shared" ref="AA78" ca="1" si="58">COS(RADIANS(P78))*ABS(Y78)/100+$N$3</f>
        <v>10.745128900051995</v>
      </c>
    </row>
    <row r="79" spans="12:27" s="422" customFormat="1" ht="16.2" customHeight="1">
      <c r="L79" s="423"/>
      <c r="M79" s="423"/>
      <c r="O79" s="431" t="s">
        <v>479</v>
      </c>
      <c r="P79" s="459"/>
      <c r="Q79" s="423">
        <f>+SIN(RADIANS($P78))*$L$3+$M$3</f>
        <v>20.784609690826528</v>
      </c>
      <c r="R79" s="423">
        <f>+COS(RADIANS($P78))*$L$3+$N$3</f>
        <v>12.000000000000004</v>
      </c>
      <c r="S79" s="420">
        <f>$L$6</f>
        <v>24.592682761320781</v>
      </c>
      <c r="T79" s="428">
        <f>DEGREES(ACOS((U79^2+V79^2-S79^2)/(2*U79*V79)))</f>
        <v>48.838018885363873</v>
      </c>
      <c r="U79" s="420">
        <f>SQRT((Q81-Q79)^2+(R81-R79)^2)</f>
        <v>31.859758605016722</v>
      </c>
      <c r="V79" s="420">
        <f>$L$3*$L$4</f>
        <v>26.400000000000002</v>
      </c>
      <c r="W79" s="424">
        <f t="shared" ref="W79" si="59">+Q79</f>
        <v>20.784609690826528</v>
      </c>
      <c r="X79" s="424">
        <f t="shared" ref="X79" si="60">+R79</f>
        <v>12.000000000000004</v>
      </c>
      <c r="Y79" s="457">
        <f t="shared" ref="Y79" si="61">DEGREES(ATAN2(Q80-Q81,R80-R81))</f>
        <v>26.711646648496959</v>
      </c>
      <c r="Z79" s="25">
        <f ca="1">SIN(RADIANS(P84))*ABS(Y84)/100+$M$3</f>
        <v>16.478761496097015</v>
      </c>
      <c r="AA79" s="25">
        <f ca="1">COS(RADIANS(P84))*ABS(Y84)/100+$N$3</f>
        <v>7.6841726825397583</v>
      </c>
    </row>
    <row r="80" spans="12:27" s="422" customFormat="1" ht="16.2" customHeight="1">
      <c r="L80" s="423"/>
      <c r="M80" s="423"/>
      <c r="O80" s="431" t="s">
        <v>480</v>
      </c>
      <c r="P80" s="459"/>
      <c r="Q80" s="423">
        <f>+COS(RADIANS(T79+DEGREES(ATAN2(Q79-Q81,R79-R81))))*$L$3*$L$4+Q81</f>
        <v>14.853744375888125</v>
      </c>
      <c r="R80" s="423">
        <f>+SIN(RADIANS(T79+DEGREES(ATAN2(Q79-Q81,R79-R81))))*$L$3*$L$4+R81</f>
        <v>35.866815497988519</v>
      </c>
      <c r="S80" s="428"/>
      <c r="T80" s="420"/>
      <c r="V80" s="420"/>
      <c r="W80" s="424">
        <f>+Q80</f>
        <v>14.853744375888125</v>
      </c>
      <c r="X80" s="424">
        <f>+R80</f>
        <v>35.866815497988519</v>
      </c>
      <c r="Y80" s="457"/>
    </row>
    <row r="81" spans="12:27" s="422" customFormat="1" ht="16.2" customHeight="1">
      <c r="L81" s="423"/>
      <c r="M81" s="423"/>
      <c r="O81" s="431" t="s">
        <v>150</v>
      </c>
      <c r="P81" s="459"/>
      <c r="Q81" s="423">
        <f>$M$4</f>
        <v>-8.7288485675670007</v>
      </c>
      <c r="R81" s="423">
        <f>$N$4</f>
        <v>24</v>
      </c>
      <c r="S81" s="428"/>
      <c r="T81" s="420"/>
      <c r="U81" s="420"/>
      <c r="V81" s="420"/>
      <c r="W81" s="424">
        <f>+Q81</f>
        <v>-8.7288485675670007</v>
      </c>
      <c r="X81" s="424">
        <f>+R81</f>
        <v>24</v>
      </c>
      <c r="Y81" s="457"/>
      <c r="Z81" s="25">
        <f>SIN(RADIANS(P78))*$Z$4+$M$3</f>
        <v>17.320508075688771</v>
      </c>
      <c r="AA81" s="25">
        <f>COS(RADIANS(P78))*$AA$4+$N$3</f>
        <v>10.000000000000002</v>
      </c>
    </row>
    <row r="82" spans="12:27" s="422" customFormat="1" ht="16.2" customHeight="1">
      <c r="L82" s="423"/>
      <c r="M82" s="423"/>
      <c r="O82" s="431"/>
      <c r="P82" s="459"/>
      <c r="Q82" s="423"/>
      <c r="R82" s="423"/>
      <c r="S82" s="420"/>
      <c r="T82" s="420"/>
      <c r="U82" s="420"/>
      <c r="V82" s="420"/>
      <c r="W82" s="424"/>
      <c r="X82" s="424"/>
      <c r="Y82" s="457"/>
      <c r="Z82" s="25">
        <f>SIN(RADIANS(P84))*$Z$4+$M$3</f>
        <v>18.126155740732997</v>
      </c>
      <c r="AA82" s="25">
        <f>COS(RADIANS(P84))*$AA$4+$N$3</f>
        <v>8.452365234813989</v>
      </c>
    </row>
    <row r="83" spans="12:27" s="422" customFormat="1" ht="16.2" customHeight="1">
      <c r="L83" s="423"/>
      <c r="M83" s="423"/>
    </row>
    <row r="84" spans="12:27" s="422" customFormat="1" ht="16.2" customHeight="1">
      <c r="L84" s="423"/>
      <c r="M84" s="423"/>
      <c r="O84" s="431" t="s">
        <v>486</v>
      </c>
      <c r="P84" s="459">
        <f>P78+$M$9</f>
        <v>65</v>
      </c>
      <c r="Q84" s="423">
        <f>+$M$3</f>
        <v>0</v>
      </c>
      <c r="R84" s="423">
        <f>+$N$3</f>
        <v>0</v>
      </c>
      <c r="S84" s="420"/>
      <c r="T84" s="420"/>
      <c r="U84" s="420"/>
      <c r="V84" s="420"/>
      <c r="W84" s="424">
        <f>+Q84</f>
        <v>0</v>
      </c>
      <c r="X84" s="424">
        <f>+R84</f>
        <v>0</v>
      </c>
      <c r="Y84" s="457">
        <f ca="1">SIN(ATAN2(Q86-Q87,R86-R87))*WindTorque/((SQRT(POWER(Q91-Q85,2)+POWER(R91-R85,2))*$L$3)/(SQRT(POWER(Q92-Q86,2)+POWER(R92-R86,2))*$L$3*$L$4))</f>
        <v>1818.2301566642759</v>
      </c>
      <c r="Z84" s="25">
        <f t="shared" ref="Z84" ca="1" si="62">SIN(RADIANS(P84))*ABS(Y84)/100+$M$3</f>
        <v>16.478761496097015</v>
      </c>
      <c r="AA84" s="25">
        <f t="shared" ref="AA84" ca="1" si="63">COS(RADIANS(P84))*ABS(Y84)/100+$N$3</f>
        <v>7.6841726825397583</v>
      </c>
    </row>
    <row r="85" spans="12:27" s="422" customFormat="1" ht="16.2" customHeight="1">
      <c r="L85" s="423"/>
      <c r="M85" s="423"/>
      <c r="O85" s="431" t="s">
        <v>479</v>
      </c>
      <c r="P85" s="459"/>
      <c r="Q85" s="423">
        <f>+SIN(RADIANS($P84))*$L$3+$M$3</f>
        <v>21.751386888879598</v>
      </c>
      <c r="R85" s="423">
        <f>+COS(RADIANS($P84))*$L$3+$N$3</f>
        <v>10.142838281776786</v>
      </c>
      <c r="S85" s="420">
        <f>$L$6</f>
        <v>24.592682761320781</v>
      </c>
      <c r="T85" s="428">
        <f>DEGREES(ACOS((U85^2+V85^2-S85^2)/(2*U85*V85)))</f>
        <v>46.664791853018755</v>
      </c>
      <c r="U85" s="420">
        <f>SQRT((Q87-Q85)^2+(R87-R85)^2)</f>
        <v>33.482318981298405</v>
      </c>
      <c r="V85" s="420">
        <f>$L$3*$L$4</f>
        <v>26.400000000000002</v>
      </c>
      <c r="W85" s="424">
        <f t="shared" ref="W85" si="64">+Q85</f>
        <v>21.751386888879598</v>
      </c>
      <c r="X85" s="424">
        <f t="shared" ref="X85" si="65">+R85</f>
        <v>10.142838281776786</v>
      </c>
      <c r="Y85" s="457">
        <f t="shared" ref="Y85" si="66">DEGREES(ATAN2(Q86-Q87,R86-R87))</f>
        <v>22.216928076657791</v>
      </c>
      <c r="Z85" s="25">
        <f ca="1">SIN(RADIANS(P90))*ABS(Y90)/100+$M$3</f>
        <v>13.79244729134019</v>
      </c>
      <c r="AA85" s="25">
        <f ca="1">COS(RADIANS(P90))*ABS(Y90)/100+$N$3</f>
        <v>5.0200402717333388</v>
      </c>
    </row>
    <row r="86" spans="12:27" s="422" customFormat="1" ht="16.2" customHeight="1">
      <c r="L86" s="423"/>
      <c r="M86" s="423"/>
      <c r="O86" s="431" t="s">
        <v>480</v>
      </c>
      <c r="P86" s="459"/>
      <c r="Q86" s="423">
        <f>+COS(RADIANS(T85+DEGREES(ATAN2(Q85-Q87,R85-R87))))*$L$3*$L$4+Q87</f>
        <v>15.711186685115758</v>
      </c>
      <c r="R86" s="423">
        <f>+SIN(RADIANS(T85+DEGREES(ATAN2(Q85-Q87,R85-R87))))*$L$3*$L$4+R87</f>
        <v>33.98221803246274</v>
      </c>
      <c r="S86" s="428"/>
      <c r="T86" s="420"/>
      <c r="V86" s="420"/>
      <c r="W86" s="424">
        <f>+Q86</f>
        <v>15.711186685115758</v>
      </c>
      <c r="X86" s="424">
        <f>+R86</f>
        <v>33.98221803246274</v>
      </c>
      <c r="Y86" s="457"/>
    </row>
    <row r="87" spans="12:27" s="422" customFormat="1" ht="16.2" customHeight="1">
      <c r="L87" s="423"/>
      <c r="M87" s="423"/>
      <c r="O87" s="431" t="s">
        <v>150</v>
      </c>
      <c r="P87" s="459"/>
      <c r="Q87" s="423">
        <f>$M$4</f>
        <v>-8.7288485675670007</v>
      </c>
      <c r="R87" s="423">
        <f>$N$4</f>
        <v>24</v>
      </c>
      <c r="S87" s="428"/>
      <c r="T87" s="420"/>
      <c r="U87" s="420"/>
      <c r="V87" s="420"/>
      <c r="W87" s="424">
        <f>+Q87</f>
        <v>-8.7288485675670007</v>
      </c>
      <c r="X87" s="424">
        <f>+R87</f>
        <v>24</v>
      </c>
      <c r="Y87" s="457"/>
      <c r="Z87" s="25">
        <f>SIN(RADIANS(P84))*$Z$4+$M$3</f>
        <v>18.126155740732997</v>
      </c>
      <c r="AA87" s="25">
        <f>COS(RADIANS(P84))*$AA$4+$N$3</f>
        <v>8.452365234813989</v>
      </c>
    </row>
    <row r="88" spans="12:27" s="422" customFormat="1" ht="16.2" customHeight="1">
      <c r="L88" s="423"/>
      <c r="M88" s="423"/>
      <c r="O88" s="431"/>
      <c r="P88" s="459"/>
      <c r="Q88" s="423"/>
      <c r="R88" s="423"/>
      <c r="S88" s="420"/>
      <c r="T88" s="420"/>
      <c r="U88" s="420"/>
      <c r="V88" s="420"/>
      <c r="W88" s="424"/>
      <c r="X88" s="424"/>
      <c r="Y88" s="457"/>
      <c r="Z88" s="25">
        <f>SIN(RADIANS(P90))*$Z$4+$M$3</f>
        <v>18.793852415718167</v>
      </c>
      <c r="AA88" s="25">
        <f>COS(RADIANS(P90))*$AA$4+$N$3</f>
        <v>6.8404028665133767</v>
      </c>
    </row>
    <row r="89" spans="12:27" s="422" customFormat="1" ht="16.2" customHeight="1">
      <c r="L89" s="423"/>
      <c r="M89" s="423"/>
    </row>
    <row r="90" spans="12:27" s="422" customFormat="1" ht="16.2" customHeight="1">
      <c r="L90" s="423"/>
      <c r="M90" s="423"/>
      <c r="O90" s="431" t="s">
        <v>486</v>
      </c>
      <c r="P90" s="459">
        <f>P84+$M$9</f>
        <v>70</v>
      </c>
      <c r="Q90" s="423">
        <f>+$M$3</f>
        <v>0</v>
      </c>
      <c r="R90" s="423">
        <f>+$N$3</f>
        <v>0</v>
      </c>
      <c r="S90" s="420"/>
      <c r="T90" s="420"/>
      <c r="U90" s="420"/>
      <c r="V90" s="420"/>
      <c r="W90" s="424">
        <f>+Q90</f>
        <v>0</v>
      </c>
      <c r="X90" s="424">
        <f>+R90</f>
        <v>0</v>
      </c>
      <c r="Y90" s="457">
        <f ca="1">SIN(ATAN2(Q92-Q93,R92-R93))*WindTorque/((SQRT(POWER(Q97-Q91,2)+POWER(R97-R91,2))*$L$3)/(SQRT(POWER(Q98-Q92,2)+POWER(R98-R92,2))*$L$3*$L$4))</f>
        <v>1467.7615835489833</v>
      </c>
      <c r="Z90" s="25">
        <f t="shared" ref="Z90" ca="1" si="67">SIN(RADIANS(P90))*ABS(Y90)/100+$M$3</f>
        <v>13.79244729134019</v>
      </c>
      <c r="AA90" s="25">
        <f t="shared" ref="AA90" ca="1" si="68">COS(RADIANS(P90))*ABS(Y90)/100+$N$3</f>
        <v>5.0200402717333388</v>
      </c>
    </row>
    <row r="91" spans="12:27" s="422" customFormat="1" ht="16.2" customHeight="1">
      <c r="L91" s="423"/>
      <c r="M91" s="423"/>
      <c r="O91" s="431" t="s">
        <v>479</v>
      </c>
      <c r="P91" s="459"/>
      <c r="Q91" s="423">
        <f>+SIN(RADIANS($P90))*$L$3+$M$3</f>
        <v>22.552622898861799</v>
      </c>
      <c r="R91" s="423">
        <f>+COS(RADIANS($P90))*$L$3+$N$3</f>
        <v>8.2084834398160513</v>
      </c>
      <c r="S91" s="420">
        <f>$L$6</f>
        <v>24.592682761320781</v>
      </c>
      <c r="T91" s="428">
        <f>DEGREES(ACOS((U91^2+V91^2-S91^2)/(2*U91*V91)))</f>
        <v>44.481661632225219</v>
      </c>
      <c r="U91" s="420">
        <f>SQRT((Q93-Q91)^2+(R93-R91)^2)</f>
        <v>35.041439073981579</v>
      </c>
      <c r="V91" s="420">
        <f>$L$3*$L$4</f>
        <v>26.400000000000002</v>
      </c>
      <c r="W91" s="424">
        <f t="shared" ref="W91" si="69">+Q91</f>
        <v>22.552622898861799</v>
      </c>
      <c r="X91" s="424">
        <f t="shared" ref="X91" si="70">+R91</f>
        <v>8.2084834398160513</v>
      </c>
      <c r="Y91" s="457">
        <f t="shared" ref="Y91" si="71">DEGREES(ATAN2(Q92-Q93,R92-R93))</f>
        <v>17.696098121378565</v>
      </c>
      <c r="Z91" s="25">
        <f ca="1">SIN(RADIANS(P96))*ABS(Y96)/100+$M$3</f>
        <v>10.644817935970035</v>
      </c>
      <c r="AA91" s="25">
        <f ca="1">COS(RADIANS(P96))*ABS(Y96)/100+$N$3</f>
        <v>2.8522703695195015</v>
      </c>
    </row>
    <row r="92" spans="12:27" s="422" customFormat="1" ht="16.2" customHeight="1">
      <c r="L92" s="423"/>
      <c r="M92" s="423"/>
      <c r="O92" s="431" t="s">
        <v>480</v>
      </c>
      <c r="P92" s="459"/>
      <c r="Q92" s="423">
        <f>+COS(RADIANS(T91+DEGREES(ATAN2(Q91-Q93,R91-R93))))*$L$3*$L$4+Q93</f>
        <v>16.421961087054186</v>
      </c>
      <c r="R92" s="423">
        <f>+SIN(RADIANS(T91+DEGREES(ATAN2(Q91-Q93,R91-R93))))*$L$3*$L$4+R93</f>
        <v>32.024760041086203</v>
      </c>
      <c r="S92" s="428"/>
      <c r="T92" s="420"/>
      <c r="V92" s="420"/>
      <c r="W92" s="424">
        <f>+Q92</f>
        <v>16.421961087054186</v>
      </c>
      <c r="X92" s="424">
        <f>+R92</f>
        <v>32.024760041086203</v>
      </c>
      <c r="Y92" s="457"/>
    </row>
    <row r="93" spans="12:27" s="422" customFormat="1" ht="16.2" customHeight="1">
      <c r="L93" s="423"/>
      <c r="M93" s="423"/>
      <c r="O93" s="431" t="s">
        <v>150</v>
      </c>
      <c r="P93" s="459"/>
      <c r="Q93" s="423">
        <f>$M$4</f>
        <v>-8.7288485675670007</v>
      </c>
      <c r="R93" s="423">
        <f>$N$4</f>
        <v>24</v>
      </c>
      <c r="S93" s="428"/>
      <c r="T93" s="420"/>
      <c r="U93" s="420"/>
      <c r="V93" s="420"/>
      <c r="W93" s="424">
        <f>+Q93</f>
        <v>-8.7288485675670007</v>
      </c>
      <c r="X93" s="424">
        <f>+R93</f>
        <v>24</v>
      </c>
      <c r="Y93" s="457"/>
      <c r="Z93" s="25">
        <f>SIN(RADIANS(P90))*$Z$4+$M$3</f>
        <v>18.793852415718167</v>
      </c>
      <c r="AA93" s="25">
        <f>COS(RADIANS(P90))*$AA$4+$N$3</f>
        <v>6.8404028665133767</v>
      </c>
    </row>
    <row r="94" spans="12:27" s="422" customFormat="1" ht="16.2" customHeight="1">
      <c r="L94" s="423"/>
      <c r="M94" s="423"/>
      <c r="O94" s="431"/>
      <c r="P94" s="459"/>
      <c r="Q94" s="423"/>
      <c r="R94" s="423"/>
      <c r="S94" s="420"/>
      <c r="T94" s="420"/>
      <c r="U94" s="420"/>
      <c r="V94" s="420"/>
      <c r="W94" s="424"/>
      <c r="X94" s="424"/>
      <c r="Y94" s="457"/>
      <c r="Z94" s="25">
        <f>SIN(RADIANS(P96))*$Z$4+$M$3</f>
        <v>19.318516525781366</v>
      </c>
      <c r="AA94" s="25">
        <f>COS(RADIANS(P96))*$AA$4+$N$3</f>
        <v>5.1763809020504148</v>
      </c>
    </row>
    <row r="95" spans="12:27" s="422" customFormat="1" ht="16.2" customHeight="1">
      <c r="L95" s="423"/>
      <c r="M95" s="423"/>
    </row>
    <row r="96" spans="12:27" s="422" customFormat="1" ht="16.2" customHeight="1">
      <c r="L96" s="423"/>
      <c r="M96" s="423"/>
      <c r="O96" s="431" t="s">
        <v>486</v>
      </c>
      <c r="P96" s="459">
        <f>P90+$M$9</f>
        <v>75</v>
      </c>
      <c r="Q96" s="423">
        <f>+$M$3</f>
        <v>0</v>
      </c>
      <c r="R96" s="423">
        <f>+$N$3</f>
        <v>0</v>
      </c>
      <c r="S96" s="420"/>
      <c r="T96" s="420"/>
      <c r="U96" s="420"/>
      <c r="V96" s="420"/>
      <c r="W96" s="424">
        <f>+Q96</f>
        <v>0</v>
      </c>
      <c r="X96" s="424">
        <f>+R96</f>
        <v>0</v>
      </c>
      <c r="Y96" s="457">
        <f ca="1">SIN(ATAN2(Q98-Q99,R98-R99))*WindTorque/((SQRT(POWER(Q103-Q97,2)+POWER(R103-R97,2))*$L$3)/(SQRT(POWER(Q104-Q98,2)+POWER(R104-R98,2))*$L$3*$L$4))</f>
        <v>1102.0326453911803</v>
      </c>
      <c r="Z96" s="25">
        <f t="shared" ref="Z96" ca="1" si="72">SIN(RADIANS(P96))*ABS(Y96)/100+$M$3</f>
        <v>10.644817935970035</v>
      </c>
      <c r="AA96" s="25">
        <f t="shared" ref="AA96" ca="1" si="73">COS(RADIANS(P96))*ABS(Y96)/100+$N$3</f>
        <v>2.8522703695195015</v>
      </c>
    </row>
    <row r="97" spans="12:27" s="422" customFormat="1" ht="16.2" customHeight="1">
      <c r="L97" s="423"/>
      <c r="M97" s="423"/>
      <c r="O97" s="431" t="s">
        <v>479</v>
      </c>
      <c r="P97" s="459"/>
      <c r="Q97" s="423">
        <f>+SIN(RADIANS($P96))*$L$3+$M$3</f>
        <v>23.18221983093764</v>
      </c>
      <c r="R97" s="423">
        <f>+COS(RADIANS($P96))*$L$3+$N$3</f>
        <v>6.2116570824604977</v>
      </c>
      <c r="S97" s="420">
        <f>$L$6</f>
        <v>24.592682761320781</v>
      </c>
      <c r="T97" s="428">
        <f>DEGREES(ACOS((U97^2+V97^2-S97^2)/(2*U97*V97)))</f>
        <v>42.293285538536018</v>
      </c>
      <c r="U97" s="420">
        <f>SQRT((Q99-Q97)^2+(R99-R97)^2)</f>
        <v>36.534113237986482</v>
      </c>
      <c r="V97" s="420">
        <f>$L$3*$L$4</f>
        <v>26.400000000000002</v>
      </c>
      <c r="W97" s="424">
        <f t="shared" ref="W97" si="74">+Q97</f>
        <v>23.18221983093764</v>
      </c>
      <c r="X97" s="424">
        <f t="shared" ref="X97" si="75">+R97</f>
        <v>6.2116570824604977</v>
      </c>
      <c r="Y97" s="457">
        <f t="shared" ref="Y97" si="76">DEGREES(ATAN2(Q98-Q99,R98-R99))</f>
        <v>13.156464876924074</v>
      </c>
      <c r="Z97" s="25">
        <f ca="1">SIN(RADIANS(P102))*ABS(Y102)/100+$M$3</f>
        <v>7.1435813725920738</v>
      </c>
      <c r="AA97" s="25">
        <f ca="1">COS(RADIANS(P102))*ABS(Y102)/100+$N$3</f>
        <v>1.259606134874393</v>
      </c>
    </row>
    <row r="98" spans="12:27" s="422" customFormat="1" ht="16.2" customHeight="1">
      <c r="L98" s="423"/>
      <c r="M98" s="423"/>
      <c r="O98" s="431" t="s">
        <v>480</v>
      </c>
      <c r="P98" s="459"/>
      <c r="Q98" s="423">
        <f>+COS(RADIANS(T97+DEGREES(ATAN2(Q97-Q99,R97-R99))))*$L$3*$L$4+Q99</f>
        <v>16.978207662745184</v>
      </c>
      <c r="R98" s="423">
        <f>+SIN(RADIANS(T97+DEGREES(ATAN2(Q97-Q99,R97-R99))))*$L$3*$L$4+R99</f>
        <v>30.008931683050463</v>
      </c>
      <c r="S98" s="428"/>
      <c r="T98" s="420"/>
      <c r="V98" s="420"/>
      <c r="W98" s="424">
        <f>+Q98</f>
        <v>16.978207662745184</v>
      </c>
      <c r="X98" s="424">
        <f>+R98</f>
        <v>30.008931683050463</v>
      </c>
      <c r="Y98" s="457"/>
    </row>
    <row r="99" spans="12:27" s="422" customFormat="1" ht="16.2" customHeight="1">
      <c r="L99" s="423"/>
      <c r="M99" s="423"/>
      <c r="O99" s="431" t="s">
        <v>150</v>
      </c>
      <c r="P99" s="459"/>
      <c r="Q99" s="423">
        <f>$M$4</f>
        <v>-8.7288485675670007</v>
      </c>
      <c r="R99" s="423">
        <f>$N$4</f>
        <v>24</v>
      </c>
      <c r="S99" s="428"/>
      <c r="T99" s="420"/>
      <c r="U99" s="420"/>
      <c r="V99" s="420"/>
      <c r="W99" s="424">
        <f>+Q99</f>
        <v>-8.7288485675670007</v>
      </c>
      <c r="X99" s="424">
        <f>+R99</f>
        <v>24</v>
      </c>
      <c r="Y99" s="457"/>
      <c r="Z99" s="25">
        <f>SIN(RADIANS(P96))*$Z$4+$M$3</f>
        <v>19.318516525781366</v>
      </c>
      <c r="AA99" s="25">
        <f>COS(RADIANS(P96))*$AA$4+$N$3</f>
        <v>5.1763809020504148</v>
      </c>
    </row>
    <row r="100" spans="12:27" s="422" customFormat="1" ht="16.2" customHeight="1">
      <c r="L100" s="423"/>
      <c r="M100" s="423"/>
      <c r="O100" s="431"/>
      <c r="P100" s="459"/>
      <c r="Q100" s="423"/>
      <c r="R100" s="423"/>
      <c r="S100" s="420"/>
      <c r="T100" s="420"/>
      <c r="U100" s="420"/>
      <c r="V100" s="420"/>
      <c r="W100" s="424"/>
      <c r="X100" s="424"/>
      <c r="Y100" s="457"/>
      <c r="Z100" s="25">
        <f>SIN(RADIANS(P102))*$Z$4+$M$3</f>
        <v>19.696155060244159</v>
      </c>
      <c r="AA100" s="25">
        <f>COS(RADIANS(P102))*$AA$4+$N$3</f>
        <v>3.4729635533386083</v>
      </c>
    </row>
    <row r="101" spans="12:27" s="422" customFormat="1" ht="16.2" customHeight="1">
      <c r="L101" s="423"/>
      <c r="M101" s="423"/>
    </row>
    <row r="102" spans="12:27" s="422" customFormat="1" ht="16.2" customHeight="1">
      <c r="L102" s="423"/>
      <c r="M102" s="423"/>
      <c r="O102" s="431" t="s">
        <v>486</v>
      </c>
      <c r="P102" s="459">
        <f>P96+$M$9</f>
        <v>80</v>
      </c>
      <c r="Q102" s="423">
        <f>+$M$3</f>
        <v>0</v>
      </c>
      <c r="R102" s="423">
        <f>+$N$3</f>
        <v>0</v>
      </c>
      <c r="S102" s="420"/>
      <c r="T102" s="420"/>
      <c r="U102" s="420"/>
      <c r="V102" s="420"/>
      <c r="W102" s="424">
        <f>+Q102</f>
        <v>0</v>
      </c>
      <c r="X102" s="424">
        <f>+R102</f>
        <v>0</v>
      </c>
      <c r="Y102" s="457">
        <f ca="1">SIN(ATAN2(Q104-Q105,R104-R105))*WindTorque/((SQRT(POWER(Q109-Q103,2)+POWER(R109-R103,2))*$L$3)/(SQRT(POWER(Q110-Q104,2)+POWER(R110-R104,2))*$L$3*$L$4))</f>
        <v>725.37826299012897</v>
      </c>
      <c r="Z102" s="25">
        <f t="shared" ref="Z102" ca="1" si="77">SIN(RADIANS(P102))*ABS(Y102)/100+$M$3</f>
        <v>7.1435813725920738</v>
      </c>
      <c r="AA102" s="25">
        <f t="shared" ref="AA102" ca="1" si="78">COS(RADIANS(P102))*ABS(Y102)/100+$N$3</f>
        <v>1.259606134874393</v>
      </c>
    </row>
    <row r="103" spans="12:27" s="422" customFormat="1" ht="16.2" customHeight="1">
      <c r="L103" s="423"/>
      <c r="M103" s="423"/>
      <c r="O103" s="431" t="s">
        <v>479</v>
      </c>
      <c r="P103" s="459"/>
      <c r="Q103" s="423">
        <f>+SIN(RADIANS($P102))*$L$3+$M$3</f>
        <v>23.635386072292992</v>
      </c>
      <c r="R103" s="423">
        <f>+COS(RADIANS($P102))*$L$3+$N$3</f>
        <v>4.1675562640063299</v>
      </c>
      <c r="S103" s="420">
        <f>$L$6</f>
        <v>24.592682761320781</v>
      </c>
      <c r="T103" s="428">
        <f>DEGREES(ACOS((U103^2+V103^2-S103^2)/(2*U103*V103)))</f>
        <v>40.104044492059494</v>
      </c>
      <c r="U103" s="420">
        <f>SQRT((Q105-Q103)^2+(R105-R103)^2)</f>
        <v>37.957469730808825</v>
      </c>
      <c r="V103" s="420">
        <f>$L$3*$L$4</f>
        <v>26.400000000000002</v>
      </c>
      <c r="W103" s="424">
        <f t="shared" ref="W103" si="79">+Q103</f>
        <v>23.635386072292992</v>
      </c>
      <c r="X103" s="424">
        <f t="shared" ref="X103" si="80">+R103</f>
        <v>4.1675562640063299</v>
      </c>
      <c r="Y103" s="457">
        <f t="shared" ref="Y103" si="81">DEGREES(ATAN2(Q104-Q105,R104-R105))</f>
        <v>8.6045396910970489</v>
      </c>
      <c r="Z103" s="25">
        <f ca="1">SIN(RADIANS(P108))*ABS(Y108)/100+$M$3</f>
        <v>3.408364236960169</v>
      </c>
      <c r="AA103" s="25">
        <f ca="1">COS(RADIANS(P108))*ABS(Y108)/100+$N$3</f>
        <v>0.29819323190120078</v>
      </c>
    </row>
    <row r="104" spans="12:27" s="422" customFormat="1" ht="16.2" customHeight="1">
      <c r="L104" s="423"/>
      <c r="M104" s="423"/>
      <c r="O104" s="431" t="s">
        <v>480</v>
      </c>
      <c r="P104" s="459"/>
      <c r="Q104" s="423">
        <f>+COS(RADIANS(T103+DEGREES(ATAN2(Q103-Q105,R103-R105))))*$L$3*$L$4+Q105</f>
        <v>17.374007021155144</v>
      </c>
      <c r="R104" s="423">
        <f>+SIN(RADIANS(T103+DEGREES(ATAN2(Q103-Q105,R103-R105))))*$L$3*$L$4+R105</f>
        <v>27.949801275294398</v>
      </c>
      <c r="S104" s="428"/>
      <c r="T104" s="420"/>
      <c r="V104" s="420"/>
      <c r="W104" s="424">
        <f>+Q104</f>
        <v>17.374007021155144</v>
      </c>
      <c r="X104" s="424">
        <f>+R104</f>
        <v>27.949801275294398</v>
      </c>
      <c r="Y104" s="457"/>
    </row>
    <row r="105" spans="12:27" s="422" customFormat="1" ht="16.2" customHeight="1">
      <c r="L105" s="423"/>
      <c r="M105" s="423"/>
      <c r="O105" s="431" t="s">
        <v>150</v>
      </c>
      <c r="P105" s="459"/>
      <c r="Q105" s="423">
        <f>$M$4</f>
        <v>-8.7288485675670007</v>
      </c>
      <c r="R105" s="423">
        <f>$N$4</f>
        <v>24</v>
      </c>
      <c r="S105" s="428"/>
      <c r="T105" s="420"/>
      <c r="U105" s="420"/>
      <c r="V105" s="420"/>
      <c r="W105" s="424">
        <f>+Q105</f>
        <v>-8.7288485675670007</v>
      </c>
      <c r="X105" s="424">
        <f>+R105</f>
        <v>24</v>
      </c>
      <c r="Y105" s="457"/>
      <c r="Z105" s="25">
        <f>SIN(RADIANS(P102))*$Z$4+$M$3</f>
        <v>19.696155060244159</v>
      </c>
      <c r="AA105" s="25">
        <f>COS(RADIANS(P102))*$AA$4+$N$3</f>
        <v>3.4729635533386083</v>
      </c>
    </row>
    <row r="106" spans="12:27" s="422" customFormat="1" ht="16.2" customHeight="1">
      <c r="L106" s="423"/>
      <c r="M106" s="423"/>
      <c r="O106" s="431"/>
      <c r="P106" s="459"/>
      <c r="Q106" s="423"/>
      <c r="R106" s="423"/>
      <c r="S106" s="420"/>
      <c r="T106" s="420"/>
      <c r="U106" s="420"/>
      <c r="V106" s="420"/>
      <c r="W106" s="424"/>
      <c r="X106" s="424"/>
      <c r="Y106" s="457"/>
      <c r="Z106" s="25">
        <f>SIN(RADIANS(P108))*$Z$4+$M$3</f>
        <v>19.92389396183491</v>
      </c>
      <c r="AA106" s="25">
        <f>COS(RADIANS(P108))*$AA$4+$N$3</f>
        <v>1.7431148549531628</v>
      </c>
    </row>
    <row r="107" spans="12:27" s="422" customFormat="1" ht="16.2" customHeight="1">
      <c r="L107" s="423"/>
      <c r="M107" s="423"/>
    </row>
    <row r="108" spans="12:27" s="422" customFormat="1" ht="16.2" customHeight="1">
      <c r="L108" s="423"/>
      <c r="M108" s="423"/>
      <c r="O108" s="431" t="s">
        <v>486</v>
      </c>
      <c r="P108" s="459">
        <f>P102+$M$9</f>
        <v>85</v>
      </c>
      <c r="Q108" s="423">
        <f>+$M$3</f>
        <v>0</v>
      </c>
      <c r="R108" s="423">
        <f>+$N$3</f>
        <v>0</v>
      </c>
      <c r="S108" s="420"/>
      <c r="T108" s="420"/>
      <c r="U108" s="420"/>
      <c r="V108" s="420"/>
      <c r="W108" s="424">
        <f>+Q108</f>
        <v>0</v>
      </c>
      <c r="X108" s="424">
        <f>+R108</f>
        <v>0</v>
      </c>
      <c r="Y108" s="457">
        <f ca="1">SIN(ATAN2(Q110-Q111,R110-R111))*WindTorque/((SQRT(POWER(Q115-Q109,2)+POWER(R115-R109,2))*$L$3)/(SQRT(POWER(Q116-Q110,2)+POWER(R116-R110,2))*$L$3*$L$4))</f>
        <v>342.13836346339116</v>
      </c>
      <c r="Z108" s="25">
        <f t="shared" ref="Z108" ca="1" si="82">SIN(RADIANS(P108))*ABS(Y108)/100+$M$3</f>
        <v>3.408364236960169</v>
      </c>
      <c r="AA108" s="25">
        <f t="shared" ref="AA108" ca="1" si="83">COS(RADIANS(P108))*ABS(Y108)/100+$N$3</f>
        <v>0.29819323190120078</v>
      </c>
    </row>
    <row r="109" spans="12:27" s="422" customFormat="1" ht="16.2" customHeight="1">
      <c r="L109" s="423"/>
      <c r="M109" s="423"/>
      <c r="O109" s="431" t="s">
        <v>479</v>
      </c>
      <c r="P109" s="459"/>
      <c r="Q109" s="423">
        <f>+SIN(RADIANS($P108))*$L$3+$M$3</f>
        <v>23.908672754201895</v>
      </c>
      <c r="R109" s="423">
        <f>+COS(RADIANS($P108))*$L$3+$N$3</f>
        <v>2.0917378259437953</v>
      </c>
      <c r="S109" s="420">
        <f>$L$6</f>
        <v>24.592682761320781</v>
      </c>
      <c r="T109" s="428">
        <f>DEGREES(ACOS((U109^2+V109^2-S109^2)/(2*U109*V109)))</f>
        <v>37.918282677929831</v>
      </c>
      <c r="U109" s="420">
        <f>SQRT((Q111-Q109)^2+(R111-R109)^2)</f>
        <v>39.308774459605083</v>
      </c>
      <c r="V109" s="420">
        <f>$L$3*$L$4</f>
        <v>26.400000000000002</v>
      </c>
      <c r="W109" s="424">
        <f t="shared" ref="W109" si="84">+Q109</f>
        <v>23.908672754201895</v>
      </c>
      <c r="X109" s="424">
        <f t="shared" ref="X109" si="85">+R109</f>
        <v>2.0917378259437953</v>
      </c>
      <c r="Y109" s="457">
        <f t="shared" ref="Y109" si="86">DEGREES(ATAN2(Q110-Q111,R110-R111))</f>
        <v>4.0464011014829619</v>
      </c>
      <c r="Z109" s="25">
        <f ca="1">SIN(RADIANS(P114))*ABS(Y114)/100+$M$3</f>
        <v>0.43269141136416239</v>
      </c>
      <c r="AA109" s="25">
        <f ca="1">COS(RADIANS(P114))*ABS(Y114)/100+$N$3</f>
        <v>2.6505560704251681E-17</v>
      </c>
    </row>
    <row r="110" spans="12:27" s="422" customFormat="1" ht="16.2" customHeight="1">
      <c r="L110" s="423"/>
      <c r="M110" s="423"/>
      <c r="O110" s="431" t="s">
        <v>480</v>
      </c>
      <c r="P110" s="459"/>
      <c r="Q110" s="423">
        <f>+COS(RADIANS(T109+DEGREES(ATAN2(Q109-Q111,R109-R111))))*$L$3*$L$4+Q111</f>
        <v>17.605342323312023</v>
      </c>
      <c r="R110" s="423">
        <f>+SIN(RADIANS(T109+DEGREES(ATAN2(Q109-Q111,R109-R111))))*$L$3*$L$4+R111</f>
        <v>25.862898312507799</v>
      </c>
      <c r="S110" s="428"/>
      <c r="T110" s="420"/>
      <c r="V110" s="420"/>
      <c r="W110" s="424">
        <f>+Q110</f>
        <v>17.605342323312023</v>
      </c>
      <c r="X110" s="424">
        <f>+R110</f>
        <v>25.862898312507799</v>
      </c>
      <c r="Y110" s="457"/>
    </row>
    <row r="111" spans="12:27" s="422" customFormat="1" ht="16.2" customHeight="1">
      <c r="L111" s="423"/>
      <c r="M111" s="423"/>
      <c r="O111" s="431" t="s">
        <v>150</v>
      </c>
      <c r="P111" s="459"/>
      <c r="Q111" s="423">
        <f>$M$4</f>
        <v>-8.7288485675670007</v>
      </c>
      <c r="R111" s="423">
        <f>$N$4</f>
        <v>24</v>
      </c>
      <c r="S111" s="428"/>
      <c r="T111" s="420"/>
      <c r="U111" s="420"/>
      <c r="V111" s="420"/>
      <c r="W111" s="424">
        <f>+Q111</f>
        <v>-8.7288485675670007</v>
      </c>
      <c r="X111" s="424">
        <f>+R111</f>
        <v>24</v>
      </c>
      <c r="Y111" s="457"/>
      <c r="Z111" s="25">
        <f>SIN(RADIANS(P108))*$Z$4+$M$3</f>
        <v>19.92389396183491</v>
      </c>
      <c r="AA111" s="25">
        <f>COS(RADIANS(P108))*$AA$4+$N$3</f>
        <v>1.7431148549531628</v>
      </c>
    </row>
    <row r="112" spans="12:27" s="422" customFormat="1" ht="16.2" customHeight="1">
      <c r="L112" s="423"/>
      <c r="M112" s="423"/>
      <c r="O112" s="431"/>
      <c r="P112" s="459"/>
      <c r="Q112" s="423"/>
      <c r="R112" s="423"/>
      <c r="S112" s="420"/>
      <c r="T112" s="420"/>
      <c r="U112" s="420"/>
      <c r="V112" s="420"/>
      <c r="W112" s="424"/>
      <c r="X112" s="424"/>
      <c r="Y112" s="457"/>
      <c r="Z112" s="25">
        <f>SIN(RADIANS(P114))*$Z$4+$M$3</f>
        <v>20</v>
      </c>
      <c r="AA112" s="25">
        <f>COS(RADIANS(P114))*$AA$4+$N$3</f>
        <v>1.22514845490862E-15</v>
      </c>
    </row>
    <row r="113" spans="12:27" s="422" customFormat="1" ht="16.2" customHeight="1">
      <c r="L113" s="423"/>
      <c r="M113" s="423"/>
    </row>
    <row r="114" spans="12:27" s="422" customFormat="1" ht="16.2" customHeight="1">
      <c r="L114" s="423"/>
      <c r="M114" s="423"/>
      <c r="O114" s="431" t="s">
        <v>486</v>
      </c>
      <c r="P114" s="459">
        <f>P108+$M$9</f>
        <v>90</v>
      </c>
      <c r="Q114" s="423">
        <f>+$M$3</f>
        <v>0</v>
      </c>
      <c r="R114" s="423">
        <f>+$N$3</f>
        <v>0</v>
      </c>
      <c r="S114" s="420"/>
      <c r="T114" s="420"/>
      <c r="U114" s="420"/>
      <c r="V114" s="420"/>
      <c r="W114" s="424">
        <f>+Q114</f>
        <v>0</v>
      </c>
      <c r="X114" s="424">
        <f>+R114</f>
        <v>0</v>
      </c>
      <c r="Y114" s="457">
        <f ca="1">SIN(ATAN2(Q116-Q117,R116-R117))*WindTorque/((SQRT(POWER(Q121-Q115,2)+POWER(R121-R115,2))*$L$3)/(SQRT(POWER(Q122-Q116,2)+POWER(R122-R116,2))*$L$3*$L$4))</f>
        <v>-43.269141136416238</v>
      </c>
      <c r="Z114" s="25">
        <f t="shared" ref="Z114" ca="1" si="87">SIN(RADIANS(P114))*ABS(Y114)/100+$M$3</f>
        <v>0.43269141136416239</v>
      </c>
      <c r="AA114" s="25">
        <f t="shared" ref="AA114" ca="1" si="88">COS(RADIANS(P114))*ABS(Y114)/100+$N$3</f>
        <v>2.6505560704251681E-17</v>
      </c>
    </row>
    <row r="115" spans="12:27" s="422" customFormat="1" ht="16.2" customHeight="1">
      <c r="L115" s="423"/>
      <c r="M115" s="423"/>
      <c r="O115" s="431" t="s">
        <v>479</v>
      </c>
      <c r="P115" s="459"/>
      <c r="Q115" s="423">
        <f>+SIN(RADIANS($P114))*$L$3+$M$3</f>
        <v>24</v>
      </c>
      <c r="R115" s="423">
        <f>+COS(RADIANS($P114))*$L$3+$N$3</f>
        <v>1.470178145890344E-15</v>
      </c>
      <c r="S115" s="420">
        <f>$L$6</f>
        <v>24.592682761320781</v>
      </c>
      <c r="T115" s="428">
        <f>DEGREES(ACOS((U115^2+V115^2-S115^2)/(2*U115*V115)))</f>
        <v>35.740539636634473</v>
      </c>
      <c r="U115" s="420">
        <f>SQRT((Q117-Q115)^2+(R117-R115)^2)</f>
        <v>40.585434931250056</v>
      </c>
      <c r="V115" s="420">
        <f>$L$3*$L$4</f>
        <v>26.400000000000002</v>
      </c>
      <c r="W115" s="424">
        <f t="shared" ref="W115" si="89">+Q115</f>
        <v>24</v>
      </c>
      <c r="X115" s="424">
        <f t="shared" ref="X115" si="90">+R115</f>
        <v>1.470178145890344E-15</v>
      </c>
      <c r="Y115" s="457">
        <f t="shared" ref="Y115" si="91">DEGREES(ATAN2(Q116-Q117,R116-R117))</f>
        <v>-0.51198251474437362</v>
      </c>
      <c r="Z115" s="25">
        <f ca="1">SIN(RADIANS(P120))*ABS(Y120)/100+$M$3</f>
        <v>4.2464938544518303</v>
      </c>
      <c r="AA115" s="25">
        <f ca="1">COS(RADIANS(P120))*ABS(Y120)/100+$N$3</f>
        <v>-0.37152007199704051</v>
      </c>
    </row>
    <row r="116" spans="12:27" s="422" customFormat="1" ht="16.2" customHeight="1">
      <c r="L116" s="423"/>
      <c r="M116" s="423"/>
      <c r="O116" s="431" t="s">
        <v>480</v>
      </c>
      <c r="P116" s="459"/>
      <c r="Q116" s="423">
        <f>+COS(RADIANS(T115+DEGREES(ATAN2(Q115-Q117,R115-R117))))*$L$3*$L$4+Q117</f>
        <v>17.670097443538388</v>
      </c>
      <c r="R116" s="423">
        <f>+SIN(RADIANS(T115+DEGREES(ATAN2(Q115-Q117,R115-R117))))*$L$3*$L$4+R117</f>
        <v>23.764098531706715</v>
      </c>
      <c r="S116" s="428"/>
      <c r="T116" s="420"/>
      <c r="V116" s="420"/>
      <c r="W116" s="424">
        <f>+Q116</f>
        <v>17.670097443538388</v>
      </c>
      <c r="X116" s="424">
        <f>+R116</f>
        <v>23.764098531706715</v>
      </c>
      <c r="Y116" s="457"/>
    </row>
    <row r="117" spans="12:27" s="422" customFormat="1" ht="16.2" customHeight="1">
      <c r="L117" s="423"/>
      <c r="M117" s="423"/>
      <c r="O117" s="431" t="s">
        <v>150</v>
      </c>
      <c r="P117" s="459"/>
      <c r="Q117" s="423">
        <f>$M$4</f>
        <v>-8.7288485675670007</v>
      </c>
      <c r="R117" s="423">
        <f>$N$4</f>
        <v>24</v>
      </c>
      <c r="S117" s="428"/>
      <c r="T117" s="420"/>
      <c r="U117" s="420"/>
      <c r="V117" s="420"/>
      <c r="W117" s="424">
        <f>+Q117</f>
        <v>-8.7288485675670007</v>
      </c>
      <c r="X117" s="424">
        <f>+R117</f>
        <v>24</v>
      </c>
      <c r="Y117" s="457"/>
      <c r="Z117" s="25">
        <f>SIN(RADIANS(P114))*$Z$4+$M$3</f>
        <v>20</v>
      </c>
      <c r="AA117" s="25">
        <f>COS(RADIANS(P114))*$AA$4+$N$3</f>
        <v>1.22514845490862E-15</v>
      </c>
    </row>
    <row r="118" spans="12:27" s="422" customFormat="1" ht="16.2" customHeight="1">
      <c r="L118" s="423"/>
      <c r="M118" s="423"/>
      <c r="O118" s="431"/>
      <c r="P118" s="459"/>
      <c r="Q118" s="423"/>
      <c r="R118" s="423"/>
      <c r="S118" s="420"/>
      <c r="T118" s="420"/>
      <c r="U118" s="420"/>
      <c r="V118" s="420"/>
      <c r="W118" s="424"/>
      <c r="X118" s="424"/>
      <c r="Y118" s="457"/>
      <c r="Z118" s="25">
        <f>SIN(RADIANS(P120))*$Z$4+$M$3</f>
        <v>19.92389396183491</v>
      </c>
      <c r="AA118" s="25">
        <f>COS(RADIANS(P120))*$AA$4+$N$3</f>
        <v>-1.7431148549531648</v>
      </c>
    </row>
    <row r="119" spans="12:27" s="422" customFormat="1" ht="16.2" customHeight="1">
      <c r="L119" s="423"/>
      <c r="M119" s="423"/>
    </row>
    <row r="120" spans="12:27" s="422" customFormat="1" ht="16.2" customHeight="1">
      <c r="L120" s="423"/>
      <c r="M120" s="423"/>
      <c r="O120" s="431" t="s">
        <v>486</v>
      </c>
      <c r="P120" s="459">
        <f>P114+$M$9</f>
        <v>95</v>
      </c>
      <c r="Q120" s="423">
        <f>+$M$3</f>
        <v>0</v>
      </c>
      <c r="R120" s="423">
        <f>+$N$3</f>
        <v>0</v>
      </c>
      <c r="S120" s="420"/>
      <c r="T120" s="420"/>
      <c r="U120" s="420"/>
      <c r="V120" s="420"/>
      <c r="W120" s="424">
        <f>+Q120</f>
        <v>0</v>
      </c>
      <c r="X120" s="424">
        <f>+R120</f>
        <v>0</v>
      </c>
      <c r="Y120" s="457">
        <f ca="1">SIN(ATAN2(Q122-Q123,R122-R123))*WindTorque/((SQRT(POWER(Q127-Q121,2)+POWER(R127-R121,2))*$L$3)/(SQRT(POWER(Q128-Q122,2)+POWER(R128-R122,2))*$L$3*$L$4))</f>
        <v>-426.27147711046592</v>
      </c>
      <c r="Z120" s="25">
        <f t="shared" ref="Z120" ca="1" si="92">SIN(RADIANS(P120))*ABS(Y120)/100+$M$3</f>
        <v>4.2464938544518303</v>
      </c>
      <c r="AA120" s="25">
        <f t="shared" ref="AA120" ca="1" si="93">COS(RADIANS(P120))*ABS(Y120)/100+$N$3</f>
        <v>-0.37152007199704051</v>
      </c>
    </row>
    <row r="121" spans="12:27" s="422" customFormat="1" ht="16.2" customHeight="1">
      <c r="L121" s="423"/>
      <c r="M121" s="423"/>
      <c r="O121" s="431" t="s">
        <v>479</v>
      </c>
      <c r="P121" s="459"/>
      <c r="Q121" s="423">
        <f>+SIN(RADIANS($P120))*$L$3+$M$3</f>
        <v>23.908672754201895</v>
      </c>
      <c r="R121" s="423">
        <f>+COS(RADIANS($P120))*$L$3+$N$3</f>
        <v>-2.0917378259437975</v>
      </c>
      <c r="S121" s="420">
        <f>$L$6</f>
        <v>24.592682761320781</v>
      </c>
      <c r="T121" s="428">
        <f>DEGREES(ACOS((U121^2+V121^2-S121^2)/(2*U121*V121)))</f>
        <v>33.575799464550364</v>
      </c>
      <c r="U121" s="420">
        <f>SQRT((Q123-Q121)^2+(R123-R121)^2)</f>
        <v>41.785004257588696</v>
      </c>
      <c r="V121" s="420">
        <f>$L$3*$L$4</f>
        <v>26.400000000000002</v>
      </c>
      <c r="W121" s="424">
        <f t="shared" ref="W121" si="94">+Q121</f>
        <v>23.908672754201895</v>
      </c>
      <c r="X121" s="424">
        <f t="shared" ref="X121" si="95">+R121</f>
        <v>-2.0917378259437975</v>
      </c>
      <c r="Y121" s="457">
        <f t="shared" ref="Y121" si="96">DEGREES(ATAN2(Q122-Q123,R122-R123))</f>
        <v>-5.0644366547294855</v>
      </c>
      <c r="Z121" s="25">
        <f ca="1">SIN(RADIANS(P126))*ABS(Y126)/100+$M$3</f>
        <v>7.8986169769793131</v>
      </c>
      <c r="AA121" s="25">
        <f ca="1">COS(RADIANS(P126))*ABS(Y126)/100+$N$3</f>
        <v>-1.3927392833233849</v>
      </c>
    </row>
    <row r="122" spans="12:27" s="422" customFormat="1" ht="16.2" customHeight="1">
      <c r="L122" s="423"/>
      <c r="M122" s="423"/>
      <c r="O122" s="431" t="s">
        <v>480</v>
      </c>
      <c r="P122" s="459"/>
      <c r="Q122" s="423">
        <f>+COS(RADIANS(T121+DEGREES(ATAN2(Q121-Q123,R121-R123))))*$L$3*$L$4+Q123</f>
        <v>17.568087152490122</v>
      </c>
      <c r="R122" s="423">
        <f>+SIN(RADIANS(T121+DEGREES(ATAN2(Q121-Q123,R121-R123))))*$L$3*$L$4+R123</f>
        <v>21.669512554167294</v>
      </c>
      <c r="S122" s="428"/>
      <c r="T122" s="420"/>
      <c r="V122" s="420"/>
      <c r="W122" s="424">
        <f>+Q122</f>
        <v>17.568087152490122</v>
      </c>
      <c r="X122" s="424">
        <f>+R122</f>
        <v>21.669512554167294</v>
      </c>
      <c r="Y122" s="457"/>
    </row>
    <row r="123" spans="12:27" s="422" customFormat="1" ht="16.2" customHeight="1">
      <c r="L123" s="423"/>
      <c r="M123" s="423"/>
      <c r="O123" s="431" t="s">
        <v>150</v>
      </c>
      <c r="P123" s="459"/>
      <c r="Q123" s="423">
        <f>$M$4</f>
        <v>-8.7288485675670007</v>
      </c>
      <c r="R123" s="423">
        <f>$N$4</f>
        <v>24</v>
      </c>
      <c r="S123" s="428"/>
      <c r="T123" s="420"/>
      <c r="U123" s="420"/>
      <c r="V123" s="420"/>
      <c r="W123" s="424">
        <f>+Q123</f>
        <v>-8.7288485675670007</v>
      </c>
      <c r="X123" s="424">
        <f>+R123</f>
        <v>24</v>
      </c>
      <c r="Y123" s="457"/>
      <c r="Z123" s="25">
        <f>SIN(RADIANS(P120))*$Z$4+$M$3</f>
        <v>19.92389396183491</v>
      </c>
      <c r="AA123" s="25">
        <f>COS(RADIANS(P120))*$AA$4+$N$3</f>
        <v>-1.7431148549531648</v>
      </c>
    </row>
    <row r="124" spans="12:27" s="422" customFormat="1" ht="16.2" customHeight="1">
      <c r="L124" s="423"/>
      <c r="M124" s="423"/>
      <c r="O124" s="431"/>
      <c r="P124" s="459"/>
      <c r="Q124" s="423"/>
      <c r="R124" s="423"/>
      <c r="S124" s="420"/>
      <c r="T124" s="420"/>
      <c r="U124" s="420"/>
      <c r="V124" s="420"/>
      <c r="W124" s="424"/>
      <c r="X124" s="424"/>
      <c r="Y124" s="457"/>
      <c r="Z124" s="25">
        <f>SIN(RADIANS(P126))*$Z$4+$M$3</f>
        <v>19.696155060244159</v>
      </c>
      <c r="AA124" s="25">
        <f>COS(RADIANS(P126))*$AA$4+$N$3</f>
        <v>-3.4729635533386061</v>
      </c>
    </row>
    <row r="125" spans="12:27" s="422" customFormat="1" ht="16.2" customHeight="1">
      <c r="L125" s="423"/>
      <c r="M125" s="423"/>
    </row>
    <row r="126" spans="12:27" s="422" customFormat="1" ht="16.2" customHeight="1">
      <c r="L126" s="423"/>
      <c r="M126" s="423"/>
      <c r="O126" s="431" t="s">
        <v>486</v>
      </c>
      <c r="P126" s="459">
        <f>P120+$M$9</f>
        <v>100</v>
      </c>
      <c r="Q126" s="423">
        <f>+$M$3</f>
        <v>0</v>
      </c>
      <c r="R126" s="423">
        <f>+$N$3</f>
        <v>0</v>
      </c>
      <c r="S126" s="420"/>
      <c r="T126" s="420"/>
      <c r="U126" s="420"/>
      <c r="V126" s="420"/>
      <c r="W126" s="424">
        <f>+Q126</f>
        <v>0</v>
      </c>
      <c r="X126" s="424">
        <f>+R126</f>
        <v>0</v>
      </c>
      <c r="Y126" s="457">
        <f ca="1">SIN(ATAN2(Q128-Q129,R128-R129))*WindTorque/((SQRT(POWER(Q133-Q127,2)+POWER(R133-R127,2))*$L$3)/(SQRT(POWER(Q134-Q128,2)+POWER(R134-R128,2))*$L$3*$L$4))</f>
        <v>-802.04658755173296</v>
      </c>
      <c r="Z126" s="25">
        <f t="shared" ref="Z126" ca="1" si="97">SIN(RADIANS(P126))*ABS(Y126)/100+$M$3</f>
        <v>7.8986169769793131</v>
      </c>
      <c r="AA126" s="25">
        <f t="shared" ref="AA126" ca="1" si="98">COS(RADIANS(P126))*ABS(Y126)/100+$N$3</f>
        <v>-1.3927392833233849</v>
      </c>
    </row>
    <row r="127" spans="12:27" s="422" customFormat="1" ht="16.2" customHeight="1">
      <c r="L127" s="423"/>
      <c r="M127" s="423"/>
      <c r="O127" s="431" t="s">
        <v>479</v>
      </c>
      <c r="P127" s="459"/>
      <c r="Q127" s="423">
        <f>+SIN(RADIANS($P126))*$L$3+$M$3</f>
        <v>23.635386072292992</v>
      </c>
      <c r="R127" s="423">
        <f>+COS(RADIANS($P126))*$L$3+$N$3</f>
        <v>-4.1675562640063273</v>
      </c>
      <c r="S127" s="420">
        <f>$L$6</f>
        <v>24.592682761320781</v>
      </c>
      <c r="T127" s="428">
        <f>DEGREES(ACOS((U127^2+V127^2-S127^2)/(2*U127*V127)))</f>
        <v>31.42978335025624</v>
      </c>
      <c r="U127" s="420">
        <f>SQRT((Q129-Q127)^2+(R129-R127)^2)</f>
        <v>42.905185114504235</v>
      </c>
      <c r="V127" s="420">
        <f>$L$3*$L$4</f>
        <v>26.400000000000002</v>
      </c>
      <c r="W127" s="424">
        <f t="shared" ref="W127" si="99">+Q127</f>
        <v>23.635386072292992</v>
      </c>
      <c r="X127" s="424">
        <f t="shared" ref="X127" si="100">+R127</f>
        <v>-4.1675562640063273</v>
      </c>
      <c r="Y127" s="457">
        <f t="shared" ref="Y127" si="101">DEGREES(ATAN2(Q128-Q129,R128-R129))</f>
        <v>-9.6042377013023028</v>
      </c>
      <c r="Z127" s="25">
        <f ca="1">SIN(RADIANS(P132))*ABS(Y132)/100+$M$3</f>
        <v>11.256855010661726</v>
      </c>
      <c r="AA127" s="25">
        <f ca="1">COS(RADIANS(P132))*ABS(Y132)/100+$N$3</f>
        <v>-3.0162652094210474</v>
      </c>
    </row>
    <row r="128" spans="12:27" s="422" customFormat="1" ht="16.2" customHeight="1">
      <c r="L128" s="423"/>
      <c r="M128" s="423"/>
      <c r="O128" s="431" t="s">
        <v>480</v>
      </c>
      <c r="P128" s="459"/>
      <c r="Q128" s="423">
        <f>+COS(RADIANS(T127+DEGREES(ATAN2(Q127-Q129,R127-R129))))*$L$3*$L$4+Q129</f>
        <v>17.301121108478476</v>
      </c>
      <c r="R128" s="423">
        <f>+SIN(RADIANS(T127+DEGREES(ATAN2(Q127-Q129,R127-R129))))*$L$3*$L$4+R129</f>
        <v>19.59537985018537</v>
      </c>
      <c r="S128" s="428"/>
      <c r="T128" s="420"/>
      <c r="V128" s="420"/>
      <c r="W128" s="424">
        <f>+Q128</f>
        <v>17.301121108478476</v>
      </c>
      <c r="X128" s="424">
        <f>+R128</f>
        <v>19.59537985018537</v>
      </c>
      <c r="Y128" s="457"/>
    </row>
    <row r="129" spans="12:27" s="422" customFormat="1" ht="16.2" customHeight="1">
      <c r="L129" s="423"/>
      <c r="M129" s="423"/>
      <c r="O129" s="431" t="s">
        <v>150</v>
      </c>
      <c r="P129" s="459"/>
      <c r="Q129" s="423">
        <f>$M$4</f>
        <v>-8.7288485675670007</v>
      </c>
      <c r="R129" s="423">
        <f>$N$4</f>
        <v>24</v>
      </c>
      <c r="S129" s="428"/>
      <c r="T129" s="420"/>
      <c r="U129" s="420"/>
      <c r="V129" s="420"/>
      <c r="W129" s="424">
        <f>+Q129</f>
        <v>-8.7288485675670007</v>
      </c>
      <c r="X129" s="424">
        <f>+R129</f>
        <v>24</v>
      </c>
      <c r="Y129" s="457"/>
      <c r="Z129" s="25">
        <f>SIN(RADIANS(P126))*$Z$4+$M$3</f>
        <v>19.696155060244159</v>
      </c>
      <c r="AA129" s="25">
        <f>COS(RADIANS(P126))*$AA$4+$N$3</f>
        <v>-3.4729635533386061</v>
      </c>
    </row>
    <row r="130" spans="12:27" s="422" customFormat="1" ht="16.2" customHeight="1">
      <c r="L130" s="423"/>
      <c r="M130" s="423"/>
      <c r="O130" s="431"/>
      <c r="P130" s="459"/>
      <c r="Q130" s="423"/>
      <c r="R130" s="423"/>
      <c r="S130" s="420"/>
      <c r="T130" s="420"/>
      <c r="U130" s="420"/>
      <c r="V130" s="420"/>
      <c r="W130" s="424"/>
      <c r="X130" s="424"/>
      <c r="Y130" s="457"/>
      <c r="Z130" s="25">
        <f>SIN(RADIANS(P132))*$Z$4+$M$3</f>
        <v>19.318516525781366</v>
      </c>
      <c r="AA130" s="25">
        <f>COS(RADIANS(P132))*$AA$4+$N$3</f>
        <v>-5.1763809020504166</v>
      </c>
    </row>
    <row r="131" spans="12:27" s="422" customFormat="1" ht="16.2" customHeight="1">
      <c r="L131" s="423"/>
      <c r="M131" s="423"/>
    </row>
    <row r="132" spans="12:27" s="422" customFormat="1" ht="16.2" customHeight="1">
      <c r="L132" s="423"/>
      <c r="M132" s="423"/>
      <c r="O132" s="431" t="s">
        <v>486</v>
      </c>
      <c r="P132" s="459">
        <f>P126+$M$9</f>
        <v>105</v>
      </c>
      <c r="Q132" s="423">
        <f>+$M$3</f>
        <v>0</v>
      </c>
      <c r="R132" s="423">
        <f>+$N$3</f>
        <v>0</v>
      </c>
      <c r="S132" s="420"/>
      <c r="T132" s="420"/>
      <c r="U132" s="420"/>
      <c r="V132" s="420"/>
      <c r="W132" s="424">
        <f>+Q132</f>
        <v>0</v>
      </c>
      <c r="X132" s="424">
        <f>+R132</f>
        <v>0</v>
      </c>
      <c r="Y132" s="457">
        <f ca="1">SIN(ATAN2(Q134-Q135,R134-R135))*WindTorque/((SQRT(POWER(Q139-Q133,2)+POWER(R139-R133,2))*$L$3)/(SQRT(POWER(Q140-Q134,2)+POWER(R140-R134,2))*$L$3*$L$4))</f>
        <v>-1165.3953858867974</v>
      </c>
      <c r="Z132" s="25">
        <f t="shared" ref="Z132" ca="1" si="102">SIN(RADIANS(P132))*ABS(Y132)/100+$M$3</f>
        <v>11.256855010661726</v>
      </c>
      <c r="AA132" s="25">
        <f t="shared" ref="AA132" ca="1" si="103">COS(RADIANS(P132))*ABS(Y132)/100+$N$3</f>
        <v>-3.0162652094210474</v>
      </c>
    </row>
    <row r="133" spans="12:27" s="422" customFormat="1" ht="16.2" customHeight="1">
      <c r="L133" s="423"/>
      <c r="M133" s="423"/>
      <c r="O133" s="431" t="s">
        <v>479</v>
      </c>
      <c r="P133" s="459"/>
      <c r="Q133" s="423">
        <f>+SIN(RADIANS($P132))*$L$3+$M$3</f>
        <v>23.18221983093764</v>
      </c>
      <c r="R133" s="423">
        <f>+COS(RADIANS($P132))*$L$3+$N$3</f>
        <v>-6.2116570824605004</v>
      </c>
      <c r="S133" s="420">
        <f>$L$6</f>
        <v>24.592682761320781</v>
      </c>
      <c r="T133" s="428">
        <f>DEGREES(ACOS((U133^2+V133^2-S133^2)/(2*U133*V133)))</f>
        <v>29.309317094200718</v>
      </c>
      <c r="U133" s="420">
        <f>SQRT((Q135-Q133)^2+(R135-R133)^2)</f>
        <v>43.943833583362149</v>
      </c>
      <c r="V133" s="420">
        <f>$L$3*$L$4</f>
        <v>26.400000000000002</v>
      </c>
      <c r="W133" s="424">
        <f t="shared" ref="W133" si="104">+Q133</f>
        <v>23.18221983093764</v>
      </c>
      <c r="X133" s="424">
        <f t="shared" ref="X133" si="105">+R133</f>
        <v>-6.2116570824605004</v>
      </c>
      <c r="Y133" s="457">
        <f t="shared" ref="Y133" si="106">DEGREES(ATAN2(Q134-Q135,R134-R135))</f>
        <v>-14.123706924295046</v>
      </c>
      <c r="Z133" s="25">
        <f ca="1">SIN(RADIANS(P138))*ABS(Y138)/100+$M$3</f>
        <v>14.19463260282062</v>
      </c>
      <c r="AA133" s="25">
        <f ca="1">COS(RADIANS(P138))*ABS(Y138)/100+$N$3</f>
        <v>-5.1664237537712943</v>
      </c>
    </row>
    <row r="134" spans="12:27" s="422" customFormat="1" ht="16.2" customHeight="1">
      <c r="L134" s="423"/>
      <c r="M134" s="423"/>
      <c r="O134" s="431" t="s">
        <v>480</v>
      </c>
      <c r="P134" s="459"/>
      <c r="Q134" s="423">
        <f>+COS(RADIANS(T133+DEGREES(ATAN2(Q133-Q135,R133-R135))))*$L$3*$L$4+Q135</f>
        <v>16.87310934819282</v>
      </c>
      <c r="R134" s="423">
        <f>+SIN(RADIANS(T133+DEGREES(ATAN2(Q133-Q135,R133-R135))))*$L$3*$L$4+R135</f>
        <v>17.557969972154471</v>
      </c>
      <c r="S134" s="428"/>
      <c r="T134" s="420"/>
      <c r="V134" s="420"/>
      <c r="W134" s="424">
        <f>+Q134</f>
        <v>16.87310934819282</v>
      </c>
      <c r="X134" s="424">
        <f>+R134</f>
        <v>17.557969972154471</v>
      </c>
      <c r="Y134" s="457"/>
    </row>
    <row r="135" spans="12:27" s="422" customFormat="1" ht="16.2" customHeight="1">
      <c r="L135" s="423"/>
      <c r="M135" s="423"/>
      <c r="O135" s="431" t="s">
        <v>150</v>
      </c>
      <c r="P135" s="459"/>
      <c r="Q135" s="423">
        <f>$M$4</f>
        <v>-8.7288485675670007</v>
      </c>
      <c r="R135" s="423">
        <f>$N$4</f>
        <v>24</v>
      </c>
      <c r="S135" s="428"/>
      <c r="T135" s="420"/>
      <c r="U135" s="420"/>
      <c r="V135" s="420"/>
      <c r="W135" s="424">
        <f>+Q135</f>
        <v>-8.7288485675670007</v>
      </c>
      <c r="X135" s="424">
        <f>+R135</f>
        <v>24</v>
      </c>
      <c r="Y135" s="457"/>
      <c r="Z135" s="25">
        <f>SIN(RADIANS(P132))*$Z$4+$M$3</f>
        <v>19.318516525781366</v>
      </c>
      <c r="AA135" s="25">
        <f>COS(RADIANS(P132))*$AA$4+$N$3</f>
        <v>-5.1763809020504166</v>
      </c>
    </row>
    <row r="136" spans="12:27" s="422" customFormat="1" ht="16.2" customHeight="1">
      <c r="L136" s="423"/>
      <c r="M136" s="423"/>
      <c r="O136" s="431"/>
      <c r="P136" s="459"/>
      <c r="Q136" s="423"/>
      <c r="R136" s="423"/>
      <c r="S136" s="420"/>
      <c r="T136" s="420"/>
      <c r="U136" s="420"/>
      <c r="V136" s="420"/>
      <c r="W136" s="424"/>
      <c r="X136" s="424"/>
      <c r="Y136" s="457"/>
      <c r="Z136" s="25">
        <f>SIN(RADIANS(P138))*$Z$4+$M$3</f>
        <v>18.79385241571817</v>
      </c>
      <c r="AA136" s="25">
        <f>COS(RADIANS(P138))*$AA$4+$N$3</f>
        <v>-6.840402866513374</v>
      </c>
    </row>
    <row r="137" spans="12:27" s="422" customFormat="1" ht="16.2" customHeight="1">
      <c r="L137" s="423"/>
      <c r="M137" s="423"/>
    </row>
    <row r="138" spans="12:27" s="422" customFormat="1" ht="16.2" customHeight="1">
      <c r="L138" s="423"/>
      <c r="M138" s="423"/>
      <c r="O138" s="431" t="s">
        <v>486</v>
      </c>
      <c r="P138" s="459">
        <f>P132+$M$9</f>
        <v>110</v>
      </c>
      <c r="Q138" s="423">
        <f>+$M$3</f>
        <v>0</v>
      </c>
      <c r="R138" s="423">
        <f>+$N$3</f>
        <v>0</v>
      </c>
      <c r="S138" s="420"/>
      <c r="T138" s="420"/>
      <c r="U138" s="420"/>
      <c r="V138" s="420"/>
      <c r="W138" s="424">
        <f>+Q138</f>
        <v>0</v>
      </c>
      <c r="X138" s="424">
        <f>+R138</f>
        <v>0</v>
      </c>
      <c r="Y138" s="457">
        <f ca="1">SIN(ATAN2(Q140-Q141,R140-R141))*WindTorque/((SQRT(POWER(Q145-Q139,2)+POWER(R145-R139,2))*$L$3)/(SQRT(POWER(Q146-Q140,2)+POWER(R146-R140,2))*$L$3*$L$4))</f>
        <v>-1510.5612504383605</v>
      </c>
      <c r="Z138" s="25">
        <f t="shared" ref="Z138" ca="1" si="107">SIN(RADIANS(P138))*ABS(Y138)/100+$M$3</f>
        <v>14.19463260282062</v>
      </c>
      <c r="AA138" s="25">
        <f t="shared" ref="AA138" ca="1" si="108">COS(RADIANS(P138))*ABS(Y138)/100+$N$3</f>
        <v>-5.1664237537712943</v>
      </c>
    </row>
    <row r="139" spans="12:27" s="422" customFormat="1" ht="16.2" customHeight="1">
      <c r="L139" s="423"/>
      <c r="M139" s="423"/>
      <c r="O139" s="431" t="s">
        <v>479</v>
      </c>
      <c r="P139" s="459"/>
      <c r="Q139" s="423">
        <f>+SIN(RADIANS($P138))*$L$3+$M$3</f>
        <v>22.552622898861802</v>
      </c>
      <c r="R139" s="423">
        <f>+COS(RADIANS($P138))*$L$3+$N$3</f>
        <v>-8.2084834398160496</v>
      </c>
      <c r="S139" s="420">
        <f>$L$6</f>
        <v>24.592682761320781</v>
      </c>
      <c r="T139" s="428">
        <f>DEGREES(ACOS((U139^2+V139^2-S139^2)/(2*U139*V139)))</f>
        <v>27.222814817219984</v>
      </c>
      <c r="U139" s="420">
        <f>SQRT((Q141-Q139)^2+(R141-R139)^2)</f>
        <v>44.898962823186729</v>
      </c>
      <c r="V139" s="420">
        <f>$L$3*$L$4</f>
        <v>26.400000000000002</v>
      </c>
      <c r="W139" s="424">
        <f t="shared" ref="W139" si="109">+Q139</f>
        <v>22.552622898861802</v>
      </c>
      <c r="X139" s="424">
        <f t="shared" ref="X139" si="110">+R139</f>
        <v>-8.2084834398160496</v>
      </c>
      <c r="Y139" s="457">
        <f t="shared" ref="Y139" si="111">DEGREES(ATAN2(Q140-Q141,R140-R141))</f>
        <v>-18.613697034129238</v>
      </c>
      <c r="Z139" s="25">
        <f ca="1">SIN(RADIANS(P144))*ABS(Y144)/100+$M$3</f>
        <v>16.594257641522042</v>
      </c>
      <c r="AA139" s="25">
        <f ca="1">COS(RADIANS(P144))*ABS(Y144)/100+$N$3</f>
        <v>-7.7380294196388295</v>
      </c>
    </row>
    <row r="140" spans="12:27" s="422" customFormat="1" ht="16.2" customHeight="1">
      <c r="L140" s="423"/>
      <c r="M140" s="423"/>
      <c r="O140" s="431" t="s">
        <v>480</v>
      </c>
      <c r="P140" s="459"/>
      <c r="Q140" s="423">
        <f>+COS(RADIANS(T139+DEGREES(ATAN2(Q139-Q141,R139-R141))))*$L$3*$L$4+Q141</f>
        <v>16.290223744802255</v>
      </c>
      <c r="R140" s="423">
        <f>+SIN(RADIANS(T139+DEGREES(ATAN2(Q139-Q141,R139-R141))))*$L$3*$L$4+R141</f>
        <v>15.573492975826927</v>
      </c>
      <c r="S140" s="428"/>
      <c r="T140" s="420"/>
      <c r="V140" s="420"/>
      <c r="W140" s="424">
        <f>+Q140</f>
        <v>16.290223744802255</v>
      </c>
      <c r="X140" s="424">
        <f>+R140</f>
        <v>15.573492975826927</v>
      </c>
      <c r="Y140" s="457"/>
    </row>
    <row r="141" spans="12:27" s="422" customFormat="1" ht="16.2" customHeight="1">
      <c r="L141" s="423"/>
      <c r="M141" s="423"/>
      <c r="O141" s="431" t="s">
        <v>150</v>
      </c>
      <c r="P141" s="459"/>
      <c r="Q141" s="423">
        <f>$M$4</f>
        <v>-8.7288485675670007</v>
      </c>
      <c r="R141" s="423">
        <f>$N$4</f>
        <v>24</v>
      </c>
      <c r="S141" s="428"/>
      <c r="T141" s="420"/>
      <c r="U141" s="420"/>
      <c r="V141" s="420"/>
      <c r="W141" s="424">
        <f>+Q141</f>
        <v>-8.7288485675670007</v>
      </c>
      <c r="X141" s="424">
        <f>+R141</f>
        <v>24</v>
      </c>
      <c r="Y141" s="457"/>
      <c r="Z141" s="25">
        <f>SIN(RADIANS(P138))*$Z$4+$M$3</f>
        <v>18.79385241571817</v>
      </c>
      <c r="AA141" s="25">
        <f>COS(RADIANS(P138))*$AA$4+$N$3</f>
        <v>-6.840402866513374</v>
      </c>
    </row>
    <row r="142" spans="12:27" s="422" customFormat="1" ht="16.2" customHeight="1">
      <c r="L142" s="423"/>
      <c r="M142" s="423"/>
      <c r="O142" s="431"/>
      <c r="P142" s="459"/>
      <c r="Q142" s="423"/>
      <c r="R142" s="423"/>
      <c r="S142" s="420"/>
      <c r="T142" s="420"/>
      <c r="U142" s="420"/>
      <c r="V142" s="420"/>
      <c r="W142" s="424"/>
      <c r="X142" s="424"/>
      <c r="Y142" s="457"/>
      <c r="Z142" s="25">
        <f>SIN(RADIANS(P144))*$Z$4+$M$3</f>
        <v>18.126155740733001</v>
      </c>
      <c r="AA142" s="25">
        <f>COS(RADIANS(P144))*$AA$4+$N$3</f>
        <v>-8.4523652348139873</v>
      </c>
    </row>
    <row r="143" spans="12:27" s="422" customFormat="1" ht="16.2" customHeight="1">
      <c r="L143" s="423"/>
      <c r="M143" s="423"/>
    </row>
    <row r="144" spans="12:27" s="422" customFormat="1" ht="16.2" customHeight="1">
      <c r="L144" s="423"/>
      <c r="M144" s="423"/>
      <c r="O144" s="431" t="s">
        <v>486</v>
      </c>
      <c r="P144" s="459">
        <f>P138+$M$9</f>
        <v>115</v>
      </c>
      <c r="Q144" s="423">
        <f>+$M$3</f>
        <v>0</v>
      </c>
      <c r="R144" s="423">
        <f>+$N$3</f>
        <v>0</v>
      </c>
      <c r="S144" s="420"/>
      <c r="T144" s="420"/>
      <c r="U144" s="420"/>
      <c r="V144" s="420"/>
      <c r="W144" s="424">
        <f>+Q144</f>
        <v>0</v>
      </c>
      <c r="X144" s="424">
        <f>+R144</f>
        <v>0</v>
      </c>
      <c r="Y144" s="457">
        <f ca="1">SIN(ATAN2(Q146-Q147,R146-R147))*WindTorque/((SQRT(POWER(Q151-Q145,2)+POWER(R151-R145,2))*$L$3)/(SQRT(POWER(Q152-Q146,2)+POWER(R152-R146,2))*$L$3*$L$4))</f>
        <v>-1830.9737463230013</v>
      </c>
      <c r="Z144" s="25">
        <f t="shared" ref="Z144" ca="1" si="112">SIN(RADIANS(P144))*ABS(Y144)/100+$M$3</f>
        <v>16.594257641522042</v>
      </c>
      <c r="AA144" s="25">
        <f t="shared" ref="AA144" ca="1" si="113">COS(RADIANS(P144))*ABS(Y144)/100+$N$3</f>
        <v>-7.7380294196388295</v>
      </c>
    </row>
    <row r="145" spans="12:27" s="422" customFormat="1" ht="16.2" customHeight="1">
      <c r="L145" s="423"/>
      <c r="M145" s="423"/>
      <c r="O145" s="431" t="s">
        <v>479</v>
      </c>
      <c r="P145" s="459"/>
      <c r="Q145" s="423">
        <f>+SIN(RADIANS($P144))*$L$3+$M$3</f>
        <v>21.751386888879601</v>
      </c>
      <c r="R145" s="423">
        <f>+COS(RADIANS($P144))*$L$3+$N$3</f>
        <v>-10.142838281776784</v>
      </c>
      <c r="S145" s="420">
        <f>$L$6</f>
        <v>24.592682761320781</v>
      </c>
      <c r="T145" s="428">
        <f>DEGREES(ACOS((U145^2+V145^2-S145^2)/(2*U145*V145)))</f>
        <v>25.180933930779148</v>
      </c>
      <c r="U145" s="420">
        <f>SQRT((Q147-Q145)^2+(R147-R145)^2)</f>
        <v>45.768746535337698</v>
      </c>
      <c r="V145" s="420">
        <f>$L$3*$L$4</f>
        <v>26.400000000000002</v>
      </c>
      <c r="W145" s="424">
        <f t="shared" ref="W145" si="114">+Q145</f>
        <v>21.751386888879601</v>
      </c>
      <c r="X145" s="424">
        <f t="shared" ref="X145" si="115">+R145</f>
        <v>-10.142838281776784</v>
      </c>
      <c r="Y145" s="457">
        <f t="shared" ref="Y145" si="116">DEGREES(ATAN2(Q146-Q147,R146-R147))</f>
        <v>-23.062913935292826</v>
      </c>
      <c r="Z145" s="25">
        <f ca="1">SIN(RADIANS(P150))*ABS(Y150)/100+$M$3</f>
        <v>18.350170418175775</v>
      </c>
      <c r="AA145" s="25">
        <f ca="1">COS(RADIANS(P150))*ABS(Y150)/100+$N$3</f>
        <v>-10.594475830609285</v>
      </c>
    </row>
    <row r="146" spans="12:27" s="422" customFormat="1" ht="16.2" customHeight="1">
      <c r="L146" s="423"/>
      <c r="M146" s="423"/>
      <c r="O146" s="431" t="s">
        <v>480</v>
      </c>
      <c r="P146" s="459"/>
      <c r="Q146" s="423">
        <f>+COS(RADIANS(T145+DEGREES(ATAN2(Q145-Q147,R145-R147))))*$L$3*$L$4+Q147</f>
        <v>15.561138143518304</v>
      </c>
      <c r="R146" s="423">
        <f>+SIN(RADIANS(T145+DEGREES(ATAN2(Q145-Q147,R145-R147))))*$L$3*$L$4+R147</f>
        <v>13.658020229409688</v>
      </c>
      <c r="S146" s="428"/>
      <c r="T146" s="420"/>
      <c r="V146" s="420"/>
      <c r="W146" s="424">
        <f>+Q146</f>
        <v>15.561138143518304</v>
      </c>
      <c r="X146" s="424">
        <f>+R146</f>
        <v>13.658020229409688</v>
      </c>
      <c r="Y146" s="457"/>
    </row>
    <row r="147" spans="12:27" s="422" customFormat="1" ht="16.2" customHeight="1">
      <c r="L147" s="423"/>
      <c r="M147" s="423"/>
      <c r="O147" s="431" t="s">
        <v>150</v>
      </c>
      <c r="P147" s="459"/>
      <c r="Q147" s="423">
        <f>$M$4</f>
        <v>-8.7288485675670007</v>
      </c>
      <c r="R147" s="423">
        <f>$N$4</f>
        <v>24</v>
      </c>
      <c r="S147" s="428"/>
      <c r="T147" s="420"/>
      <c r="U147" s="420"/>
      <c r="V147" s="420"/>
      <c r="W147" s="424">
        <f>+Q147</f>
        <v>-8.7288485675670007</v>
      </c>
      <c r="X147" s="424">
        <f>+R147</f>
        <v>24</v>
      </c>
      <c r="Y147" s="457"/>
      <c r="Z147" s="25">
        <f>SIN(RADIANS(P144))*$Z$4+$M$3</f>
        <v>18.126155740733001</v>
      </c>
      <c r="AA147" s="25">
        <f>COS(RADIANS(P144))*$AA$4+$N$3</f>
        <v>-8.4523652348139873</v>
      </c>
    </row>
    <row r="148" spans="12:27" s="422" customFormat="1" ht="16.2" customHeight="1">
      <c r="L148" s="423"/>
      <c r="M148" s="423"/>
      <c r="O148" s="431"/>
      <c r="P148" s="459"/>
      <c r="Q148" s="423"/>
      <c r="R148" s="423"/>
      <c r="S148" s="420"/>
      <c r="T148" s="420"/>
      <c r="U148" s="420"/>
      <c r="V148" s="420"/>
      <c r="W148" s="424"/>
      <c r="X148" s="424"/>
      <c r="Y148" s="457"/>
      <c r="Z148" s="25">
        <f>SIN(RADIANS(P150))*$Z$4+$M$3</f>
        <v>17.320508075688775</v>
      </c>
      <c r="AA148" s="25">
        <f>COS(RADIANS(P150))*$AA$4+$N$3</f>
        <v>-9.9999999999999964</v>
      </c>
    </row>
    <row r="149" spans="12:27" s="422" customFormat="1" ht="16.2" customHeight="1">
      <c r="L149" s="423"/>
      <c r="M149" s="423"/>
    </row>
    <row r="150" spans="12:27" s="422" customFormat="1" ht="16.2" customHeight="1">
      <c r="L150" s="423"/>
      <c r="M150" s="423"/>
      <c r="O150" s="431" t="s">
        <v>486</v>
      </c>
      <c r="P150" s="459">
        <f>P144+$M$9</f>
        <v>120</v>
      </c>
      <c r="Q150" s="423">
        <f>+$M$3</f>
        <v>0</v>
      </c>
      <c r="R150" s="423">
        <f>+$N$3</f>
        <v>0</v>
      </c>
      <c r="S150" s="420"/>
      <c r="T150" s="420"/>
      <c r="U150" s="420"/>
      <c r="V150" s="420"/>
      <c r="W150" s="424">
        <f>+Q150</f>
        <v>0</v>
      </c>
      <c r="X150" s="424">
        <f>+R150</f>
        <v>0</v>
      </c>
      <c r="Y150" s="457">
        <f ca="1">SIN(ATAN2(Q152-Q153,R152-R153))*WindTorque/((SQRT(POWER(Q157-Q151,2)+POWER(R157-R151,2))*$L$3)/(SQRT(POWER(Q158-Q152,2)+POWER(R158-R152,2))*$L$3*$L$4))</f>
        <v>-2118.895166121858</v>
      </c>
      <c r="Z150" s="25">
        <f t="shared" ref="Z150" ca="1" si="117">SIN(RADIANS(P150))*ABS(Y150)/100+$M$3</f>
        <v>18.350170418175775</v>
      </c>
      <c r="AA150" s="25">
        <f t="shared" ref="AA150" ca="1" si="118">COS(RADIANS(P150))*ABS(Y150)/100+$N$3</f>
        <v>-10.594475830609285</v>
      </c>
    </row>
    <row r="151" spans="12:27" s="422" customFormat="1" ht="16.2" customHeight="1">
      <c r="L151" s="423"/>
      <c r="M151" s="423"/>
      <c r="O151" s="431" t="s">
        <v>479</v>
      </c>
      <c r="P151" s="459"/>
      <c r="Q151" s="423">
        <f>+SIN(RADIANS($P150))*$L$3+$M$3</f>
        <v>20.784609690826528</v>
      </c>
      <c r="R151" s="423">
        <f>+COS(RADIANS($P150))*$L$3+$N$3</f>
        <v>-11.999999999999995</v>
      </c>
      <c r="S151" s="420">
        <f>$L$6</f>
        <v>24.592682761320781</v>
      </c>
      <c r="T151" s="428">
        <f>DEGREES(ACOS((U151^2+V151^2-S151^2)/(2*U151*V151)))</f>
        <v>23.197473292394399</v>
      </c>
      <c r="U151" s="420">
        <f>SQRT((Q153-Q151)^2+(R153-R151)^2)</f>
        <v>46.551522191760135</v>
      </c>
      <c r="V151" s="420">
        <f>$L$3*$L$4</f>
        <v>26.400000000000002</v>
      </c>
      <c r="W151" s="424">
        <f t="shared" ref="W151" si="119">+Q151</f>
        <v>20.784609690826528</v>
      </c>
      <c r="X151" s="424">
        <f t="shared" ref="X151" si="120">+R151</f>
        <v>-11.999999999999995</v>
      </c>
      <c r="Y151" s="457">
        <f t="shared" ref="Y151" si="121">DEGREES(ATAN2(Q152-Q153,R152-R153))</f>
        <v>-27.457000123441883</v>
      </c>
      <c r="Z151" s="25">
        <f ca="1">SIN(RADIANS(P156))*ABS(Y156)/100+$M$3</f>
        <v>19.372698033636006</v>
      </c>
      <c r="AA151" s="25">
        <f ca="1">COS(RADIANS(P156))*ABS(Y156)/100+$N$3</f>
        <v>-13.564909198612357</v>
      </c>
    </row>
    <row r="152" spans="12:27" s="422" customFormat="1" ht="16.2" customHeight="1">
      <c r="L152" s="423"/>
      <c r="M152" s="423"/>
      <c r="O152" s="431" t="s">
        <v>480</v>
      </c>
      <c r="P152" s="459"/>
      <c r="Q152" s="423">
        <f>+COS(RADIANS(T151+DEGREES(ATAN2(Q151-Q153,R151-R153))))*$L$3*$L$4+Q153</f>
        <v>14.697379421524905</v>
      </c>
      <c r="R152" s="423">
        <f>+SIN(RADIANS(T151+DEGREES(ATAN2(Q151-Q153,R151-R153))))*$L$3*$L$4+R153</f>
        <v>11.82741431728299</v>
      </c>
      <c r="S152" s="428"/>
      <c r="T152" s="420"/>
      <c r="V152" s="420"/>
      <c r="W152" s="424">
        <f>+Q152</f>
        <v>14.697379421524905</v>
      </c>
      <c r="X152" s="424">
        <f>+R152</f>
        <v>11.82741431728299</v>
      </c>
      <c r="Y152" s="457"/>
    </row>
    <row r="153" spans="12:27" s="422" customFormat="1" ht="16.2" customHeight="1">
      <c r="L153" s="423"/>
      <c r="M153" s="423"/>
      <c r="O153" s="431" t="s">
        <v>150</v>
      </c>
      <c r="P153" s="459"/>
      <c r="Q153" s="423">
        <f>$M$4</f>
        <v>-8.7288485675670007</v>
      </c>
      <c r="R153" s="423">
        <f>$N$4</f>
        <v>24</v>
      </c>
      <c r="S153" s="428"/>
      <c r="T153" s="420"/>
      <c r="U153" s="420"/>
      <c r="V153" s="420"/>
      <c r="W153" s="424">
        <f>+Q153</f>
        <v>-8.7288485675670007</v>
      </c>
      <c r="X153" s="424">
        <f>+R153</f>
        <v>24</v>
      </c>
      <c r="Y153" s="457"/>
      <c r="Z153" s="25">
        <f>SIN(RADIANS(P150))*$Z$4+$M$3</f>
        <v>17.320508075688775</v>
      </c>
      <c r="AA153" s="25">
        <f>COS(RADIANS(P150))*$AA$4+$N$3</f>
        <v>-9.9999999999999964</v>
      </c>
    </row>
    <row r="154" spans="12:27" s="422" customFormat="1" ht="16.2" customHeight="1">
      <c r="L154" s="423"/>
      <c r="M154" s="423"/>
      <c r="O154" s="431"/>
      <c r="P154" s="459"/>
      <c r="Q154" s="423"/>
      <c r="R154" s="423"/>
      <c r="S154" s="420"/>
      <c r="T154" s="420"/>
      <c r="U154" s="420"/>
      <c r="V154" s="420"/>
      <c r="W154" s="424"/>
      <c r="X154" s="424"/>
      <c r="Y154" s="457"/>
      <c r="Z154" s="25">
        <f>SIN(RADIANS(P156))*$Z$4+$M$3</f>
        <v>16.383040885779835</v>
      </c>
      <c r="AA154" s="25">
        <f>COS(RADIANS(P156))*$AA$4+$N$3</f>
        <v>-11.471528727020923</v>
      </c>
    </row>
    <row r="155" spans="12:27" s="422" customFormat="1" ht="16.2" customHeight="1">
      <c r="L155" s="423"/>
      <c r="M155" s="423"/>
    </row>
    <row r="156" spans="12:27" s="422" customFormat="1" ht="16.2" customHeight="1">
      <c r="L156" s="423"/>
      <c r="M156" s="423"/>
      <c r="O156" s="431" t="s">
        <v>486</v>
      </c>
      <c r="P156" s="459">
        <f>P150+$M$9</f>
        <v>125</v>
      </c>
      <c r="Q156" s="423">
        <f>+$M$3</f>
        <v>0</v>
      </c>
      <c r="R156" s="423">
        <f>+$N$3</f>
        <v>0</v>
      </c>
      <c r="S156" s="420"/>
      <c r="T156" s="420"/>
      <c r="U156" s="420"/>
      <c r="V156" s="420"/>
      <c r="W156" s="424">
        <f>+Q156</f>
        <v>0</v>
      </c>
      <c r="X156" s="424">
        <f>+R156</f>
        <v>0</v>
      </c>
      <c r="Y156" s="457">
        <f ca="1">SIN(ATAN2(Q158-Q159,R158-R159))*WindTorque/((SQRT(POWER(Q163-Q157,2)+POWER(R163-R157,2))*$L$3)/(SQRT(POWER(Q164-Q158,2)+POWER(R164-R158,2))*$L$3*$L$4))</f>
        <v>-2364.9697475211865</v>
      </c>
      <c r="Z156" s="25">
        <f t="shared" ref="Z156" ca="1" si="122">SIN(RADIANS(P156))*ABS(Y156)/100+$M$3</f>
        <v>19.372698033636006</v>
      </c>
      <c r="AA156" s="25">
        <f t="shared" ref="AA156" ca="1" si="123">COS(RADIANS(P156))*ABS(Y156)/100+$N$3</f>
        <v>-13.564909198612357</v>
      </c>
    </row>
    <row r="157" spans="12:27" s="422" customFormat="1" ht="16.2" customHeight="1">
      <c r="L157" s="423"/>
      <c r="M157" s="423"/>
      <c r="O157" s="431" t="s">
        <v>479</v>
      </c>
      <c r="P157" s="459"/>
      <c r="Q157" s="423">
        <f>+SIN(RADIANS($P156))*$L$3+$M$3</f>
        <v>19.659649062935799</v>
      </c>
      <c r="R157" s="423">
        <f>+COS(RADIANS($P156))*$L$3+$N$3</f>
        <v>-13.765834472425109</v>
      </c>
      <c r="S157" s="420">
        <f>$L$6</f>
        <v>24.592682761320781</v>
      </c>
      <c r="T157" s="428">
        <f>DEGREES(ACOS((U157^2+V157^2-S157^2)/(2*U157*V157)))</f>
        <v>21.290599748454795</v>
      </c>
      <c r="U157" s="420">
        <f>SQRT((Q159-Q157)^2+(R159-R157)^2)</f>
        <v>47.24579400450029</v>
      </c>
      <c r="V157" s="420">
        <f>$L$3*$L$4</f>
        <v>26.400000000000002</v>
      </c>
      <c r="W157" s="424">
        <f t="shared" ref="W157" si="124">+Q157</f>
        <v>19.659649062935799</v>
      </c>
      <c r="X157" s="424">
        <f t="shared" ref="X157" si="125">+R157</f>
        <v>-13.765834472425109</v>
      </c>
      <c r="Y157" s="457">
        <f t="shared" ref="Y157" si="126">DEGREES(ATAN2(Q158-Q159,R158-R159))</f>
        <v>-31.777293336927503</v>
      </c>
      <c r="Z157" s="25">
        <f ca="1">SIN(RADIANS(P162))*ABS(Y162)/100+$M$3</f>
        <v>19.593517959550635</v>
      </c>
      <c r="AA157" s="25">
        <f ca="1">COS(RADIANS(P162))*ABS(Y162)/100+$N$3</f>
        <v>-16.440913693324354</v>
      </c>
    </row>
    <row r="158" spans="12:27" s="422" customFormat="1" ht="16.2" customHeight="1">
      <c r="L158" s="423"/>
      <c r="M158" s="423"/>
      <c r="O158" s="431" t="s">
        <v>480</v>
      </c>
      <c r="P158" s="459"/>
      <c r="Q158" s="423">
        <f>+COS(RADIANS(T157+DEGREES(ATAN2(Q157-Q159,R157-R159))))*$L$3*$L$4+Q159</f>
        <v>13.71383002925216</v>
      </c>
      <c r="R158" s="423">
        <f>+SIN(RADIANS(T157+DEGREES(ATAN2(Q157-Q159,R157-R159))))*$L$3*$L$4+R159</f>
        <v>10.097260075802494</v>
      </c>
      <c r="S158" s="428"/>
      <c r="T158" s="420"/>
      <c r="V158" s="420"/>
      <c r="W158" s="424">
        <f>+Q158</f>
        <v>13.71383002925216</v>
      </c>
      <c r="X158" s="424">
        <f>+R158</f>
        <v>10.097260075802494</v>
      </c>
      <c r="Y158" s="457"/>
    </row>
    <row r="159" spans="12:27" s="422" customFormat="1" ht="16.2" customHeight="1">
      <c r="L159" s="423"/>
      <c r="M159" s="423"/>
      <c r="O159" s="431" t="s">
        <v>150</v>
      </c>
      <c r="P159" s="459"/>
      <c r="Q159" s="423">
        <f>$M$4</f>
        <v>-8.7288485675670007</v>
      </c>
      <c r="R159" s="423">
        <f>$N$4</f>
        <v>24</v>
      </c>
      <c r="S159" s="428"/>
      <c r="T159" s="420"/>
      <c r="U159" s="420"/>
      <c r="V159" s="420"/>
      <c r="W159" s="424">
        <f>+Q159</f>
        <v>-8.7288485675670007</v>
      </c>
      <c r="X159" s="424">
        <f>+R159</f>
        <v>24</v>
      </c>
      <c r="Y159" s="457"/>
      <c r="Z159" s="25">
        <f>SIN(RADIANS(P156))*$Z$4+$M$3</f>
        <v>16.383040885779835</v>
      </c>
      <c r="AA159" s="25">
        <f>COS(RADIANS(P156))*$AA$4+$N$3</f>
        <v>-11.471528727020923</v>
      </c>
    </row>
    <row r="160" spans="12:27" s="422" customFormat="1" ht="16.2" customHeight="1">
      <c r="L160" s="423"/>
      <c r="M160" s="423"/>
      <c r="O160" s="431"/>
      <c r="P160" s="459"/>
      <c r="Q160" s="423"/>
      <c r="R160" s="423"/>
      <c r="S160" s="420"/>
      <c r="T160" s="420"/>
      <c r="U160" s="420"/>
      <c r="V160" s="420"/>
      <c r="W160" s="424"/>
      <c r="X160" s="424"/>
      <c r="Y160" s="457"/>
      <c r="Z160" s="25">
        <f>SIN(RADIANS(P162))*$Z$4+$M$3</f>
        <v>15.32088886237956</v>
      </c>
      <c r="AA160" s="25">
        <f>COS(RADIANS(P162))*$AA$4+$N$3</f>
        <v>-12.855752193730787</v>
      </c>
    </row>
    <row r="161" spans="12:27" s="422" customFormat="1" ht="16.2" customHeight="1">
      <c r="L161" s="423"/>
      <c r="M161" s="423"/>
    </row>
    <row r="162" spans="12:27" s="422" customFormat="1" ht="16.2" customHeight="1">
      <c r="L162" s="423"/>
      <c r="M162" s="423"/>
      <c r="O162" s="431" t="s">
        <v>486</v>
      </c>
      <c r="P162" s="459">
        <f>P156+$M$9</f>
        <v>130</v>
      </c>
      <c r="Q162" s="423">
        <f>+$M$3</f>
        <v>0</v>
      </c>
      <c r="R162" s="423">
        <f>+$N$3</f>
        <v>0</v>
      </c>
      <c r="S162" s="420"/>
      <c r="T162" s="420"/>
      <c r="U162" s="420"/>
      <c r="V162" s="420"/>
      <c r="W162" s="424">
        <f>+Q162</f>
        <v>0</v>
      </c>
      <c r="X162" s="424">
        <f>+R162</f>
        <v>0</v>
      </c>
      <c r="Y162" s="457">
        <f ca="1">SIN(ATAN2(Q164-Q165,R164-R165))*WindTorque/((SQRT(POWER(Q169-Q163,2)+POWER(R169-R163,2))*$L$3)/(SQRT(POWER(Q170-Q164,2)+POWER(R170-R164,2))*$L$3*$L$4))</f>
        <v>-2557.7521168060316</v>
      </c>
      <c r="Z162" s="25">
        <f t="shared" ref="Z162" ca="1" si="127">SIN(RADIANS(P162))*ABS(Y162)/100+$M$3</f>
        <v>19.593517959550635</v>
      </c>
      <c r="AA162" s="25">
        <f t="shared" ref="AA162" ca="1" si="128">COS(RADIANS(P162))*ABS(Y162)/100+$N$3</f>
        <v>-16.440913693324354</v>
      </c>
    </row>
    <row r="163" spans="12:27" s="422" customFormat="1" ht="16.2" customHeight="1">
      <c r="L163" s="423"/>
      <c r="M163" s="423"/>
      <c r="O163" s="431" t="s">
        <v>479</v>
      </c>
      <c r="P163" s="459"/>
      <c r="Q163" s="423">
        <f>+SIN(RADIANS($P162))*$L$3+$M$3</f>
        <v>18.385066634855473</v>
      </c>
      <c r="R163" s="423">
        <f>+COS(RADIANS($P162))*$L$3+$N$3</f>
        <v>-15.426902632476946</v>
      </c>
      <c r="S163" s="420">
        <f>$L$6</f>
        <v>24.592682761320781</v>
      </c>
      <c r="T163" s="428">
        <f>DEGREES(ACOS((U163^2+V163^2-S163^2)/(2*U163*V163)))</f>
        <v>19.484477015934466</v>
      </c>
      <c r="U163" s="420">
        <f>SQRT((Q165-Q163)^2+(R165-R163)^2)</f>
        <v>47.850235619012096</v>
      </c>
      <c r="V163" s="420">
        <f>$L$3*$L$4</f>
        <v>26.400000000000002</v>
      </c>
      <c r="W163" s="424">
        <f t="shared" ref="W163" si="129">+Q163</f>
        <v>18.385066634855473</v>
      </c>
      <c r="X163" s="424">
        <f t="shared" ref="X163" si="130">+R163</f>
        <v>-15.426902632476946</v>
      </c>
      <c r="Y163" s="457">
        <f t="shared" ref="Y163" si="131">DEGREES(ATAN2(Q164-Q165,R164-R165))</f>
        <v>-35.999185635883045</v>
      </c>
      <c r="Z163" s="25">
        <f ca="1">SIN(RADIANS(P168))*ABS(Y168)/100+$M$3</f>
        <v>18.975184536940244</v>
      </c>
      <c r="AA163" s="25">
        <f ca="1">COS(RADIANS(P168))*ABS(Y168)/100+$N$3</f>
        <v>-18.97518453694024</v>
      </c>
    </row>
    <row r="164" spans="12:27" s="422" customFormat="1" ht="16.2" customHeight="1">
      <c r="L164" s="423"/>
      <c r="M164" s="423"/>
      <c r="O164" s="431" t="s">
        <v>480</v>
      </c>
      <c r="P164" s="459"/>
      <c r="Q164" s="423">
        <f>+COS(RADIANS(T163+DEGREES(ATAN2(Q163-Q165,R163-R165))))*$L$3*$L$4+Q165</f>
        <v>12.629420637638235</v>
      </c>
      <c r="R164" s="423">
        <f>+SIN(RADIANS(T163+DEGREES(ATAN2(Q163-Q165,R163-R165))))*$L$3*$L$4+R165</f>
        <v>8.4827729101497695</v>
      </c>
      <c r="S164" s="428"/>
      <c r="T164" s="420"/>
      <c r="V164" s="420"/>
      <c r="W164" s="424">
        <f>+Q164</f>
        <v>12.629420637638235</v>
      </c>
      <c r="X164" s="424">
        <f>+R164</f>
        <v>8.4827729101497695</v>
      </c>
      <c r="Y164" s="457"/>
    </row>
    <row r="165" spans="12:27" s="422" customFormat="1" ht="16.2" customHeight="1">
      <c r="L165" s="423"/>
      <c r="M165" s="423"/>
      <c r="O165" s="431" t="s">
        <v>150</v>
      </c>
      <c r="P165" s="459"/>
      <c r="Q165" s="423">
        <f>$M$4</f>
        <v>-8.7288485675670007</v>
      </c>
      <c r="R165" s="423">
        <f>$N$4</f>
        <v>24</v>
      </c>
      <c r="S165" s="428"/>
      <c r="T165" s="420"/>
      <c r="U165" s="420"/>
      <c r="V165" s="420"/>
      <c r="W165" s="424">
        <f>+Q165</f>
        <v>-8.7288485675670007</v>
      </c>
      <c r="X165" s="424">
        <f>+R165</f>
        <v>24</v>
      </c>
      <c r="Y165" s="457"/>
      <c r="Z165" s="25">
        <f>SIN(RADIANS(P162))*$Z$4+$M$3</f>
        <v>15.32088886237956</v>
      </c>
      <c r="AA165" s="25">
        <f>COS(RADIANS(P162))*$AA$4+$N$3</f>
        <v>-12.855752193730787</v>
      </c>
    </row>
    <row r="166" spans="12:27" s="422" customFormat="1" ht="16.2" customHeight="1">
      <c r="L166" s="423"/>
      <c r="M166" s="423"/>
      <c r="O166" s="431"/>
      <c r="P166" s="459"/>
      <c r="Q166" s="423"/>
      <c r="R166" s="423"/>
      <c r="S166" s="420"/>
      <c r="T166" s="420"/>
      <c r="U166" s="420"/>
      <c r="V166" s="420"/>
      <c r="W166" s="424"/>
      <c r="X166" s="424"/>
      <c r="Y166" s="457"/>
      <c r="Z166" s="25">
        <f>SIN(RADIANS(P168))*$Z$4+$M$3</f>
        <v>14.142135623730951</v>
      </c>
      <c r="AA166" s="25">
        <f>COS(RADIANS(P168))*$AA$4+$N$3</f>
        <v>-14.142135623730949</v>
      </c>
    </row>
    <row r="167" spans="12:27" s="422" customFormat="1" ht="16.2" customHeight="1">
      <c r="L167" s="423"/>
      <c r="M167" s="423"/>
    </row>
    <row r="168" spans="12:27" s="422" customFormat="1" ht="16.2" customHeight="1">
      <c r="L168" s="423"/>
      <c r="M168" s="423"/>
      <c r="O168" s="431" t="s">
        <v>486</v>
      </c>
      <c r="P168" s="459">
        <f>P162+$M$9</f>
        <v>135</v>
      </c>
      <c r="Q168" s="423">
        <f>+$M$3</f>
        <v>0</v>
      </c>
      <c r="R168" s="423">
        <f>+$N$3</f>
        <v>0</v>
      </c>
      <c r="S168" s="420"/>
      <c r="T168" s="420"/>
      <c r="U168" s="420"/>
      <c r="V168" s="420"/>
      <c r="W168" s="424">
        <f>+Q168</f>
        <v>0</v>
      </c>
      <c r="X168" s="424">
        <f>+R168</f>
        <v>0</v>
      </c>
      <c r="Y168" s="457">
        <f ca="1">SIN(ATAN2(Q170-Q171,R170-R171))*WindTorque/((SQRT(POWER(Q175-Q169,2)+POWER(R175-R169,2))*$L$3)/(SQRT(POWER(Q176-Q170,2)+POWER(R176-R170,2))*$L$3*$L$4))</f>
        <v>-2683.4963320673128</v>
      </c>
      <c r="Z168" s="25">
        <f t="shared" ref="Z168" ca="1" si="132">SIN(RADIANS(P168))*ABS(Y168)/100+$M$3</f>
        <v>18.975184536940244</v>
      </c>
      <c r="AA168" s="25">
        <f t="shared" ref="AA168" ca="1" si="133">COS(RADIANS(P168))*ABS(Y168)/100+$N$3</f>
        <v>-18.97518453694024</v>
      </c>
    </row>
    <row r="169" spans="12:27" s="422" customFormat="1" ht="16.2" customHeight="1">
      <c r="L169" s="423"/>
      <c r="M169" s="423"/>
      <c r="O169" s="431" t="s">
        <v>479</v>
      </c>
      <c r="P169" s="459"/>
      <c r="Q169" s="423">
        <f>+SIN(RADIANS($P168))*$L$3+$M$3</f>
        <v>16.970562748477143</v>
      </c>
      <c r="R169" s="423">
        <f>+COS(RADIANS($P168))*$L$3+$N$3</f>
        <v>-16.970562748477139</v>
      </c>
      <c r="S169" s="420">
        <f>$L$6</f>
        <v>24.592682761320781</v>
      </c>
      <c r="T169" s="428">
        <f>DEGREES(ACOS((U169^2+V169^2-S169^2)/(2*U169*V169)))</f>
        <v>17.811280049314394</v>
      </c>
      <c r="U169" s="420">
        <f>SQRT((Q171-Q169)^2+(R171-R169)^2)</f>
        <v>48.363692517405241</v>
      </c>
      <c r="V169" s="420">
        <f>$L$3*$L$4</f>
        <v>26.400000000000002</v>
      </c>
      <c r="W169" s="424">
        <f t="shared" ref="W169" si="134">+Q169</f>
        <v>16.970562748477143</v>
      </c>
      <c r="X169" s="424">
        <f t="shared" ref="X169" si="135">+R169</f>
        <v>-16.970562748477139</v>
      </c>
      <c r="Y169" s="457">
        <f t="shared" ref="Y169" si="136">DEGREES(ATAN2(Q170-Q171,R170-R171))</f>
        <v>-40.090099107582233</v>
      </c>
      <c r="Z169" s="25">
        <f ca="1">SIN(RADIANS(P174))*ABS(Y174)/100+$M$3</f>
        <v>17.52826343294738</v>
      </c>
      <c r="AA169" s="25">
        <f ca="1">COS(RADIANS(P174))*ABS(Y174)/100+$N$3</f>
        <v>-20.889370918152753</v>
      </c>
    </row>
    <row r="170" spans="12:27" s="422" customFormat="1" ht="16.2" customHeight="1">
      <c r="L170" s="423"/>
      <c r="M170" s="423"/>
      <c r="O170" s="431" t="s">
        <v>480</v>
      </c>
      <c r="P170" s="459"/>
      <c r="Q170" s="423">
        <f>+COS(RADIANS(T169+DEGREES(ATAN2(Q169-Q171,R169-R171))))*$L$3*$L$4+Q171</f>
        <v>11.46801460956152</v>
      </c>
      <c r="R170" s="423">
        <f>+SIN(RADIANS(T169+DEGREES(ATAN2(Q169-Q171,R169-R171))))*$L$3*$L$4+R171</f>
        <v>6.9986260024564473</v>
      </c>
      <c r="S170" s="428"/>
      <c r="T170" s="420"/>
      <c r="V170" s="420"/>
      <c r="W170" s="424">
        <f>+Q170</f>
        <v>11.46801460956152</v>
      </c>
      <c r="X170" s="424">
        <f>+R170</f>
        <v>6.9986260024564473</v>
      </c>
      <c r="Y170" s="457"/>
    </row>
    <row r="171" spans="12:27" s="422" customFormat="1" ht="16.2" customHeight="1">
      <c r="L171" s="423"/>
      <c r="M171" s="423"/>
      <c r="O171" s="431" t="s">
        <v>150</v>
      </c>
      <c r="P171" s="459"/>
      <c r="Q171" s="423">
        <f>$M$4</f>
        <v>-8.7288485675670007</v>
      </c>
      <c r="R171" s="423">
        <f>$N$4</f>
        <v>24</v>
      </c>
      <c r="S171" s="428"/>
      <c r="T171" s="420"/>
      <c r="U171" s="420"/>
      <c r="V171" s="420"/>
      <c r="W171" s="424">
        <f>+Q171</f>
        <v>-8.7288485675670007</v>
      </c>
      <c r="X171" s="424">
        <f>+R171</f>
        <v>24</v>
      </c>
      <c r="Y171" s="457"/>
      <c r="Z171" s="25">
        <f>SIN(RADIANS(P168))*$Z$4+$M$3</f>
        <v>14.142135623730951</v>
      </c>
      <c r="AA171" s="25">
        <f>COS(RADIANS(P168))*$AA$4+$N$3</f>
        <v>-14.142135623730949</v>
      </c>
    </row>
    <row r="172" spans="12:27" s="422" customFormat="1" ht="16.2" customHeight="1">
      <c r="L172" s="423"/>
      <c r="M172" s="423"/>
      <c r="O172" s="431"/>
      <c r="P172" s="459"/>
      <c r="Q172" s="423"/>
      <c r="R172" s="423"/>
      <c r="S172" s="420"/>
      <c r="T172" s="420"/>
      <c r="U172" s="420"/>
      <c r="V172" s="420"/>
      <c r="W172" s="424"/>
      <c r="X172" s="424"/>
      <c r="Y172" s="457"/>
      <c r="Z172" s="25">
        <f>SIN(RADIANS(P174))*$Z$4+$M$3</f>
        <v>12.85575219373079</v>
      </c>
      <c r="AA172" s="25">
        <f>COS(RADIANS(P174))*$AA$4+$N$3</f>
        <v>-15.320888862379558</v>
      </c>
    </row>
    <row r="173" spans="12:27" s="422" customFormat="1" ht="16.2" customHeight="1">
      <c r="L173" s="423"/>
      <c r="M173" s="423"/>
    </row>
    <row r="174" spans="12:27" s="422" customFormat="1" ht="16.2" customHeight="1">
      <c r="L174" s="423"/>
      <c r="M174" s="423"/>
      <c r="O174" s="431" t="s">
        <v>486</v>
      </c>
      <c r="P174" s="459">
        <f>P168+$M$9</f>
        <v>140</v>
      </c>
      <c r="Q174" s="423">
        <f>+$M$3</f>
        <v>0</v>
      </c>
      <c r="R174" s="423">
        <f>+$N$3</f>
        <v>0</v>
      </c>
      <c r="S174" s="420"/>
      <c r="T174" s="420"/>
      <c r="U174" s="420"/>
      <c r="V174" s="420"/>
      <c r="W174" s="424">
        <f>+Q174</f>
        <v>0</v>
      </c>
      <c r="X174" s="424">
        <f>+R174</f>
        <v>0</v>
      </c>
      <c r="Y174" s="457">
        <f ca="1">SIN(ATAN2(Q176-Q177,R176-R177))*WindTorque/((SQRT(POWER(Q181-Q175,2)+POWER(R181-R175,2))*$L$3)/(SQRT(POWER(Q182-Q176,2)+POWER(R182-R176,2))*$L$3*$L$4))</f>
        <v>-2726.9137066122321</v>
      </c>
      <c r="Z174" s="25">
        <f t="shared" ref="Z174" ca="1" si="137">SIN(RADIANS(P174))*ABS(Y174)/100+$M$3</f>
        <v>17.52826343294738</v>
      </c>
      <c r="AA174" s="25">
        <f t="shared" ref="AA174" ca="1" si="138">COS(RADIANS(P174))*ABS(Y174)/100+$N$3</f>
        <v>-20.889370918152753</v>
      </c>
    </row>
    <row r="175" spans="12:27" s="422" customFormat="1" ht="16.2" customHeight="1">
      <c r="L175" s="423"/>
      <c r="M175" s="423"/>
      <c r="O175" s="431" t="s">
        <v>479</v>
      </c>
      <c r="P175" s="459"/>
      <c r="Q175" s="423">
        <f>+SIN(RADIANS($P174))*$L$3+$M$3</f>
        <v>15.426902632476947</v>
      </c>
      <c r="R175" s="423">
        <f>+COS(RADIANS($P174))*$L$3+$N$3</f>
        <v>-18.38506663485547</v>
      </c>
      <c r="S175" s="420">
        <f>$L$6</f>
        <v>24.592682761320781</v>
      </c>
      <c r="T175" s="428">
        <f>DEGREES(ACOS((U175^2+V175^2-S175^2)/(2*U175*V175)))</f>
        <v>16.313287519384986</v>
      </c>
      <c r="U175" s="420">
        <f>SQRT((Q177-Q175)^2+(R177-R175)^2)</f>
        <v>48.785184120586891</v>
      </c>
      <c r="V175" s="420">
        <f>$L$3*$L$4</f>
        <v>26.400000000000002</v>
      </c>
      <c r="W175" s="424">
        <f t="shared" ref="W175" si="139">+Q175</f>
        <v>15.426902632476947</v>
      </c>
      <c r="X175" s="424">
        <f t="shared" ref="X175" si="140">+R175</f>
        <v>-18.38506663485547</v>
      </c>
      <c r="Y175" s="457">
        <f t="shared" ref="Y175" si="141">DEGREES(ATAN2(Q176-Q177,R176-R177))</f>
        <v>-44.007385073846528</v>
      </c>
      <c r="Z175" s="25">
        <f ca="1">SIN(RADIANS(P180))*ABS(Y180)/100+$M$3</f>
        <v>15.338501126526431</v>
      </c>
      <c r="AA175" s="25">
        <f ca="1">COS(RADIANS(P180))*ABS(Y180)/100+$N$3</f>
        <v>-21.90564981026041</v>
      </c>
    </row>
    <row r="176" spans="12:27" s="422" customFormat="1" ht="16.2" customHeight="1">
      <c r="L176" s="423"/>
      <c r="M176" s="423"/>
      <c r="O176" s="431" t="s">
        <v>480</v>
      </c>
      <c r="P176" s="459"/>
      <c r="Q176" s="423">
        <f>+COS(RADIANS(T175+DEGREES(ATAN2(Q175-Q177,R175-R177))))*$L$3*$L$4+Q177</f>
        <v>10.259358221689572</v>
      </c>
      <c r="R176" s="423">
        <f>+SIN(RADIANS(T175+DEGREES(ATAN2(Q175-Q177,R175-R177))))*$L$3*$L$4+R177</f>
        <v>5.6585714043744453</v>
      </c>
      <c r="S176" s="428"/>
      <c r="T176" s="420"/>
      <c r="V176" s="420"/>
      <c r="W176" s="424">
        <f>+Q176</f>
        <v>10.259358221689572</v>
      </c>
      <c r="X176" s="424">
        <f>+R176</f>
        <v>5.6585714043744453</v>
      </c>
      <c r="Y176" s="457"/>
    </row>
    <row r="177" spans="12:27" s="422" customFormat="1" ht="16.2" customHeight="1">
      <c r="L177" s="423"/>
      <c r="M177" s="423"/>
      <c r="O177" s="431" t="s">
        <v>150</v>
      </c>
      <c r="P177" s="459"/>
      <c r="Q177" s="423">
        <f>$M$4</f>
        <v>-8.7288485675670007</v>
      </c>
      <c r="R177" s="423">
        <f>$N$4</f>
        <v>24</v>
      </c>
      <c r="S177" s="428"/>
      <c r="T177" s="420"/>
      <c r="U177" s="420"/>
      <c r="V177" s="420"/>
      <c r="W177" s="424">
        <f>+Q177</f>
        <v>-8.7288485675670007</v>
      </c>
      <c r="X177" s="424">
        <f>+R177</f>
        <v>24</v>
      </c>
      <c r="Y177" s="457"/>
      <c r="Z177" s="25">
        <f>SIN(RADIANS(P174))*$Z$4+$M$3</f>
        <v>12.85575219373079</v>
      </c>
      <c r="AA177" s="25">
        <f>COS(RADIANS(P174))*$AA$4+$N$3</f>
        <v>-15.320888862379558</v>
      </c>
    </row>
    <row r="178" spans="12:27" s="422" customFormat="1" ht="16.2" customHeight="1">
      <c r="L178" s="423"/>
      <c r="M178" s="423"/>
      <c r="O178" s="431"/>
      <c r="P178" s="459"/>
      <c r="Q178" s="423"/>
      <c r="R178" s="423"/>
      <c r="S178" s="420"/>
      <c r="T178" s="420"/>
      <c r="U178" s="420"/>
      <c r="V178" s="420"/>
      <c r="W178" s="424"/>
      <c r="X178" s="424"/>
      <c r="Y178" s="457"/>
      <c r="Z178" s="25">
        <f>SIN(RADIANS(P180))*$Z$4+$M$3</f>
        <v>11.471528727020919</v>
      </c>
      <c r="AA178" s="25">
        <f>COS(RADIANS(P180))*$AA$4+$N$3</f>
        <v>-16.383040885779838</v>
      </c>
    </row>
    <row r="179" spans="12:27" s="422" customFormat="1" ht="16.2" customHeight="1">
      <c r="L179" s="423"/>
      <c r="M179" s="423"/>
    </row>
    <row r="180" spans="12:27" s="422" customFormat="1" ht="16.2" customHeight="1">
      <c r="L180" s="423"/>
      <c r="M180" s="423"/>
      <c r="O180" s="431" t="s">
        <v>486</v>
      </c>
      <c r="P180" s="459">
        <f>P174+$M$9</f>
        <v>145</v>
      </c>
      <c r="Q180" s="423">
        <f>+$M$3</f>
        <v>0</v>
      </c>
      <c r="R180" s="423">
        <f>+$N$3</f>
        <v>0</v>
      </c>
      <c r="S180" s="420"/>
      <c r="T180" s="420"/>
      <c r="U180" s="420"/>
      <c r="V180" s="420"/>
      <c r="W180" s="424">
        <f>+Q180</f>
        <v>0</v>
      </c>
      <c r="X180" s="424">
        <f>+R180</f>
        <v>0</v>
      </c>
      <c r="Y180" s="457">
        <f ca="1">SIN(ATAN2(Q182-Q183,R182-R183))*WindTorque/((SQRT(POWER(Q187-Q181,2)+POWER(R187-R181,2))*$L$3)/(SQRT(POWER(Q188-Q182,2)+POWER(R188-R182,2))*$L$3*$L$4))</f>
        <v>-2674.1860638673115</v>
      </c>
      <c r="Z180" s="25">
        <f t="shared" ref="Z180" ca="1" si="142">SIN(RADIANS(P180))*ABS(Y180)/100+$M$3</f>
        <v>15.338501126526431</v>
      </c>
      <c r="AA180" s="25">
        <f t="shared" ref="AA180" ca="1" si="143">COS(RADIANS(P180))*ABS(Y180)/100+$N$3</f>
        <v>-21.90564981026041</v>
      </c>
    </row>
    <row r="181" spans="12:27" s="422" customFormat="1" ht="16.2" customHeight="1">
      <c r="L181" s="423"/>
      <c r="M181" s="423"/>
      <c r="O181" s="431" t="s">
        <v>479</v>
      </c>
      <c r="P181" s="459"/>
      <c r="Q181" s="423">
        <f>+SIN(RADIANS($P180))*$L$3+$M$3</f>
        <v>13.765834472425102</v>
      </c>
      <c r="R181" s="423">
        <f>+COS(RADIANS($P180))*$L$3+$N$3</f>
        <v>-19.659649062935806</v>
      </c>
      <c r="S181" s="420">
        <f>$L$6</f>
        <v>24.592682761320781</v>
      </c>
      <c r="T181" s="428">
        <f>DEGREES(ACOS((U181^2+V181^2-S181^2)/(2*U181*V181)))</f>
        <v>15.044063371057913</v>
      </c>
      <c r="U181" s="420">
        <f>SQRT((Q183-Q181)^2+(R183-R181)^2)</f>
        <v>49.113905580481173</v>
      </c>
      <c r="V181" s="420">
        <f>$L$3*$L$4</f>
        <v>26.400000000000002</v>
      </c>
      <c r="W181" s="424">
        <f t="shared" ref="W181" si="144">+Q181</f>
        <v>13.765834472425102</v>
      </c>
      <c r="X181" s="424">
        <f t="shared" ref="X181" si="145">+R181</f>
        <v>-19.659649062935806</v>
      </c>
      <c r="Y181" s="457">
        <f t="shared" ref="Y181" si="146">DEGREES(ATAN2(Q182-Q183,R182-R183))</f>
        <v>-47.697135449033979</v>
      </c>
      <c r="Z181" s="25">
        <f ca="1">SIN(RADIANS(P186))*ABS(Y186)/100+$M$3</f>
        <v>12.597255060019684</v>
      </c>
      <c r="AA181" s="25">
        <f ca="1">COS(RADIANS(P186))*ABS(Y186)/100+$N$3</f>
        <v>-21.819085799858225</v>
      </c>
    </row>
    <row r="182" spans="12:27" s="422" customFormat="1" ht="16.2" customHeight="1">
      <c r="L182" s="423"/>
      <c r="M182" s="423"/>
      <c r="O182" s="431" t="s">
        <v>480</v>
      </c>
      <c r="P182" s="459"/>
      <c r="Q182" s="423">
        <f>+COS(RADIANS(T181+DEGREES(ATAN2(Q181-Q183,R181-R183))))*$L$3*$L$4+Q183</f>
        <v>9.0396579988171606</v>
      </c>
      <c r="R182" s="423">
        <f>+SIN(RADIANS(T181+DEGREES(ATAN2(Q181-Q183,R181-R183))))*$L$3*$L$4+R183</f>
        <v>4.474627419678697</v>
      </c>
      <c r="S182" s="428"/>
      <c r="T182" s="420"/>
      <c r="V182" s="420"/>
      <c r="W182" s="424">
        <f>+Q182</f>
        <v>9.0396579988171606</v>
      </c>
      <c r="X182" s="424">
        <f>+R182</f>
        <v>4.474627419678697</v>
      </c>
      <c r="Y182" s="457"/>
    </row>
    <row r="183" spans="12:27" s="422" customFormat="1" ht="16.2" customHeight="1">
      <c r="L183" s="423"/>
      <c r="M183" s="423"/>
      <c r="O183" s="431" t="s">
        <v>150</v>
      </c>
      <c r="P183" s="459"/>
      <c r="Q183" s="423">
        <f>$M$4</f>
        <v>-8.7288485675670007</v>
      </c>
      <c r="R183" s="423">
        <f>$N$4</f>
        <v>24</v>
      </c>
      <c r="S183" s="428"/>
      <c r="T183" s="420"/>
      <c r="U183" s="420"/>
      <c r="V183" s="420"/>
      <c r="W183" s="424">
        <f>+Q183</f>
        <v>-8.7288485675670007</v>
      </c>
      <c r="X183" s="424">
        <f>+R183</f>
        <v>24</v>
      </c>
      <c r="Y183" s="457"/>
      <c r="Z183" s="25">
        <f>SIN(RADIANS(P180))*$Z$4+$M$3</f>
        <v>11.471528727020919</v>
      </c>
      <c r="AA183" s="25">
        <f>COS(RADIANS(P180))*$AA$4+$N$3</f>
        <v>-16.383040885779838</v>
      </c>
    </row>
    <row r="184" spans="12:27" s="422" customFormat="1" ht="16.2" customHeight="1">
      <c r="L184" s="423"/>
      <c r="M184" s="423"/>
      <c r="O184" s="431"/>
      <c r="P184" s="459"/>
      <c r="Q184" s="423"/>
      <c r="R184" s="423"/>
      <c r="S184" s="420"/>
      <c r="T184" s="420"/>
      <c r="U184" s="420"/>
      <c r="V184" s="420"/>
      <c r="W184" s="424"/>
      <c r="X184" s="424"/>
      <c r="Y184" s="457"/>
      <c r="Z184" s="25">
        <f>SIN(RADIANS(P186))*$Z$4+$M$3</f>
        <v>9.9999999999999982</v>
      </c>
      <c r="AA184" s="25">
        <f>COS(RADIANS(P186))*$AA$4+$N$3</f>
        <v>-17.320508075688775</v>
      </c>
    </row>
    <row r="185" spans="12:27" s="422" customFormat="1" ht="16.2" customHeight="1">
      <c r="L185" s="423"/>
      <c r="M185" s="423"/>
    </row>
    <row r="186" spans="12:27" s="422" customFormat="1" ht="16.2" customHeight="1">
      <c r="L186" s="423"/>
      <c r="M186" s="423"/>
      <c r="O186" s="431" t="s">
        <v>486</v>
      </c>
      <c r="P186" s="459">
        <f>P180+$M$9</f>
        <v>150</v>
      </c>
      <c r="Q186" s="423">
        <f>+$M$3</f>
        <v>0</v>
      </c>
      <c r="R186" s="423">
        <f>+$N$3</f>
        <v>0</v>
      </c>
      <c r="S186" s="420"/>
      <c r="T186" s="420"/>
      <c r="U186" s="420"/>
      <c r="V186" s="420"/>
      <c r="W186" s="424">
        <f>+Q186</f>
        <v>0</v>
      </c>
      <c r="X186" s="424">
        <f>+R186</f>
        <v>0</v>
      </c>
      <c r="Y186" s="457">
        <f ca="1">SIN(ATAN2(Q188-Q189,R188-R189))*WindTorque/((SQRT(POWER(Q193-Q187,2)+POWER(R193-R187,2))*$L$3)/(SQRT(POWER(Q194-Q188,2)+POWER(R194-R188,2))*$L$3*$L$4))</f>
        <v>-2519.4510120039372</v>
      </c>
      <c r="Z186" s="25">
        <f t="shared" ref="Z186" ca="1" si="147">SIN(RADIANS(P186))*ABS(Y186)/100+$M$3</f>
        <v>12.597255060019684</v>
      </c>
      <c r="AA186" s="25">
        <f t="shared" ref="AA186" ca="1" si="148">COS(RADIANS(P186))*ABS(Y186)/100+$N$3</f>
        <v>-21.819085799858225</v>
      </c>
    </row>
    <row r="187" spans="12:27" s="422" customFormat="1" ht="16.2" customHeight="1">
      <c r="L187" s="423"/>
      <c r="M187" s="423"/>
      <c r="O187" s="431" t="s">
        <v>479</v>
      </c>
      <c r="P187" s="459"/>
      <c r="Q187" s="423">
        <f>+SIN(RADIANS($P186))*$L$3+$M$3</f>
        <v>11.999999999999998</v>
      </c>
      <c r="R187" s="423">
        <f>+COS(RADIANS($P186))*$L$3+$N$3</f>
        <v>-20.784609690826528</v>
      </c>
      <c r="S187" s="420">
        <f>$L$6</f>
        <v>24.592682761320781</v>
      </c>
      <c r="T187" s="428">
        <f>DEGREES(ACOS((U187^2+V187^2-S187^2)/(2*U187*V187)))</f>
        <v>14.066587867745319</v>
      </c>
      <c r="U187" s="420">
        <f>SQRT((Q189-Q187)^2+(R189-R187)^2)</f>
        <v>49.349229255347019</v>
      </c>
      <c r="V187" s="420">
        <f>$L$3*$L$4</f>
        <v>26.400000000000002</v>
      </c>
      <c r="W187" s="424">
        <f t="shared" ref="W187" si="149">+Q187</f>
        <v>11.999999999999998</v>
      </c>
      <c r="X187" s="424">
        <f t="shared" ref="X187" si="150">+R187</f>
        <v>-20.784609690826528</v>
      </c>
      <c r="Y187" s="457">
        <f t="shared" ref="Y187" si="151">DEGREES(ATAN2(Q188-Q189,R188-R189))</f>
        <v>-51.096045538344768</v>
      </c>
      <c r="Z187" s="25">
        <f ca="1">SIN(RADIANS(P192))*ABS(Y192)/100+$M$3</f>
        <v>9.6076678674786944</v>
      </c>
      <c r="AA187" s="25">
        <f ca="1">COS(RADIANS(P192))*ABS(Y192)/100+$N$3</f>
        <v>-20.603710231765373</v>
      </c>
    </row>
    <row r="188" spans="12:27" s="422" customFormat="1" ht="16.2" customHeight="1">
      <c r="L188" s="423"/>
      <c r="M188" s="423"/>
      <c r="O188" s="431" t="s">
        <v>480</v>
      </c>
      <c r="P188" s="459"/>
      <c r="Q188" s="423">
        <f>+COS(RADIANS(T187+DEGREES(ATAN2(Q187-Q189,R187-R189))))*$L$3*$L$4+Q189</f>
        <v>7.8507941401551324</v>
      </c>
      <c r="R188" s="423">
        <f>+SIN(RADIANS(T187+DEGREES(ATAN2(Q187-Q189,R187-R189))))*$L$3*$L$4+R189</f>
        <v>3.4555251299947649</v>
      </c>
      <c r="S188" s="428"/>
      <c r="T188" s="420"/>
      <c r="V188" s="420"/>
      <c r="W188" s="424">
        <f>+Q188</f>
        <v>7.8507941401551324</v>
      </c>
      <c r="X188" s="424">
        <f>+R188</f>
        <v>3.4555251299947649</v>
      </c>
      <c r="Y188" s="457"/>
    </row>
    <row r="189" spans="12:27" s="422" customFormat="1" ht="16.2" customHeight="1">
      <c r="L189" s="423"/>
      <c r="M189" s="423"/>
      <c r="O189" s="431" t="s">
        <v>150</v>
      </c>
      <c r="P189" s="459"/>
      <c r="Q189" s="423">
        <f>$M$4</f>
        <v>-8.7288485675670007</v>
      </c>
      <c r="R189" s="423">
        <f>$N$4</f>
        <v>24</v>
      </c>
      <c r="S189" s="428"/>
      <c r="T189" s="420"/>
      <c r="U189" s="420"/>
      <c r="V189" s="420"/>
      <c r="W189" s="424">
        <f>+Q189</f>
        <v>-8.7288485675670007</v>
      </c>
      <c r="X189" s="424">
        <f>+R189</f>
        <v>24</v>
      </c>
      <c r="Y189" s="457"/>
      <c r="Z189" s="25">
        <f>SIN(RADIANS(P186))*$Z$4+$M$3</f>
        <v>9.9999999999999982</v>
      </c>
      <c r="AA189" s="25">
        <f>COS(RADIANS(P186))*$AA$4+$N$3</f>
        <v>-17.320508075688775</v>
      </c>
    </row>
    <row r="190" spans="12:27" s="422" customFormat="1" ht="16.2" customHeight="1">
      <c r="L190" s="423"/>
      <c r="M190" s="423"/>
      <c r="O190" s="431"/>
      <c r="P190" s="459"/>
      <c r="Q190" s="423"/>
      <c r="R190" s="423"/>
      <c r="S190" s="420"/>
      <c r="T190" s="420"/>
      <c r="U190" s="420"/>
      <c r="V190" s="420"/>
      <c r="W190" s="424"/>
      <c r="X190" s="424"/>
      <c r="Y190" s="457"/>
      <c r="Z190" s="25">
        <f>SIN(RADIANS(P192))*$Z$4+$M$3</f>
        <v>8.452365234813989</v>
      </c>
      <c r="AA190" s="25">
        <f>COS(RADIANS(P192))*$AA$4+$N$3</f>
        <v>-18.126155740732997</v>
      </c>
    </row>
    <row r="191" spans="12:27" s="422" customFormat="1" ht="16.2" customHeight="1">
      <c r="L191" s="423"/>
      <c r="M191" s="423"/>
    </row>
    <row r="192" spans="12:27" s="422" customFormat="1" ht="16.2" customHeight="1">
      <c r="L192" s="423"/>
      <c r="M192" s="423"/>
      <c r="O192" s="431" t="s">
        <v>486</v>
      </c>
      <c r="P192" s="459">
        <f>P186+$M$9</f>
        <v>155</v>
      </c>
      <c r="Q192" s="423">
        <f>+$M$3</f>
        <v>0</v>
      </c>
      <c r="R192" s="423">
        <f>+$N$3</f>
        <v>0</v>
      </c>
      <c r="S192" s="420"/>
      <c r="T192" s="420"/>
      <c r="U192" s="420"/>
      <c r="V192" s="420"/>
      <c r="W192" s="424">
        <f>+Q192</f>
        <v>0</v>
      </c>
      <c r="X192" s="424">
        <f>+R192</f>
        <v>0</v>
      </c>
      <c r="Y192" s="457">
        <f ca="1">SIN(ATAN2(Q194-Q195,R194-R195))*WindTorque/((SQRT(POWER(Q199-Q193,2)+POWER(R199-R193,2))*$L$3)/(SQRT(POWER(Q200-Q194,2)+POWER(R200-R194,2))*$L$3*$L$4))</f>
        <v>-2273.3678918431474</v>
      </c>
      <c r="Z192" s="25">
        <f t="shared" ref="Z192" ca="1" si="152">SIN(RADIANS(P192))*ABS(Y192)/100+$M$3</f>
        <v>9.6076678674786944</v>
      </c>
      <c r="AA192" s="25">
        <f t="shared" ref="AA192" ca="1" si="153">COS(RADIANS(P192))*ABS(Y192)/100+$N$3</f>
        <v>-20.603710231765373</v>
      </c>
    </row>
    <row r="193" spans="12:27" s="422" customFormat="1" ht="16.2" customHeight="1">
      <c r="L193" s="423"/>
      <c r="M193" s="423"/>
      <c r="O193" s="431" t="s">
        <v>479</v>
      </c>
      <c r="P193" s="459"/>
      <c r="Q193" s="423">
        <f>+SIN(RADIANS($P192))*$L$3+$M$3</f>
        <v>10.142838281776788</v>
      </c>
      <c r="R193" s="423">
        <f>+COS(RADIANS($P192))*$L$3+$N$3</f>
        <v>-21.751386888879598</v>
      </c>
      <c r="S193" s="420">
        <f>$L$6</f>
        <v>24.592682761320781</v>
      </c>
      <c r="T193" s="428">
        <f>DEGREES(ACOS((U193^2+V193^2-S193^2)/(2*U193*V193)))</f>
        <v>13.445314562209246</v>
      </c>
      <c r="U193" s="420">
        <f>SQRT((Q195-Q193)^2+(R195-R193)^2)</f>
        <v>49.490705862774263</v>
      </c>
      <c r="V193" s="420">
        <f>$L$3*$L$4</f>
        <v>26.400000000000002</v>
      </c>
      <c r="W193" s="424">
        <f t="shared" ref="W193" si="154">+Q193</f>
        <v>10.142838281776788</v>
      </c>
      <c r="X193" s="424">
        <f t="shared" ref="X193" si="155">+R193</f>
        <v>-21.751386888879598</v>
      </c>
      <c r="Y193" s="457">
        <f t="shared" ref="Y193" si="156">DEGREES(ATAN2(Q194-Q195,R194-R195))</f>
        <v>-54.139351592463292</v>
      </c>
      <c r="Z193" s="25">
        <f ca="1">SIN(RADIANS(P198))*ABS(Y198)/100+$M$3</f>
        <v>6.7277135769630636</v>
      </c>
      <c r="AA193" s="25">
        <f ca="1">COS(RADIANS(P198))*ABS(Y198)/100+$N$3</f>
        <v>-18.484241137264295</v>
      </c>
    </row>
    <row r="194" spans="12:27" s="422" customFormat="1" ht="16.2" customHeight="1">
      <c r="L194" s="423"/>
      <c r="M194" s="423"/>
      <c r="O194" s="431" t="s">
        <v>480</v>
      </c>
      <c r="P194" s="459"/>
      <c r="Q194" s="423">
        <f>+COS(RADIANS(T193+DEGREES(ATAN2(Q193-Q195,R193-R195))))*$L$3*$L$4+Q195</f>
        <v>6.7366903964199363</v>
      </c>
      <c r="R194" s="423">
        <f>+SIN(RADIANS(T193+DEGREES(ATAN2(Q193-Q195,R193-R195))))*$L$3*$L$4+R195</f>
        <v>2.6042736848359809</v>
      </c>
      <c r="S194" s="428"/>
      <c r="T194" s="420"/>
      <c r="V194" s="420"/>
      <c r="W194" s="424">
        <f>+Q194</f>
        <v>6.7366903964199363</v>
      </c>
      <c r="X194" s="424">
        <f>+R194</f>
        <v>2.6042736848359809</v>
      </c>
      <c r="Y194" s="457"/>
    </row>
    <row r="195" spans="12:27" s="422" customFormat="1" ht="16.2" customHeight="1">
      <c r="L195" s="423"/>
      <c r="M195" s="423"/>
      <c r="O195" s="431" t="s">
        <v>150</v>
      </c>
      <c r="P195" s="459"/>
      <c r="Q195" s="423">
        <f>$M$4</f>
        <v>-8.7288485675670007</v>
      </c>
      <c r="R195" s="423">
        <f>$N$4</f>
        <v>24</v>
      </c>
      <c r="S195" s="428"/>
      <c r="T195" s="420"/>
      <c r="U195" s="420"/>
      <c r="V195" s="420"/>
      <c r="W195" s="424">
        <f>+Q195</f>
        <v>-8.7288485675670007</v>
      </c>
      <c r="X195" s="424">
        <f>+R195</f>
        <v>24</v>
      </c>
      <c r="Y195" s="457"/>
      <c r="Z195" s="25">
        <f>SIN(RADIANS(P192))*$Z$4+$M$3</f>
        <v>8.452365234813989</v>
      </c>
      <c r="AA195" s="25">
        <f>COS(RADIANS(P192))*$AA$4+$N$3</f>
        <v>-18.126155740732997</v>
      </c>
    </row>
    <row r="196" spans="12:27" s="422" customFormat="1" ht="16.2" customHeight="1">
      <c r="L196" s="423"/>
      <c r="M196" s="423"/>
      <c r="O196" s="431"/>
      <c r="P196" s="459"/>
      <c r="Q196" s="423"/>
      <c r="R196" s="423"/>
      <c r="S196" s="420"/>
      <c r="T196" s="420"/>
      <c r="U196" s="420"/>
      <c r="V196" s="420"/>
      <c r="W196" s="424"/>
      <c r="X196" s="424"/>
      <c r="Y196" s="457"/>
      <c r="Z196" s="25">
        <f>SIN(RADIANS(P198))*$Z$4+$M$3</f>
        <v>6.8404028665133776</v>
      </c>
      <c r="AA196" s="25">
        <f>COS(RADIANS(P198))*$AA$4+$N$3</f>
        <v>-18.793852415718167</v>
      </c>
    </row>
    <row r="197" spans="12:27" ht="16.2" customHeight="1">
      <c r="O197" s="422"/>
      <c r="P197" s="422"/>
      <c r="Q197" s="422"/>
      <c r="R197" s="422"/>
      <c r="S197" s="422"/>
      <c r="T197" s="422"/>
      <c r="U197" s="422"/>
      <c r="V197" s="422"/>
      <c r="W197" s="422"/>
      <c r="X197" s="422"/>
      <c r="Y197" s="422"/>
      <c r="Z197" s="422"/>
      <c r="AA197" s="422"/>
    </row>
    <row r="198" spans="12:27" ht="16.2" customHeight="1">
      <c r="O198" s="431" t="s">
        <v>486</v>
      </c>
      <c r="P198" s="459">
        <f>P192+$M$9</f>
        <v>160</v>
      </c>
      <c r="Q198" s="423">
        <f>+$M$3</f>
        <v>0</v>
      </c>
      <c r="R198" s="423">
        <f>+$N$3</f>
        <v>0</v>
      </c>
      <c r="S198" s="420"/>
      <c r="T198" s="420"/>
      <c r="U198" s="420"/>
      <c r="V198" s="420"/>
      <c r="W198" s="424">
        <f>+Q198</f>
        <v>0</v>
      </c>
      <c r="X198" s="424">
        <f>+R198</f>
        <v>0</v>
      </c>
      <c r="Y198" s="457">
        <f ca="1">SIN(ATAN2(Q200-Q201,R200-R201))*WindTorque/((SQRT(POWER(Q205-Q199,2)+POWER(R205-R199,2))*$L$3)/(SQRT(POWER(Q206-Q200,2)+POWER(R206-R200,2))*$L$3*$L$4))</f>
        <v>-1967.051855936154</v>
      </c>
      <c r="Z198" s="25">
        <f t="shared" ref="Z198" ca="1" si="157">SIN(RADIANS(P198))*ABS(Y198)/100+$M$3</f>
        <v>6.7277135769630636</v>
      </c>
      <c r="AA198" s="25">
        <f t="shared" ref="AA198" ca="1" si="158">COS(RADIANS(P198))*ABS(Y198)/100+$N$3</f>
        <v>-18.484241137264295</v>
      </c>
    </row>
    <row r="199" spans="12:27" ht="16.2" customHeight="1">
      <c r="O199" s="431" t="s">
        <v>479</v>
      </c>
      <c r="P199" s="459"/>
      <c r="Q199" s="423">
        <f>+SIN(RADIANS($P198))*$L$3+$M$3</f>
        <v>8.2084834398160531</v>
      </c>
      <c r="R199" s="423">
        <f>+COS(RADIANS($P198))*$L$3+$N$3</f>
        <v>-22.552622898861799</v>
      </c>
      <c r="S199" s="420">
        <f>$L$6</f>
        <v>24.592682761320781</v>
      </c>
      <c r="T199" s="428">
        <f>DEGREES(ACOS((U199^2+V199^2-S199^2)/(2*U199*V199)))</f>
        <v>13.230920264190997</v>
      </c>
      <c r="U199" s="420">
        <f>SQRT((Q201-Q199)^2+(R201-R199)^2)</f>
        <v>49.538065306307168</v>
      </c>
      <c r="V199" s="420">
        <f>$L$3*$L$4</f>
        <v>26.400000000000002</v>
      </c>
      <c r="W199" s="424">
        <f t="shared" ref="W199" si="159">+Q199</f>
        <v>8.2084834398160531</v>
      </c>
      <c r="X199" s="424">
        <f t="shared" ref="X199" si="160">+R199</f>
        <v>-22.552622898861799</v>
      </c>
      <c r="Y199" s="457">
        <f t="shared" ref="Y199" si="161">DEGREES(ATAN2(Q200-Q201,R200-R201))</f>
        <v>-56.7760758456022</v>
      </c>
      <c r="Z199" s="25">
        <f ca="1">SIN(RADIANS(P204))*ABS(Y204)/100+$M$3</f>
        <v>4.2546365476011498</v>
      </c>
      <c r="AA199" s="25">
        <f ca="1">COS(RADIANS(P204))*ABS(Y204)/100+$N$3</f>
        <v>-15.878519763386914</v>
      </c>
    </row>
    <row r="200" spans="12:27" ht="16.2" customHeight="1">
      <c r="O200" s="431" t="s">
        <v>480</v>
      </c>
      <c r="P200" s="459"/>
      <c r="Q200" s="423">
        <f>+COS(RADIANS(T199+DEGREES(ATAN2(Q199-Q201,R199-R201))))*$L$3*$L$4+Q201</f>
        <v>5.7360433092766812</v>
      </c>
      <c r="R200" s="423">
        <f>+SIN(RADIANS(T199+DEGREES(ATAN2(Q199-Q201,R199-R201))))*$L$3*$L$4+R201</f>
        <v>1.9154600910224566</v>
      </c>
      <c r="S200" s="428"/>
      <c r="T200" s="420"/>
      <c r="U200" s="422"/>
      <c r="V200" s="420"/>
      <c r="W200" s="424">
        <f>+Q200</f>
        <v>5.7360433092766812</v>
      </c>
      <c r="X200" s="424">
        <f>+R200</f>
        <v>1.9154600910224566</v>
      </c>
      <c r="Y200" s="457"/>
      <c r="Z200" s="422"/>
      <c r="AA200" s="422"/>
    </row>
    <row r="201" spans="12:27" ht="16.2" customHeight="1">
      <c r="O201" s="431" t="s">
        <v>150</v>
      </c>
      <c r="P201" s="459"/>
      <c r="Q201" s="423">
        <f>$M$4</f>
        <v>-8.7288485675670007</v>
      </c>
      <c r="R201" s="423">
        <f>$N$4</f>
        <v>24</v>
      </c>
      <c r="S201" s="428"/>
      <c r="T201" s="420"/>
      <c r="U201" s="420"/>
      <c r="V201" s="420"/>
      <c r="W201" s="424">
        <f>+Q201</f>
        <v>-8.7288485675670007</v>
      </c>
      <c r="X201" s="424">
        <f>+R201</f>
        <v>24</v>
      </c>
      <c r="Y201" s="457"/>
      <c r="Z201" s="25">
        <f>SIN(RADIANS(P198))*$Z$4+$M$3</f>
        <v>6.8404028665133776</v>
      </c>
      <c r="AA201" s="25">
        <f>COS(RADIANS(P198))*$AA$4+$N$3</f>
        <v>-18.793852415718167</v>
      </c>
    </row>
    <row r="202" spans="12:27" ht="16.2" customHeight="1">
      <c r="O202" s="431"/>
      <c r="P202" s="459"/>
      <c r="Q202" s="423"/>
      <c r="R202" s="423"/>
      <c r="S202" s="420"/>
      <c r="T202" s="420"/>
      <c r="U202" s="420"/>
      <c r="V202" s="420"/>
      <c r="W202" s="424"/>
      <c r="X202" s="424"/>
      <c r="Y202" s="457"/>
      <c r="Z202" s="25">
        <f>SIN(RADIANS(P204))*$Z$4+$M$3</f>
        <v>5.1763809020504201</v>
      </c>
      <c r="AA202" s="25">
        <f>COS(RADIANS(P204))*$AA$4+$N$3</f>
        <v>-19.318516525781362</v>
      </c>
    </row>
    <row r="203" spans="12:27" ht="16.2" customHeight="1">
      <c r="O203" s="422"/>
      <c r="P203" s="422"/>
      <c r="Q203" s="422"/>
      <c r="R203" s="422"/>
      <c r="S203" s="422"/>
      <c r="T203" s="422"/>
      <c r="U203" s="422"/>
      <c r="V203" s="422"/>
      <c r="W203" s="422"/>
      <c r="X203" s="422"/>
      <c r="Y203" s="422"/>
      <c r="Z203" s="422"/>
      <c r="AA203" s="422"/>
    </row>
    <row r="204" spans="12:27" ht="16.2" customHeight="1">
      <c r="O204" s="431" t="s">
        <v>486</v>
      </c>
      <c r="P204" s="459">
        <f>P198+$M$9</f>
        <v>165</v>
      </c>
      <c r="Q204" s="423">
        <f>+$M$3</f>
        <v>0</v>
      </c>
      <c r="R204" s="423">
        <f>+$N$3</f>
        <v>0</v>
      </c>
      <c r="S204" s="420"/>
      <c r="T204" s="420"/>
      <c r="U204" s="420"/>
      <c r="V204" s="420"/>
      <c r="W204" s="424">
        <f>+Q204</f>
        <v>0</v>
      </c>
      <c r="X204" s="424">
        <f>+R204</f>
        <v>0</v>
      </c>
      <c r="Y204" s="457">
        <f ca="1">SIN(ATAN2(Q206-Q207,R206-R207))*WindTorque/((SQRT(POWER(Q211-Q205,2)+POWER(R211-R205,2))*$L$3)/(SQRT(POWER(Q212-Q206,2)+POWER(R212-R206,2))*$L$3*$L$4))</f>
        <v>-1643.8653291205221</v>
      </c>
      <c r="Z204" s="25">
        <f t="shared" ref="Z204" ca="1" si="162">SIN(RADIANS(P204))*ABS(Y204)/100+$M$3</f>
        <v>4.2546365476011498</v>
      </c>
      <c r="AA204" s="25">
        <f t="shared" ref="AA204" ca="1" si="163">COS(RADIANS(P204))*ABS(Y204)/100+$N$3</f>
        <v>-15.878519763386914</v>
      </c>
    </row>
    <row r="205" spans="12:27" ht="16.2" customHeight="1">
      <c r="O205" s="431" t="s">
        <v>479</v>
      </c>
      <c r="P205" s="459"/>
      <c r="Q205" s="423">
        <f>+SIN(RADIANS($P204))*$L$3+$M$3</f>
        <v>6.2116570824605049</v>
      </c>
      <c r="R205" s="423">
        <f>+COS(RADIANS($P204))*$L$3+$N$3</f>
        <v>-23.182219830937637</v>
      </c>
      <c r="S205" s="420">
        <f>$L$6</f>
        <v>24.592682761320781</v>
      </c>
      <c r="T205" s="428">
        <f>DEGREES(ACOS((U205^2+V205^2-S205^2)/(2*U205*V205)))</f>
        <v>13.443017894186728</v>
      </c>
      <c r="U205" s="420">
        <f>SQRT((Q207-Q205)^2+(R207-R205)^2)</f>
        <v>49.491217172882592</v>
      </c>
      <c r="V205" s="420">
        <f>$L$3*$L$4</f>
        <v>26.400000000000002</v>
      </c>
      <c r="W205" s="424">
        <f t="shared" ref="W205" si="164">+Q205</f>
        <v>6.2116570824605049</v>
      </c>
      <c r="X205" s="424">
        <f t="shared" ref="X205" si="165">+R205</f>
        <v>-23.182219830937637</v>
      </c>
      <c r="Y205" s="457">
        <f t="shared" ref="Y205" si="166">DEGREES(ATAN2(Q206-Q207,R206-R207))</f>
        <v>-58.986308973162522</v>
      </c>
      <c r="Z205" s="25">
        <f ca="1">SIN(RADIANS(P210))*ABS(Y210)/100+$M$3</f>
        <v>2.3312821293612465</v>
      </c>
      <c r="AA205" s="25">
        <f ca="1">COS(RADIANS(P210))*ABS(Y210)/100+$N$3</f>
        <v>-13.221357956646102</v>
      </c>
    </row>
    <row r="206" spans="12:27" ht="16.2" customHeight="1">
      <c r="O206" s="431" t="s">
        <v>480</v>
      </c>
      <c r="P206" s="459"/>
      <c r="Q206" s="423">
        <f>+COS(RADIANS(T205+DEGREES(ATAN2(Q205-Q207,R205-R207))))*$L$3*$L$4+Q207</f>
        <v>4.8735635522788616</v>
      </c>
      <c r="R206" s="423">
        <f>+SIN(RADIANS(T205+DEGREES(ATAN2(Q205-Q207,R205-R207))))*$L$3*$L$4+R207</f>
        <v>1.3740329594098775</v>
      </c>
      <c r="S206" s="428"/>
      <c r="T206" s="420"/>
      <c r="U206" s="422"/>
      <c r="V206" s="420"/>
      <c r="W206" s="424">
        <f>+Q206</f>
        <v>4.8735635522788616</v>
      </c>
      <c r="X206" s="424">
        <f>+R206</f>
        <v>1.3740329594098775</v>
      </c>
      <c r="Y206" s="457"/>
      <c r="Z206" s="422"/>
      <c r="AA206" s="422"/>
    </row>
    <row r="207" spans="12:27" ht="16.2" customHeight="1">
      <c r="O207" s="431" t="s">
        <v>150</v>
      </c>
      <c r="P207" s="459"/>
      <c r="Q207" s="423">
        <f>$M$4</f>
        <v>-8.7288485675670007</v>
      </c>
      <c r="R207" s="423">
        <f>$N$4</f>
        <v>24</v>
      </c>
      <c r="S207" s="428"/>
      <c r="T207" s="420"/>
      <c r="U207" s="420"/>
      <c r="V207" s="420"/>
      <c r="W207" s="424">
        <f>+Q207</f>
        <v>-8.7288485675670007</v>
      </c>
      <c r="X207" s="424">
        <f>+R207</f>
        <v>24</v>
      </c>
      <c r="Y207" s="457"/>
      <c r="Z207" s="25">
        <f>SIN(RADIANS(P204))*$Z$4+$M$3</f>
        <v>5.1763809020504201</v>
      </c>
      <c r="AA207" s="25">
        <f>COS(RADIANS(P204))*$AA$4+$N$3</f>
        <v>-19.318516525781362</v>
      </c>
    </row>
    <row r="208" spans="12:27" ht="16.2" customHeight="1">
      <c r="O208" s="431"/>
      <c r="P208" s="459"/>
      <c r="Q208" s="423"/>
      <c r="R208" s="423"/>
      <c r="S208" s="420"/>
      <c r="T208" s="420"/>
      <c r="U208" s="420"/>
      <c r="V208" s="420"/>
      <c r="W208" s="424"/>
      <c r="X208" s="424"/>
      <c r="Y208" s="457"/>
      <c r="Z208" s="25">
        <f>SIN(RADIANS(P210))*$Z$4+$M$3</f>
        <v>3.4729635533386056</v>
      </c>
      <c r="AA208" s="25">
        <f>COS(RADIANS(P210))*$AA$4+$N$3</f>
        <v>-19.696155060244159</v>
      </c>
    </row>
    <row r="209" spans="15:27" ht="16.2" customHeight="1">
      <c r="O209" s="422"/>
      <c r="P209" s="422"/>
      <c r="Q209" s="422"/>
      <c r="R209" s="422"/>
      <c r="S209" s="422"/>
      <c r="T209" s="422"/>
      <c r="U209" s="422"/>
      <c r="V209" s="422"/>
      <c r="W209" s="422"/>
      <c r="X209" s="422"/>
      <c r="Y209" s="422"/>
      <c r="Z209" s="422"/>
      <c r="AA209" s="422"/>
    </row>
    <row r="210" spans="15:27" ht="16.2" customHeight="1">
      <c r="O210" s="431" t="s">
        <v>486</v>
      </c>
      <c r="P210" s="459">
        <f>P204+$M$9</f>
        <v>170</v>
      </c>
      <c r="Q210" s="423">
        <f>+$M$3</f>
        <v>0</v>
      </c>
      <c r="R210" s="423">
        <f>+$N$3</f>
        <v>0</v>
      </c>
      <c r="S210" s="420"/>
      <c r="T210" s="420"/>
      <c r="U210" s="420"/>
      <c r="V210" s="420"/>
      <c r="W210" s="424">
        <f>+Q210</f>
        <v>0</v>
      </c>
      <c r="X210" s="424">
        <f>+R210</f>
        <v>0</v>
      </c>
      <c r="Y210" s="457">
        <f ca="1">SIN(ATAN2(Q212-Q213,R212-R213))*WindTorque/((SQRT(POWER(Q217-Q211,2)+POWER(R217-R211,2))*$L$3)/(SQRT(POWER(Q218-Q212,2)+POWER(R218-R212,2))*$L$3*$L$4))</f>
        <v>-1342.5318714445789</v>
      </c>
      <c r="Z210" s="25">
        <f t="shared" ref="Z210" ca="1" si="167">SIN(RADIANS(P210))*ABS(Y210)/100+$M$3</f>
        <v>2.3312821293612465</v>
      </c>
      <c r="AA210" s="25">
        <f t="shared" ref="AA210" ca="1" si="168">COS(RADIANS(P210))*ABS(Y210)/100+$N$3</f>
        <v>-13.221357956646102</v>
      </c>
    </row>
    <row r="211" spans="15:27" ht="16.2" customHeight="1">
      <c r="O211" s="431" t="s">
        <v>479</v>
      </c>
      <c r="P211" s="459"/>
      <c r="Q211" s="423">
        <f>+SIN(RADIANS($P210))*$L$3+$M$3</f>
        <v>4.1675562640063264</v>
      </c>
      <c r="R211" s="423">
        <f>+COS(RADIANS($P210))*$L$3+$N$3</f>
        <v>-23.635386072292992</v>
      </c>
      <c r="S211" s="420">
        <f>$L$6</f>
        <v>24.592682761320781</v>
      </c>
      <c r="T211" s="428">
        <f>DEGREES(ACOS((U211^2+V211^2-S211^2)/(2*U211*V211)))</f>
        <v>14.062198452621701</v>
      </c>
      <c r="U211" s="420">
        <f>SQRT((Q213-Q211)^2+(R213-R211)^2)</f>
        <v>49.350250899425347</v>
      </c>
      <c r="V211" s="420">
        <f>$L$3*$L$4</f>
        <v>26.400000000000002</v>
      </c>
      <c r="W211" s="424">
        <f t="shared" ref="W211" si="169">+Q211</f>
        <v>4.1675562640063264</v>
      </c>
      <c r="X211" s="424">
        <f t="shared" ref="X211" si="170">+R211</f>
        <v>-23.635386072292992</v>
      </c>
      <c r="Y211" s="457">
        <f t="shared" ref="Y211" si="171">DEGREES(ATAN2(Q212-Q213,R212-R213))</f>
        <v>-60.789163582870671</v>
      </c>
      <c r="Z211" s="25">
        <f ca="1">SIN(RADIANS(P216))*ABS(Y216)/100+$M$3</f>
        <v>0.94581868695985361</v>
      </c>
      <c r="AA211" s="25">
        <f ca="1">COS(RADIANS(P216))*ABS(Y216)/100+$N$3</f>
        <v>-10.810757060880183</v>
      </c>
    </row>
    <row r="212" spans="15:27" ht="16.2" customHeight="1">
      <c r="O212" s="431" t="s">
        <v>480</v>
      </c>
      <c r="P212" s="459"/>
      <c r="Q212" s="423">
        <f>+COS(RADIANS(T211+DEGREES(ATAN2(Q211-Q213,R211-R213))))*$L$3*$L$4+Q213</f>
        <v>4.1550047578681557</v>
      </c>
      <c r="R212" s="423">
        <f>+SIN(RADIANS(T211+DEGREES(ATAN2(Q211-Q213,R211-R213))))*$L$3*$L$4+R213</f>
        <v>0.95729348603611797</v>
      </c>
      <c r="S212" s="428"/>
      <c r="T212" s="420"/>
      <c r="U212" s="422"/>
      <c r="V212" s="420"/>
      <c r="W212" s="424">
        <f>+Q212</f>
        <v>4.1550047578681557</v>
      </c>
      <c r="X212" s="424">
        <f>+R212</f>
        <v>0.95729348603611797</v>
      </c>
      <c r="Y212" s="457"/>
      <c r="Z212" s="422"/>
      <c r="AA212" s="422"/>
    </row>
    <row r="213" spans="15:27" ht="16.2" customHeight="1">
      <c r="O213" s="431" t="s">
        <v>150</v>
      </c>
      <c r="P213" s="459"/>
      <c r="Q213" s="423">
        <f>$M$4</f>
        <v>-8.7288485675670007</v>
      </c>
      <c r="R213" s="423">
        <f>$N$4</f>
        <v>24</v>
      </c>
      <c r="S213" s="428"/>
      <c r="T213" s="420"/>
      <c r="U213" s="420"/>
      <c r="V213" s="420"/>
      <c r="W213" s="424">
        <f>+Q213</f>
        <v>-8.7288485675670007</v>
      </c>
      <c r="X213" s="424">
        <f>+R213</f>
        <v>24</v>
      </c>
      <c r="Y213" s="457"/>
      <c r="Z213" s="25">
        <f>SIN(RADIANS(P210))*$Z$4+$M$3</f>
        <v>3.4729635533386056</v>
      </c>
      <c r="AA213" s="25">
        <f>COS(RADIANS(P210))*$AA$4+$N$3</f>
        <v>-19.696155060244159</v>
      </c>
    </row>
    <row r="214" spans="15:27" ht="16.2" customHeight="1">
      <c r="O214" s="431"/>
      <c r="P214" s="459"/>
      <c r="Q214" s="423"/>
      <c r="R214" s="423"/>
      <c r="S214" s="420"/>
      <c r="T214" s="420"/>
      <c r="U214" s="420"/>
      <c r="V214" s="420"/>
      <c r="W214" s="424"/>
      <c r="X214" s="424"/>
      <c r="Y214" s="457"/>
      <c r="Z214" s="25">
        <f>SIN(RADIANS(P216))*$Z$4+$M$3</f>
        <v>1.7431148549531639</v>
      </c>
      <c r="AA214" s="25">
        <f>COS(RADIANS(P216))*$AA$4+$N$3</f>
        <v>-19.92389396183491</v>
      </c>
    </row>
    <row r="215" spans="15:27" ht="16.2" customHeight="1">
      <c r="O215" s="422"/>
      <c r="P215" s="422"/>
      <c r="Q215" s="422"/>
      <c r="R215" s="422"/>
      <c r="S215" s="422"/>
      <c r="T215" s="422"/>
      <c r="U215" s="422"/>
      <c r="V215" s="422"/>
      <c r="W215" s="422"/>
      <c r="X215" s="422"/>
      <c r="Y215" s="422"/>
      <c r="Z215" s="422"/>
      <c r="AA215" s="422"/>
    </row>
    <row r="216" spans="15:27" ht="16.2" customHeight="1">
      <c r="O216" s="431" t="s">
        <v>486</v>
      </c>
      <c r="P216" s="459">
        <f>P210+$M$9</f>
        <v>175</v>
      </c>
      <c r="Q216" s="423">
        <f>+$M$3</f>
        <v>0</v>
      </c>
      <c r="R216" s="423">
        <f>+$N$3</f>
        <v>0</v>
      </c>
      <c r="S216" s="420"/>
      <c r="T216" s="420"/>
      <c r="U216" s="420"/>
      <c r="V216" s="420"/>
      <c r="W216" s="424">
        <f>+Q216</f>
        <v>0</v>
      </c>
      <c r="X216" s="424">
        <f>+R216</f>
        <v>0</v>
      </c>
      <c r="Y216" s="457">
        <f ca="1">SIN(ATAN2(Q218-Q219,R218-R219))*WindTorque/((SQRT(POWER(Q223-Q217,2)+POWER(R223-R217,2))*$L$3)/(SQRT(POWER(Q224-Q218,2)+POWER(R224-R218,2))*$L$3*$L$4))</f>
        <v>-1085.205239657334</v>
      </c>
      <c r="Z216" s="25">
        <f t="shared" ref="Z216" ca="1" si="172">SIN(RADIANS(P216))*ABS(Y216)/100+$M$3</f>
        <v>0.94581868695985361</v>
      </c>
      <c r="AA216" s="25">
        <f t="shared" ref="AA216" ca="1" si="173">COS(RADIANS(P216))*ABS(Y216)/100+$N$3</f>
        <v>-10.810757060880183</v>
      </c>
    </row>
    <row r="217" spans="15:27" ht="16.2" customHeight="1">
      <c r="O217" s="431" t="s">
        <v>479</v>
      </c>
      <c r="P217" s="459"/>
      <c r="Q217" s="423">
        <f>+SIN(RADIANS($P216))*$L$3+$M$3</f>
        <v>2.0917378259437966</v>
      </c>
      <c r="R217" s="423">
        <f>+COS(RADIANS($P216))*$L$3+$N$3</f>
        <v>-23.908672754201895</v>
      </c>
      <c r="S217" s="420">
        <f>$L$6</f>
        <v>24.592682761320781</v>
      </c>
      <c r="T217" s="428">
        <f>DEGREES(ACOS((U217^2+V217^2-S217^2)/(2*U217*V217)))</f>
        <v>15.037909952251667</v>
      </c>
      <c r="U217" s="420">
        <f>SQRT((Q219-Q217)^2+(R219-R217)^2)</f>
        <v>49.115435608051342</v>
      </c>
      <c r="V217" s="420">
        <f>$L$3*$L$4</f>
        <v>26.400000000000002</v>
      </c>
      <c r="W217" s="424">
        <f t="shared" ref="W217" si="174">+Q217</f>
        <v>2.0917378259437966</v>
      </c>
      <c r="X217" s="424">
        <f t="shared" ref="X217" si="175">+R217</f>
        <v>-23.908672754201895</v>
      </c>
      <c r="Y217" s="457">
        <f t="shared" ref="Y217" si="176">DEGREES(ATAN2(Q218-Q219,R218-R219))</f>
        <v>-62.234890743087732</v>
      </c>
      <c r="Z217" s="25">
        <f ca="1">SIN(RADIANS(P222))*ABS(Y222)/100+$M$3</f>
        <v>1.0749464812730908E-15</v>
      </c>
      <c r="AA217" s="25">
        <f ca="1">COS(RADIANS(P222))*ABS(Y222)/100+$N$3</f>
        <v>-8.774010014592621</v>
      </c>
    </row>
    <row r="218" spans="15:27" ht="16.2" customHeight="1">
      <c r="O218" s="431" t="s">
        <v>480</v>
      </c>
      <c r="P218" s="459"/>
      <c r="Q218" s="423">
        <f>+COS(RADIANS(T217+DEGREES(ATAN2(Q217-Q219,R217-R219))))*$L$3*$L$4+Q219</f>
        <v>3.5695354890127735</v>
      </c>
      <c r="R218" s="423">
        <f>+SIN(RADIANS(T217+DEGREES(ATAN2(Q217-Q219,R217-R219))))*$L$3*$L$4+R219</f>
        <v>0.63956871980175478</v>
      </c>
      <c r="S218" s="428"/>
      <c r="T218" s="420"/>
      <c r="U218" s="422"/>
      <c r="V218" s="420"/>
      <c r="W218" s="424">
        <f>+Q218</f>
        <v>3.5695354890127735</v>
      </c>
      <c r="X218" s="424">
        <f>+R218</f>
        <v>0.63956871980175478</v>
      </c>
      <c r="Y218" s="457"/>
      <c r="Z218" s="422"/>
      <c r="AA218" s="422"/>
    </row>
    <row r="219" spans="15:27" ht="16.2" customHeight="1">
      <c r="O219" s="431" t="s">
        <v>150</v>
      </c>
      <c r="P219" s="459"/>
      <c r="Q219" s="423">
        <f>$M$4</f>
        <v>-8.7288485675670007</v>
      </c>
      <c r="R219" s="423">
        <f>$N$4</f>
        <v>24</v>
      </c>
      <c r="S219" s="428"/>
      <c r="T219" s="420"/>
      <c r="U219" s="420"/>
      <c r="V219" s="420"/>
      <c r="W219" s="424">
        <f>+Q219</f>
        <v>-8.7288485675670007</v>
      </c>
      <c r="X219" s="424">
        <f>+R219</f>
        <v>24</v>
      </c>
      <c r="Y219" s="457"/>
      <c r="Z219" s="25">
        <f>SIN(RADIANS(P216))*$Z$4+$M$3</f>
        <v>1.7431148549531639</v>
      </c>
      <c r="AA219" s="25">
        <f>COS(RADIANS(P216))*$AA$4+$N$3</f>
        <v>-19.92389396183491</v>
      </c>
    </row>
    <row r="220" spans="15:27" ht="16.2" customHeight="1">
      <c r="O220" s="431"/>
      <c r="P220" s="459"/>
      <c r="Q220" s="423"/>
      <c r="R220" s="423"/>
      <c r="S220" s="420"/>
      <c r="T220" s="420"/>
      <c r="U220" s="420"/>
      <c r="V220" s="420"/>
      <c r="W220" s="424"/>
      <c r="X220" s="424"/>
      <c r="Y220" s="457"/>
      <c r="Z220" s="25">
        <f>SIN(RADIANS(P222))*$Z$4+$M$3</f>
        <v>2.45029690981724E-15</v>
      </c>
      <c r="AA220" s="25">
        <f>COS(RADIANS(P222))*$AA$4+$N$3</f>
        <v>-20</v>
      </c>
    </row>
    <row r="221" spans="15:27" ht="16.2" customHeight="1">
      <c r="O221" s="422"/>
      <c r="P221" s="422"/>
      <c r="Q221" s="422"/>
      <c r="R221" s="422"/>
      <c r="S221" s="422"/>
      <c r="T221" s="422"/>
      <c r="U221" s="422"/>
      <c r="V221" s="422"/>
      <c r="W221" s="422"/>
      <c r="X221" s="422"/>
      <c r="Y221" s="422"/>
      <c r="Z221" s="422"/>
      <c r="AA221" s="422"/>
    </row>
    <row r="222" spans="15:27" ht="16.2" customHeight="1">
      <c r="O222" s="431" t="s">
        <v>486</v>
      </c>
      <c r="P222" s="459">
        <f>P216+$M$9</f>
        <v>180</v>
      </c>
      <c r="Q222" s="423">
        <f>+$M$3</f>
        <v>0</v>
      </c>
      <c r="R222" s="423">
        <f>+$N$3</f>
        <v>0</v>
      </c>
      <c r="S222" s="420"/>
      <c r="T222" s="420"/>
      <c r="U222" s="420"/>
      <c r="V222" s="420"/>
      <c r="W222" s="424">
        <f>+Q222</f>
        <v>0</v>
      </c>
      <c r="X222" s="424">
        <f>+R222</f>
        <v>0</v>
      </c>
      <c r="Y222" s="457">
        <f ca="1">SIN(ATAN2(Q224-Q225,R224-R225))*WindTorque/((SQRT(POWER(Q229-Q223,2)+POWER(R229-R223,2))*$L$3)/(SQRT(POWER(Q230-Q224,2)+POWER(R230-R224,2))*$L$3*$L$4))</f>
        <v>-877.40100145926203</v>
      </c>
      <c r="Z222" s="25">
        <f t="shared" ref="Z222" ca="1" si="177">SIN(RADIANS(P222))*ABS(Y222)/100+$M$3</f>
        <v>1.0749464812730908E-15</v>
      </c>
      <c r="AA222" s="25">
        <f t="shared" ref="AA222" ca="1" si="178">COS(RADIANS(P222))*ABS(Y222)/100+$N$3</f>
        <v>-8.774010014592621</v>
      </c>
    </row>
    <row r="223" spans="15:27" ht="16.2" customHeight="1">
      <c r="O223" s="431" t="s">
        <v>479</v>
      </c>
      <c r="P223" s="459"/>
      <c r="Q223" s="423">
        <f>+SIN(RADIANS($P222))*$L$3+$M$3</f>
        <v>2.940356291780688E-15</v>
      </c>
      <c r="R223" s="423">
        <f>+COS(RADIANS($P222))*$L$3+$N$3</f>
        <v>-24</v>
      </c>
      <c r="S223" s="420">
        <f>$L$6</f>
        <v>24.592682761320781</v>
      </c>
      <c r="T223" s="428">
        <f>DEGREES(ACOS((U223^2+V223^2-S223^2)/(2*U223*V223)))</f>
        <v>16.305726684142055</v>
      </c>
      <c r="U223" s="420">
        <f>SQRT((Q225-Q223)^2+(R225-R223)^2)</f>
        <v>48.787219610421708</v>
      </c>
      <c r="V223" s="420">
        <f>$L$3*$L$4</f>
        <v>26.400000000000002</v>
      </c>
      <c r="W223" s="424">
        <f t="shared" ref="W223" si="179">+Q223</f>
        <v>2.940356291780688E-15</v>
      </c>
      <c r="X223" s="424">
        <f t="shared" ref="X223" si="180">+R223</f>
        <v>-24</v>
      </c>
      <c r="Y223" s="457">
        <f t="shared" ref="Y223" si="181">DEGREES(ATAN2(Q224-Q225,R224-R225))</f>
        <v>-63.38760602948603</v>
      </c>
      <c r="Z223" s="25">
        <f ca="1">SIN(RADIANS(P228))*ABS(Y228)/100+$M$3</f>
        <v>-0.62283832927226868</v>
      </c>
      <c r="AA223" s="25">
        <f ca="1">COS(RADIANS(P228))*ABS(Y228)/100+$N$3</f>
        <v>-7.1190746797465412</v>
      </c>
    </row>
    <row r="224" spans="15:27" ht="16.2" customHeight="1">
      <c r="O224" s="431" t="s">
        <v>480</v>
      </c>
      <c r="P224" s="459"/>
      <c r="Q224" s="423">
        <f>+COS(RADIANS(T223+DEGREES(ATAN2(Q223-Q225,R223-R225))))*$L$3*$L$4+Q225</f>
        <v>3.0970973496754901</v>
      </c>
      <c r="R224" s="423">
        <f>+SIN(RADIANS(T223+DEGREES(ATAN2(Q223-Q225,R223-R225))))*$L$3*$L$4+R225</f>
        <v>0.3968857316993919</v>
      </c>
      <c r="S224" s="428"/>
      <c r="T224" s="420"/>
      <c r="U224" s="422"/>
      <c r="V224" s="420"/>
      <c r="W224" s="424">
        <f>+Q224</f>
        <v>3.0970973496754901</v>
      </c>
      <c r="X224" s="424">
        <f>+R224</f>
        <v>0.3968857316993919</v>
      </c>
      <c r="Y224" s="457"/>
      <c r="Z224" s="422"/>
      <c r="AA224" s="422"/>
    </row>
    <row r="225" spans="15:27" ht="16.2" customHeight="1">
      <c r="O225" s="431" t="s">
        <v>150</v>
      </c>
      <c r="P225" s="459"/>
      <c r="Q225" s="423">
        <f>$M$4</f>
        <v>-8.7288485675670007</v>
      </c>
      <c r="R225" s="423">
        <f>$N$4</f>
        <v>24</v>
      </c>
      <c r="S225" s="428"/>
      <c r="T225" s="420"/>
      <c r="U225" s="420"/>
      <c r="V225" s="420"/>
      <c r="W225" s="424">
        <f>+Q225</f>
        <v>-8.7288485675670007</v>
      </c>
      <c r="X225" s="424">
        <f>+R225</f>
        <v>24</v>
      </c>
      <c r="Y225" s="457"/>
      <c r="Z225" s="25">
        <f>SIN(RADIANS(P222))*$Z$4+$M$3</f>
        <v>2.45029690981724E-15</v>
      </c>
      <c r="AA225" s="25">
        <f>COS(RADIANS(P222))*$AA$4+$N$3</f>
        <v>-20</v>
      </c>
    </row>
    <row r="226" spans="15:27" ht="16.2" customHeight="1">
      <c r="O226" s="431"/>
      <c r="P226" s="459"/>
      <c r="Q226" s="423"/>
      <c r="R226" s="423"/>
      <c r="S226" s="420"/>
      <c r="T226" s="420"/>
      <c r="U226" s="420"/>
      <c r="V226" s="420"/>
      <c r="W226" s="424"/>
      <c r="X226" s="424"/>
      <c r="Y226" s="457"/>
      <c r="Z226" s="25">
        <f>SIN(RADIANS(P228))*$Z$4+$M$3</f>
        <v>-1.7431148549531588</v>
      </c>
      <c r="AA226" s="25">
        <f>COS(RADIANS(P228))*$AA$4+$N$3</f>
        <v>-19.92389396183491</v>
      </c>
    </row>
    <row r="227" spans="15:27" ht="16.2" customHeight="1">
      <c r="O227" s="422"/>
      <c r="P227" s="422"/>
      <c r="Q227" s="422"/>
      <c r="R227" s="422"/>
      <c r="S227" s="422"/>
      <c r="T227" s="422"/>
      <c r="U227" s="422"/>
      <c r="V227" s="422"/>
      <c r="W227" s="422"/>
      <c r="X227" s="422"/>
      <c r="Y227" s="422"/>
      <c r="Z227" s="422"/>
      <c r="AA227" s="422"/>
    </row>
    <row r="228" spans="15:27" ht="16.2" customHeight="1">
      <c r="O228" s="431" t="s">
        <v>486</v>
      </c>
      <c r="P228" s="459">
        <f>P222+$M$9</f>
        <v>185</v>
      </c>
      <c r="Q228" s="423">
        <f>+$M$3</f>
        <v>0</v>
      </c>
      <c r="R228" s="423">
        <f>+$N$3</f>
        <v>0</v>
      </c>
      <c r="S228" s="420"/>
      <c r="T228" s="420"/>
      <c r="U228" s="420"/>
      <c r="V228" s="420"/>
      <c r="W228" s="424">
        <f>+Q228</f>
        <v>0</v>
      </c>
      <c r="X228" s="424">
        <f>+R228</f>
        <v>0</v>
      </c>
      <c r="Y228" s="457">
        <f ca="1">SIN(ATAN2(Q230-Q231,R230-R231))*WindTorque/((SQRT(POWER(Q235-Q229,2)+POWER(R235-R229,2))*$L$3)/(SQRT(POWER(Q236-Q230,2)+POWER(R236-R230,2))*$L$3*$L$4))</f>
        <v>-714.62683884821308</v>
      </c>
      <c r="Z228" s="25">
        <f t="shared" ref="Z228" ca="1" si="182">SIN(RADIANS(P228))*ABS(Y228)/100+$M$3</f>
        <v>-0.62283832927226868</v>
      </c>
      <c r="AA228" s="25">
        <f t="shared" ref="AA228" ca="1" si="183">COS(RADIANS(P228))*ABS(Y228)/100+$N$3</f>
        <v>-7.1190746797465412</v>
      </c>
    </row>
    <row r="229" spans="15:27" ht="16.2" customHeight="1">
      <c r="O229" s="431" t="s">
        <v>479</v>
      </c>
      <c r="P229" s="459"/>
      <c r="Q229" s="423">
        <f>+SIN(RADIANS($P228))*$L$3+$M$3</f>
        <v>-2.0917378259437909</v>
      </c>
      <c r="R229" s="423">
        <f>+COS(RADIANS($P228))*$L$3+$N$3</f>
        <v>-23.908672754201895</v>
      </c>
      <c r="S229" s="420">
        <f>$L$6</f>
        <v>24.592682761320781</v>
      </c>
      <c r="T229" s="428">
        <f>DEGREES(ACOS((U229^2+V229^2-S229^2)/(2*U229*V229)))</f>
        <v>17.802632149380017</v>
      </c>
      <c r="U229" s="420">
        <f>SQRT((Q231-Q229)^2+(R231-R229)^2)</f>
        <v>48.366229582899855</v>
      </c>
      <c r="V229" s="420">
        <f>$L$3*$L$4</f>
        <v>26.400000000000002</v>
      </c>
      <c r="W229" s="424">
        <f t="shared" ref="W229" si="184">+Q229</f>
        <v>-2.0917378259437909</v>
      </c>
      <c r="X229" s="424">
        <f t="shared" ref="X229" si="185">+R229</f>
        <v>-23.908672754201895</v>
      </c>
      <c r="Y229" s="457">
        <f t="shared" ref="Y229" si="186">DEGREES(ATAN2(Q230-Q231,R230-R231))</f>
        <v>-64.31000160112086</v>
      </c>
      <c r="Z229" s="25">
        <f ca="1">SIN(RADIANS(P234))*ABS(Y234)/100+$M$3</f>
        <v>-1.0223325279414934</v>
      </c>
      <c r="AA229" s="25">
        <f ca="1">COS(RADIANS(P234))*ABS(Y234)/100+$N$3</f>
        <v>-5.7979358793184019</v>
      </c>
    </row>
    <row r="230" spans="15:27" ht="16.2" customHeight="1">
      <c r="O230" s="431" t="s">
        <v>480</v>
      </c>
      <c r="P230" s="459"/>
      <c r="Q230" s="423">
        <f>+COS(RADIANS(T229+DEGREES(ATAN2(Q229-Q231,R229-R231))))*$L$3*$L$4+Q231</f>
        <v>2.7155985615127864</v>
      </c>
      <c r="R230" s="423">
        <f>+SIN(RADIANS(T229+DEGREES(ATAN2(Q229-Q231,R229-R231))))*$L$3*$L$4+R231</f>
        <v>0.20956852199402576</v>
      </c>
      <c r="S230" s="428"/>
      <c r="T230" s="420"/>
      <c r="U230" s="422"/>
      <c r="V230" s="420"/>
      <c r="W230" s="424">
        <f>+Q230</f>
        <v>2.7155985615127864</v>
      </c>
      <c r="X230" s="424">
        <f>+R230</f>
        <v>0.20956852199402576</v>
      </c>
      <c r="Y230" s="457"/>
      <c r="Z230" s="422"/>
      <c r="AA230" s="422"/>
    </row>
    <row r="231" spans="15:27" ht="16.2" customHeight="1">
      <c r="O231" s="431" t="s">
        <v>150</v>
      </c>
      <c r="P231" s="459"/>
      <c r="Q231" s="423">
        <f>$M$4</f>
        <v>-8.7288485675670007</v>
      </c>
      <c r="R231" s="423">
        <f>$N$4</f>
        <v>24</v>
      </c>
      <c r="S231" s="428"/>
      <c r="T231" s="420"/>
      <c r="U231" s="420"/>
      <c r="V231" s="420"/>
      <c r="W231" s="424">
        <f>+Q231</f>
        <v>-8.7288485675670007</v>
      </c>
      <c r="X231" s="424">
        <f>+R231</f>
        <v>24</v>
      </c>
      <c r="Y231" s="457"/>
      <c r="Z231" s="25">
        <f>SIN(RADIANS(P228))*$Z$4+$M$3</f>
        <v>-1.7431148549531588</v>
      </c>
      <c r="AA231" s="25">
        <f>COS(RADIANS(P228))*$AA$4+$N$3</f>
        <v>-19.92389396183491</v>
      </c>
    </row>
    <row r="232" spans="15:27" ht="16.2" customHeight="1">
      <c r="O232" s="431"/>
      <c r="P232" s="459"/>
      <c r="Q232" s="423"/>
      <c r="R232" s="423"/>
      <c r="S232" s="420"/>
      <c r="T232" s="420"/>
      <c r="U232" s="420"/>
      <c r="V232" s="420"/>
      <c r="W232" s="424"/>
      <c r="X232" s="424"/>
      <c r="Y232" s="457"/>
      <c r="Z232" s="25">
        <f>SIN(RADIANS(P234))*$Z$4+$M$3</f>
        <v>-3.4729635533386096</v>
      </c>
      <c r="AA232" s="25">
        <f>COS(RADIANS(P234))*$AA$4+$N$3</f>
        <v>-19.696155060244159</v>
      </c>
    </row>
    <row r="233" spans="15:27" ht="16.2" customHeight="1">
      <c r="O233" s="422"/>
      <c r="P233" s="422"/>
      <c r="Q233" s="422"/>
      <c r="R233" s="422"/>
      <c r="S233" s="422"/>
      <c r="T233" s="422"/>
      <c r="U233" s="422"/>
      <c r="V233" s="422"/>
      <c r="W233" s="422"/>
      <c r="X233" s="422"/>
      <c r="Y233" s="422"/>
      <c r="Z233" s="422"/>
      <c r="AA233" s="422"/>
    </row>
    <row r="234" spans="15:27" ht="16.2" customHeight="1">
      <c r="O234" s="431" t="s">
        <v>486</v>
      </c>
      <c r="P234" s="459">
        <f>P228+$M$9</f>
        <v>190</v>
      </c>
      <c r="Q234" s="423">
        <f>+$M$3</f>
        <v>0</v>
      </c>
      <c r="R234" s="423">
        <f>+$N$3</f>
        <v>0</v>
      </c>
      <c r="S234" s="420"/>
      <c r="T234" s="420"/>
      <c r="U234" s="420"/>
      <c r="V234" s="420"/>
      <c r="W234" s="424">
        <f>+Q234</f>
        <v>0</v>
      </c>
      <c r="X234" s="424">
        <f>+R234</f>
        <v>0</v>
      </c>
      <c r="Y234" s="457">
        <f ca="1">SIN(ATAN2(Q236-Q237,R236-R237))*WindTorque/((SQRT(POWER(Q241-Q235,2)+POWER(R241-R235,2))*$L$3)/(SQRT(POWER(Q242-Q236,2)+POWER(R242-R236,2))*$L$3*$L$4))</f>
        <v>-588.73783858670822</v>
      </c>
      <c r="Z234" s="25">
        <f t="shared" ref="Z234" ca="1" si="187">SIN(RADIANS(P234))*ABS(Y234)/100+$M$3</f>
        <v>-1.0223325279414934</v>
      </c>
      <c r="AA234" s="25">
        <f t="shared" ref="AA234" ca="1" si="188">COS(RADIANS(P234))*ABS(Y234)/100+$N$3</f>
        <v>-5.7979358793184019</v>
      </c>
    </row>
    <row r="235" spans="15:27" ht="16.2" customHeight="1">
      <c r="O235" s="431" t="s">
        <v>479</v>
      </c>
      <c r="P235" s="459"/>
      <c r="Q235" s="423">
        <f>+SIN(RADIANS($P234))*$L$3+$M$3</f>
        <v>-4.1675562640063308</v>
      </c>
      <c r="R235" s="423">
        <f>+COS(RADIANS($P234))*$L$3+$N$3</f>
        <v>-23.635386072292992</v>
      </c>
      <c r="S235" s="420">
        <f>$L$6</f>
        <v>24.592682761320781</v>
      </c>
      <c r="T235" s="428">
        <f>DEGREES(ACOS((U235^2+V235^2-S235^2)/(2*U235*V235)))</f>
        <v>19.475002157736739</v>
      </c>
      <c r="U235" s="420">
        <f>SQRT((Q237-Q235)^2+(R237-R235)^2)</f>
        <v>47.853269415317136</v>
      </c>
      <c r="V235" s="420">
        <f>$L$3*$L$4</f>
        <v>26.400000000000002</v>
      </c>
      <c r="W235" s="424">
        <f t="shared" ref="W235" si="189">+Q235</f>
        <v>-4.1675562640063308</v>
      </c>
      <c r="X235" s="424">
        <f t="shared" ref="X235" si="190">+R235</f>
        <v>-23.635386072292992</v>
      </c>
      <c r="Y235" s="457">
        <f t="shared" ref="Y235" si="191">DEGREES(ATAN2(Q236-Q237,R236-R237))</f>
        <v>-65.055357630382247</v>
      </c>
      <c r="Z235" s="25">
        <f ca="1">SIN(RADIANS(P240))*ABS(Y240)/100+$M$3</f>
        <v>-1.2721732519194731</v>
      </c>
      <c r="AA235" s="25">
        <f ca="1">COS(RADIANS(P240))*ABS(Y240)/100+$N$3</f>
        <v>-4.7478152121935935</v>
      </c>
    </row>
    <row r="236" spans="15:27" ht="16.2" customHeight="1">
      <c r="O236" s="431" t="s">
        <v>480</v>
      </c>
      <c r="P236" s="459"/>
      <c r="Q236" s="423">
        <f>+COS(RADIANS(T235+DEGREES(ATAN2(Q235-Q237,R235-R237))))*$L$3*$L$4+Q237</f>
        <v>2.4051511774592047</v>
      </c>
      <c r="R236" s="423">
        <f>+SIN(RADIANS(T235+DEGREES(ATAN2(Q235-Q237,R235-R237))))*$L$3*$L$4+R237</f>
        <v>6.270588228994356E-2</v>
      </c>
      <c r="S236" s="428"/>
      <c r="T236" s="420"/>
      <c r="U236" s="422"/>
      <c r="V236" s="420"/>
      <c r="W236" s="424">
        <f>+Q236</f>
        <v>2.4051511774592047</v>
      </c>
      <c r="X236" s="424">
        <f>+R236</f>
        <v>6.270588228994356E-2</v>
      </c>
      <c r="Y236" s="457"/>
      <c r="Z236" s="422"/>
      <c r="AA236" s="422"/>
    </row>
    <row r="237" spans="15:27" ht="16.2" customHeight="1">
      <c r="O237" s="431" t="s">
        <v>150</v>
      </c>
      <c r="P237" s="459"/>
      <c r="Q237" s="423">
        <f>$M$4</f>
        <v>-8.7288485675670007</v>
      </c>
      <c r="R237" s="423">
        <f>$N$4</f>
        <v>24</v>
      </c>
      <c r="S237" s="428"/>
      <c r="T237" s="420"/>
      <c r="U237" s="420"/>
      <c r="V237" s="420"/>
      <c r="W237" s="424">
        <f>+Q237</f>
        <v>-8.7288485675670007</v>
      </c>
      <c r="X237" s="424">
        <f>+R237</f>
        <v>24</v>
      </c>
      <c r="Y237" s="457"/>
      <c r="Z237" s="25">
        <f>SIN(RADIANS(P234))*$Z$4+$M$3</f>
        <v>-3.4729635533386096</v>
      </c>
      <c r="AA237" s="25">
        <f>COS(RADIANS(P234))*$AA$4+$N$3</f>
        <v>-19.696155060244159</v>
      </c>
    </row>
    <row r="238" spans="15:27" ht="16.2" customHeight="1">
      <c r="O238" s="431"/>
      <c r="P238" s="459"/>
      <c r="Q238" s="423"/>
      <c r="R238" s="423"/>
      <c r="S238" s="420"/>
      <c r="T238" s="420"/>
      <c r="U238" s="420"/>
      <c r="V238" s="420"/>
      <c r="W238" s="424"/>
      <c r="X238" s="424"/>
      <c r="Y238" s="457"/>
      <c r="Z238" s="25">
        <f>SIN(RADIANS(P240))*$Z$4+$M$3</f>
        <v>-5.1763809020504157</v>
      </c>
      <c r="AA238" s="25">
        <f>COS(RADIANS(P240))*$AA$4+$N$3</f>
        <v>-19.318516525781366</v>
      </c>
    </row>
    <row r="239" spans="15:27" ht="16.2" customHeight="1">
      <c r="O239" s="422"/>
      <c r="P239" s="422"/>
      <c r="Q239" s="422"/>
      <c r="R239" s="422"/>
      <c r="S239" s="422"/>
      <c r="T239" s="422"/>
      <c r="U239" s="422"/>
      <c r="V239" s="422"/>
      <c r="W239" s="422"/>
      <c r="X239" s="422"/>
      <c r="Y239" s="422"/>
      <c r="Z239" s="422"/>
      <c r="AA239" s="422"/>
    </row>
    <row r="240" spans="15:27" ht="16.2" customHeight="1">
      <c r="O240" s="431" t="s">
        <v>486</v>
      </c>
      <c r="P240" s="459">
        <f>P234+$M$9</f>
        <v>195</v>
      </c>
      <c r="Q240" s="423">
        <f>+$M$3</f>
        <v>0</v>
      </c>
      <c r="R240" s="423">
        <f>+$N$3</f>
        <v>0</v>
      </c>
      <c r="S240" s="420"/>
      <c r="T240" s="420"/>
      <c r="U240" s="420"/>
      <c r="V240" s="420"/>
      <c r="W240" s="424">
        <f>+Q240</f>
        <v>0</v>
      </c>
      <c r="X240" s="424">
        <f>+R240</f>
        <v>0</v>
      </c>
      <c r="Y240" s="457">
        <f ca="1">SIN(ATAN2(Q242-Q243,R242-R243))*WindTorque/((SQRT(POWER(Q247-Q241,2)+POWER(R247-R241,2))*$L$3)/(SQRT(POWER(Q248-Q242,2)+POWER(R248-R242,2))*$L$3*$L$4))</f>
        <v>-491.52999981726714</v>
      </c>
      <c r="Z240" s="25">
        <f t="shared" ref="Z240" ca="1" si="192">SIN(RADIANS(P240))*ABS(Y240)/100+$M$3</f>
        <v>-1.2721732519194731</v>
      </c>
      <c r="AA240" s="25">
        <f t="shared" ref="AA240" ca="1" si="193">COS(RADIANS(P240))*ABS(Y240)/100+$N$3</f>
        <v>-4.7478152121935935</v>
      </c>
    </row>
    <row r="241" spans="15:27" ht="16.2" customHeight="1">
      <c r="O241" s="431" t="s">
        <v>479</v>
      </c>
      <c r="P241" s="459"/>
      <c r="Q241" s="423">
        <f>+SIN(RADIANS($P240))*$L$3+$M$3</f>
        <v>-6.2116570824604995</v>
      </c>
      <c r="R241" s="423">
        <f>+COS(RADIANS($P240))*$L$3+$N$3</f>
        <v>-23.18221983093764</v>
      </c>
      <c r="S241" s="420">
        <f>$L$6</f>
        <v>24.592682761320781</v>
      </c>
      <c r="T241" s="428">
        <f>DEGREES(ACOS((U241^2+V241^2-S241^2)/(2*U241*V241)))</f>
        <v>21.280498413403315</v>
      </c>
      <c r="U241" s="420">
        <f>SQRT((Q243-Q241)^2+(R243-R241)^2)</f>
        <v>47.249318737391526</v>
      </c>
      <c r="V241" s="420">
        <f>$L$3*$L$4</f>
        <v>26.400000000000002</v>
      </c>
      <c r="W241" s="424">
        <f t="shared" ref="W241" si="194">+Q241</f>
        <v>-6.2116570824604995</v>
      </c>
      <c r="X241" s="424">
        <f t="shared" ref="X241" si="195">+R241</f>
        <v>-23.18221983093764</v>
      </c>
      <c r="Y241" s="457">
        <f t="shared" ref="Y241" si="196">DEGREES(ATAN2(Q242-Q243,R242-R243))</f>
        <v>-65.665642564264857</v>
      </c>
      <c r="Z241" s="25">
        <f ca="1">SIN(RADIANS(P246))*ABS(Y246)/100+$M$3</f>
        <v>-1.4231861616152763</v>
      </c>
      <c r="AA241" s="25">
        <f ca="1">COS(RADIANS(P246))*ABS(Y246)/100+$N$3</f>
        <v>-3.9101718427182703</v>
      </c>
    </row>
    <row r="242" spans="15:27" ht="16.2" customHeight="1">
      <c r="O242" s="431" t="s">
        <v>480</v>
      </c>
      <c r="P242" s="459"/>
      <c r="Q242" s="423">
        <f>+COS(RADIANS(T241+DEGREES(ATAN2(Q241-Q243,R241-R243))))*$L$3*$L$4+Q243</f>
        <v>2.1495567610908193</v>
      </c>
      <c r="R242" s="423">
        <f>+SIN(RADIANS(T241+DEGREES(ATAN2(Q241-Q243,R241-R243))))*$L$3*$L$4+R243</f>
        <v>-5.45275884900569E-2</v>
      </c>
      <c r="S242" s="428"/>
      <c r="T242" s="420"/>
      <c r="U242" s="422"/>
      <c r="V242" s="420"/>
      <c r="W242" s="424">
        <f>+Q242</f>
        <v>2.1495567610908193</v>
      </c>
      <c r="X242" s="424">
        <f>+R242</f>
        <v>-5.45275884900569E-2</v>
      </c>
      <c r="Y242" s="457"/>
      <c r="Z242" s="422"/>
      <c r="AA242" s="422"/>
    </row>
    <row r="243" spans="15:27" ht="16.2" customHeight="1">
      <c r="O243" s="431" t="s">
        <v>150</v>
      </c>
      <c r="P243" s="459"/>
      <c r="Q243" s="423">
        <f>$M$4</f>
        <v>-8.7288485675670007</v>
      </c>
      <c r="R243" s="423">
        <f>$N$4</f>
        <v>24</v>
      </c>
      <c r="S243" s="428"/>
      <c r="T243" s="420"/>
      <c r="U243" s="420"/>
      <c r="V243" s="420"/>
      <c r="W243" s="424">
        <f>+Q243</f>
        <v>-8.7288485675670007</v>
      </c>
      <c r="X243" s="424">
        <f>+R243</f>
        <v>24</v>
      </c>
      <c r="Y243" s="457"/>
      <c r="Z243" s="25">
        <f>SIN(RADIANS(P240))*$Z$4+$M$3</f>
        <v>-5.1763809020504157</v>
      </c>
      <c r="AA243" s="25">
        <f>COS(RADIANS(P240))*$AA$4+$N$3</f>
        <v>-19.318516525781366</v>
      </c>
    </row>
    <row r="244" spans="15:27" ht="16.2" customHeight="1">
      <c r="O244" s="431"/>
      <c r="P244" s="459"/>
      <c r="Q244" s="423"/>
      <c r="R244" s="423"/>
      <c r="S244" s="420"/>
      <c r="T244" s="420"/>
      <c r="U244" s="420"/>
      <c r="V244" s="420"/>
      <c r="W244" s="424"/>
      <c r="X244" s="424"/>
      <c r="Y244" s="457"/>
      <c r="Z244" s="25">
        <f>SIN(RADIANS(P246))*$Z$4+$M$3</f>
        <v>-6.8404028665133731</v>
      </c>
      <c r="AA244" s="25">
        <f>COS(RADIANS(P246))*$AA$4+$N$3</f>
        <v>-18.79385241571817</v>
      </c>
    </row>
    <row r="245" spans="15:27" ht="16.2" customHeight="1">
      <c r="O245" s="422"/>
      <c r="P245" s="422"/>
      <c r="Q245" s="422"/>
      <c r="R245" s="422"/>
      <c r="S245" s="422"/>
      <c r="T245" s="422"/>
      <c r="U245" s="422"/>
      <c r="V245" s="422"/>
      <c r="W245" s="422"/>
      <c r="X245" s="422"/>
      <c r="Y245" s="422"/>
      <c r="Z245" s="422"/>
      <c r="AA245" s="422"/>
    </row>
    <row r="246" spans="15:27" ht="16.2" customHeight="1">
      <c r="O246" s="431" t="s">
        <v>486</v>
      </c>
      <c r="P246" s="459">
        <f>P240+$M$9</f>
        <v>200</v>
      </c>
      <c r="Q246" s="423">
        <f>+$M$3</f>
        <v>0</v>
      </c>
      <c r="R246" s="423">
        <f>+$N$3</f>
        <v>0</v>
      </c>
      <c r="S246" s="420"/>
      <c r="T246" s="420"/>
      <c r="U246" s="420"/>
      <c r="V246" s="420"/>
      <c r="W246" s="424">
        <f>+Q246</f>
        <v>0</v>
      </c>
      <c r="X246" s="424">
        <f>+R246</f>
        <v>0</v>
      </c>
      <c r="Y246" s="457">
        <f ca="1">SIN(ATAN2(Q248-Q249,R248-R249))*WindTorque/((SQRT(POWER(Q253-Q247,2)+POWER(R253-R247,2))*$L$3)/(SQRT(POWER(Q254-Q248,2)+POWER(R254-R248,2))*$L$3*$L$4))</f>
        <v>-416.11179615819611</v>
      </c>
      <c r="Z246" s="25">
        <f t="shared" ref="Z246" ca="1" si="197">SIN(RADIANS(P246))*ABS(Y246)/100+$M$3</f>
        <v>-1.4231861616152763</v>
      </c>
      <c r="AA246" s="25">
        <f t="shared" ref="AA246" ca="1" si="198">COS(RADIANS(P246))*ABS(Y246)/100+$N$3</f>
        <v>-3.9101718427182703</v>
      </c>
    </row>
    <row r="247" spans="15:27" ht="16.2" customHeight="1">
      <c r="O247" s="431" t="s">
        <v>479</v>
      </c>
      <c r="P247" s="459"/>
      <c r="Q247" s="423">
        <f>+SIN(RADIANS($P246))*$L$3+$M$3</f>
        <v>-8.2084834398160478</v>
      </c>
      <c r="R247" s="423">
        <f>+COS(RADIANS($P246))*$L$3+$N$3</f>
        <v>-22.552622898861802</v>
      </c>
      <c r="S247" s="420">
        <f>$L$6</f>
        <v>24.592682761320781</v>
      </c>
      <c r="T247" s="428">
        <f>DEGREES(ACOS((U247^2+V247^2-S247^2)/(2*U247*V247)))</f>
        <v>23.186896555564267</v>
      </c>
      <c r="U247" s="420">
        <f>SQRT((Q249-Q247)^2+(R249-R247)^2)</f>
        <v>46.555531128210866</v>
      </c>
      <c r="V247" s="420">
        <f>$L$3*$L$4</f>
        <v>26.400000000000002</v>
      </c>
      <c r="W247" s="424">
        <f t="shared" ref="W247" si="199">+Q247</f>
        <v>-8.2084834398160478</v>
      </c>
      <c r="X247" s="424">
        <f t="shared" ref="X247" si="200">+R247</f>
        <v>-22.552622898861802</v>
      </c>
      <c r="Y247" s="457">
        <f t="shared" ref="Y247" si="201">DEGREES(ATAN2(Q248-Q249,R248-R249))</f>
        <v>-66.172678005381528</v>
      </c>
      <c r="Z247" s="25">
        <f ca="1">SIN(RADIANS(P252))*ABS(Y252)/100+$M$3</f>
        <v>-1.5093172908544381</v>
      </c>
      <c r="AA247" s="25">
        <f ca="1">COS(RADIANS(P252))*ABS(Y252)/100+$N$3</f>
        <v>-3.2367413754820817</v>
      </c>
    </row>
    <row r="248" spans="15:27" ht="16.2" customHeight="1">
      <c r="O248" s="431" t="s">
        <v>480</v>
      </c>
      <c r="P248" s="459"/>
      <c r="Q248" s="423">
        <f>+COS(RADIANS(T247+DEGREES(ATAN2(Q247-Q249,R247-R249))))*$L$3*$L$4+Q249</f>
        <v>1.936264536982419</v>
      </c>
      <c r="R248" s="423">
        <f>+SIN(RADIANS(T247+DEGREES(ATAN2(Q247-Q249,R247-R249))))*$L$3*$L$4+R249</f>
        <v>-0.14985222454101077</v>
      </c>
      <c r="S248" s="428"/>
      <c r="T248" s="420"/>
      <c r="U248" s="422"/>
      <c r="V248" s="420"/>
      <c r="W248" s="424">
        <f>+Q248</f>
        <v>1.936264536982419</v>
      </c>
      <c r="X248" s="424">
        <f>+R248</f>
        <v>-0.14985222454101077</v>
      </c>
      <c r="Y248" s="457"/>
      <c r="Z248" s="422"/>
      <c r="AA248" s="422"/>
    </row>
    <row r="249" spans="15:27" ht="16.2" customHeight="1">
      <c r="O249" s="431" t="s">
        <v>150</v>
      </c>
      <c r="P249" s="459"/>
      <c r="Q249" s="423">
        <f>$M$4</f>
        <v>-8.7288485675670007</v>
      </c>
      <c r="R249" s="423">
        <f>$N$4</f>
        <v>24</v>
      </c>
      <c r="S249" s="428"/>
      <c r="T249" s="420"/>
      <c r="U249" s="420"/>
      <c r="V249" s="420"/>
      <c r="W249" s="424">
        <f>+Q249</f>
        <v>-8.7288485675670007</v>
      </c>
      <c r="X249" s="424">
        <f>+R249</f>
        <v>24</v>
      </c>
      <c r="Y249" s="457"/>
      <c r="Z249" s="25">
        <f>SIN(RADIANS(P246))*$Z$4+$M$3</f>
        <v>-6.8404028665133731</v>
      </c>
      <c r="AA249" s="25">
        <f>COS(RADIANS(P246))*$AA$4+$N$3</f>
        <v>-18.79385241571817</v>
      </c>
    </row>
    <row r="250" spans="15:27" ht="16.2" customHeight="1">
      <c r="O250" s="431"/>
      <c r="P250" s="459"/>
      <c r="Q250" s="423"/>
      <c r="R250" s="423"/>
      <c r="S250" s="420"/>
      <c r="T250" s="420"/>
      <c r="U250" s="420"/>
      <c r="V250" s="420"/>
      <c r="W250" s="424"/>
      <c r="X250" s="424"/>
      <c r="Y250" s="457"/>
      <c r="Z250" s="25">
        <f>SIN(RADIANS(P252))*$Z$4+$M$3</f>
        <v>-8.4523652348139855</v>
      </c>
      <c r="AA250" s="25">
        <f>COS(RADIANS(P252))*$AA$4+$N$3</f>
        <v>-18.126155740733001</v>
      </c>
    </row>
    <row r="251" spans="15:27" ht="16.2" customHeight="1">
      <c r="O251" s="422"/>
      <c r="P251" s="422"/>
      <c r="Q251" s="422"/>
      <c r="R251" s="422"/>
      <c r="S251" s="422"/>
      <c r="T251" s="422"/>
      <c r="U251" s="422"/>
      <c r="V251" s="422"/>
      <c r="W251" s="422"/>
      <c r="X251" s="422"/>
      <c r="Y251" s="422"/>
      <c r="Z251" s="422"/>
      <c r="AA251" s="422"/>
    </row>
    <row r="252" spans="15:27" ht="16.2" customHeight="1">
      <c r="O252" s="431" t="s">
        <v>486</v>
      </c>
      <c r="P252" s="459">
        <f>P246+$M$9</f>
        <v>205</v>
      </c>
      <c r="Q252" s="423">
        <f>+$M$3</f>
        <v>0</v>
      </c>
      <c r="R252" s="423">
        <f>+$N$3</f>
        <v>0</v>
      </c>
      <c r="S252" s="420"/>
      <c r="T252" s="420"/>
      <c r="U252" s="420"/>
      <c r="V252" s="420"/>
      <c r="W252" s="424">
        <f>+Q252</f>
        <v>0</v>
      </c>
      <c r="X252" s="424">
        <f>+R252</f>
        <v>0</v>
      </c>
      <c r="Y252" s="457">
        <f ca="1">SIN(ATAN2(Q254-Q255,R254-R255))*WindTorque/((SQRT(POWER(Q259-Q253,2)+POWER(R259-R253,2))*$L$3)/(SQRT(POWER(Q260-Q254,2)+POWER(R260-R254,2))*$L$3*$L$4))</f>
        <v>-357.13489630992126</v>
      </c>
      <c r="Z252" s="25">
        <f t="shared" ref="Z252" ca="1" si="202">SIN(RADIANS(P252))*ABS(Y252)/100+$M$3</f>
        <v>-1.5093172908544381</v>
      </c>
      <c r="AA252" s="25">
        <f t="shared" ref="AA252" ca="1" si="203">COS(RADIANS(P252))*ABS(Y252)/100+$N$3</f>
        <v>-3.2367413754820817</v>
      </c>
    </row>
    <row r="253" spans="15:27" ht="16.2" customHeight="1">
      <c r="O253" s="431" t="s">
        <v>479</v>
      </c>
      <c r="P253" s="459"/>
      <c r="Q253" s="423">
        <f>+SIN(RADIANS($P252))*$L$3+$M$3</f>
        <v>-10.142838281776783</v>
      </c>
      <c r="R253" s="423">
        <f>+COS(RADIANS($P252))*$L$3+$N$3</f>
        <v>-21.751386888879601</v>
      </c>
      <c r="S253" s="420">
        <f>$L$6</f>
        <v>24.592682761320781</v>
      </c>
      <c r="T253" s="428">
        <f>DEGREES(ACOS((U253^2+V253^2-S253^2)/(2*U253*V253)))</f>
        <v>25.169995106155508</v>
      </c>
      <c r="U253" s="420">
        <f>SQRT((Q255-Q253)^2+(R255-R253)^2)</f>
        <v>45.773232015751688</v>
      </c>
      <c r="V253" s="420">
        <f>$L$3*$L$4</f>
        <v>26.400000000000002</v>
      </c>
      <c r="W253" s="424">
        <f t="shared" ref="W253" si="204">+Q253</f>
        <v>-10.142838281776783</v>
      </c>
      <c r="X253" s="424">
        <f t="shared" ref="X253" si="205">+R253</f>
        <v>-21.751386888879601</v>
      </c>
      <c r="Y253" s="457">
        <f t="shared" ref="Y253" si="206">DEGREES(ATAN2(Q254-Q255,R254-R255))</f>
        <v>-66.600221458041332</v>
      </c>
      <c r="Z253" s="25">
        <f ca="1">SIN(RADIANS(P258))*ABS(Y258)/100+$M$3</f>
        <v>-1.5529790000304835</v>
      </c>
      <c r="AA253" s="25">
        <f ca="1">COS(RADIANS(P258))*ABS(Y258)/100+$N$3</f>
        <v>-2.6898385311403059</v>
      </c>
    </row>
    <row r="254" spans="15:27" ht="16.2" customHeight="1">
      <c r="O254" s="431" t="s">
        <v>480</v>
      </c>
      <c r="P254" s="459"/>
      <c r="Q254" s="423">
        <f>+COS(RADIANS(T253+DEGREES(ATAN2(Q253-Q255,R253-R255))))*$L$3*$L$4+Q255</f>
        <v>1.7557620969351397</v>
      </c>
      <c r="R254" s="423">
        <f>+SIN(RADIANS(T253+DEGREES(ATAN2(Q253-Q255,R253-R255))))*$L$3*$L$4+R255</f>
        <v>-0.22876264306141181</v>
      </c>
      <c r="S254" s="428"/>
      <c r="T254" s="420"/>
      <c r="U254" s="422"/>
      <c r="V254" s="420"/>
      <c r="W254" s="424">
        <f>+Q254</f>
        <v>1.7557620969351397</v>
      </c>
      <c r="X254" s="424">
        <f>+R254</f>
        <v>-0.22876264306141181</v>
      </c>
      <c r="Y254" s="457"/>
      <c r="Z254" s="422"/>
      <c r="AA254" s="422"/>
    </row>
    <row r="255" spans="15:27" ht="16.2" customHeight="1">
      <c r="O255" s="431" t="s">
        <v>150</v>
      </c>
      <c r="P255" s="459"/>
      <c r="Q255" s="423">
        <f>$M$4</f>
        <v>-8.7288485675670007</v>
      </c>
      <c r="R255" s="423">
        <f>$N$4</f>
        <v>24</v>
      </c>
      <c r="S255" s="428"/>
      <c r="T255" s="420"/>
      <c r="U255" s="420"/>
      <c r="V255" s="420"/>
      <c r="W255" s="424">
        <f>+Q255</f>
        <v>-8.7288485675670007</v>
      </c>
      <c r="X255" s="424">
        <f>+R255</f>
        <v>24</v>
      </c>
      <c r="Y255" s="457"/>
      <c r="Z255" s="25">
        <f>SIN(RADIANS(P252))*$Z$4+$M$3</f>
        <v>-8.4523652348139855</v>
      </c>
      <c r="AA255" s="25">
        <f>COS(RADIANS(P252))*$AA$4+$N$3</f>
        <v>-18.126155740733001</v>
      </c>
    </row>
    <row r="256" spans="15:27" ht="16.2" customHeight="1">
      <c r="O256" s="431"/>
      <c r="P256" s="459"/>
      <c r="Q256" s="423"/>
      <c r="R256" s="423"/>
      <c r="S256" s="420"/>
      <c r="T256" s="420"/>
      <c r="U256" s="420"/>
      <c r="V256" s="420"/>
      <c r="W256" s="424"/>
      <c r="X256" s="424"/>
      <c r="Y256" s="457"/>
      <c r="Z256" s="25">
        <f>SIN(RADIANS(P258))*$Z$4+$M$3</f>
        <v>-10.000000000000002</v>
      </c>
      <c r="AA256" s="25">
        <f>COS(RADIANS(P258))*$AA$4+$N$3</f>
        <v>-17.320508075688771</v>
      </c>
    </row>
    <row r="257" spans="15:27" ht="16.2" customHeight="1">
      <c r="O257" s="422"/>
      <c r="P257" s="422"/>
      <c r="Q257" s="422"/>
      <c r="R257" s="422"/>
      <c r="S257" s="422"/>
      <c r="T257" s="422"/>
      <c r="U257" s="422"/>
      <c r="V257" s="422"/>
      <c r="W257" s="422"/>
      <c r="X257" s="422"/>
      <c r="Y257" s="422"/>
      <c r="Z257" s="422"/>
      <c r="AA257" s="422"/>
    </row>
    <row r="258" spans="15:27" ht="16.2" customHeight="1">
      <c r="O258" s="431" t="s">
        <v>486</v>
      </c>
      <c r="P258" s="459">
        <f>P252+$M$9</f>
        <v>210</v>
      </c>
      <c r="Q258" s="423">
        <f>+$M$3</f>
        <v>0</v>
      </c>
      <c r="R258" s="423">
        <f>+$N$3</f>
        <v>0</v>
      </c>
      <c r="S258" s="420"/>
      <c r="T258" s="420"/>
      <c r="U258" s="420"/>
      <c r="V258" s="420"/>
      <c r="W258" s="424">
        <f>+Q258</f>
        <v>0</v>
      </c>
      <c r="X258" s="424">
        <f>+R258</f>
        <v>0</v>
      </c>
      <c r="Y258" s="457">
        <f ca="1">SIN(ATAN2(Q260-Q261,R260-R261))*WindTorque/((SQRT(POWER(Q265-Q259,2)+POWER(R265-R259,2))*$L$3)/(SQRT(POWER(Q266-Q260,2)+POWER(R266-R260,2))*$L$3*$L$4))</f>
        <v>-310.59580000609662</v>
      </c>
      <c r="Z258" s="25">
        <f t="shared" ref="Z258" ca="1" si="207">SIN(RADIANS(P258))*ABS(Y258)/100+$M$3</f>
        <v>-1.5529790000304835</v>
      </c>
      <c r="AA258" s="25">
        <f t="shared" ref="AA258" ca="1" si="208">COS(RADIANS(P258))*ABS(Y258)/100+$N$3</f>
        <v>-2.6898385311403059</v>
      </c>
    </row>
    <row r="259" spans="15:27" ht="16.2" customHeight="1">
      <c r="O259" s="431" t="s">
        <v>479</v>
      </c>
      <c r="P259" s="459"/>
      <c r="Q259" s="423">
        <f>+SIN(RADIANS($P258))*$L$3+$M$3</f>
        <v>-12.000000000000004</v>
      </c>
      <c r="R259" s="423">
        <f>+COS(RADIANS($P258))*$L$3+$N$3</f>
        <v>-20.784609690826528</v>
      </c>
      <c r="S259" s="420">
        <f>$L$6</f>
        <v>24.592682761320781</v>
      </c>
      <c r="T259" s="428">
        <f>DEGREES(ACOS((U259^2+V259^2-S259^2)/(2*U259*V259)))</f>
        <v>27.211599447349926</v>
      </c>
      <c r="U259" s="420">
        <f>SQRT((Q261-Q259)^2+(R261-R259)^2)</f>
        <v>44.903916275237975</v>
      </c>
      <c r="V259" s="420">
        <f>$L$3*$L$4</f>
        <v>26.400000000000002</v>
      </c>
      <c r="W259" s="424">
        <f t="shared" ref="W259" si="209">+Q259</f>
        <v>-12.000000000000004</v>
      </c>
      <c r="X259" s="424">
        <f t="shared" ref="X259" si="210">+R259</f>
        <v>-20.784609690826528</v>
      </c>
      <c r="Y259" s="457">
        <f t="shared" ref="Y259" si="211">DEGREES(ATAN2(Q260-Q261,R260-R261))</f>
        <v>-66.965972433028227</v>
      </c>
      <c r="Z259" s="25">
        <f ca="1">SIN(RADIANS(P264))*ABS(Y264)/100+$M$3</f>
        <v>-1.5689703377738604</v>
      </c>
      <c r="AA259" s="25">
        <f ca="1">COS(RADIANS(P264))*ABS(Y264)/100+$N$3</f>
        <v>-2.2407218605292405</v>
      </c>
    </row>
    <row r="260" spans="15:27" ht="16.2" customHeight="1">
      <c r="O260" s="431" t="s">
        <v>480</v>
      </c>
      <c r="P260" s="459"/>
      <c r="Q260" s="423">
        <f>+COS(RADIANS(T259+DEGREES(ATAN2(Q259-Q261,R259-R261))))*$L$3*$L$4+Q261</f>
        <v>1.6008837951659682</v>
      </c>
      <c r="R260" s="423">
        <f>+SIN(RADIANS(T259+DEGREES(ATAN2(Q259-Q261,R259-R261))))*$L$3*$L$4+R261</f>
        <v>-0.2951976595027368</v>
      </c>
      <c r="S260" s="428"/>
      <c r="T260" s="420"/>
      <c r="U260" s="422"/>
      <c r="V260" s="420"/>
      <c r="W260" s="424">
        <f>+Q260</f>
        <v>1.6008837951659682</v>
      </c>
      <c r="X260" s="424">
        <f>+R260</f>
        <v>-0.2951976595027368</v>
      </c>
      <c r="Y260" s="457"/>
      <c r="Z260" s="422"/>
      <c r="AA260" s="422"/>
    </row>
    <row r="261" spans="15:27" ht="16.2" customHeight="1">
      <c r="O261" s="431" t="s">
        <v>150</v>
      </c>
      <c r="P261" s="459"/>
      <c r="Q261" s="423">
        <f>$M$4</f>
        <v>-8.7288485675670007</v>
      </c>
      <c r="R261" s="423">
        <f>$N$4</f>
        <v>24</v>
      </c>
      <c r="S261" s="428"/>
      <c r="T261" s="420"/>
      <c r="U261" s="420"/>
      <c r="V261" s="420"/>
      <c r="W261" s="424">
        <f>+Q261</f>
        <v>-8.7288485675670007</v>
      </c>
      <c r="X261" s="424">
        <f>+R261</f>
        <v>24</v>
      </c>
      <c r="Y261" s="457"/>
      <c r="Z261" s="25">
        <f>SIN(RADIANS(P258))*$Z$4+$M$3</f>
        <v>-10.000000000000002</v>
      </c>
      <c r="AA261" s="25">
        <f>COS(RADIANS(P258))*$AA$4+$N$3</f>
        <v>-17.320508075688771</v>
      </c>
    </row>
    <row r="262" spans="15:27" ht="16.2" customHeight="1">
      <c r="O262" s="431"/>
      <c r="P262" s="459"/>
      <c r="Q262" s="423"/>
      <c r="R262" s="423"/>
      <c r="S262" s="420"/>
      <c r="T262" s="420"/>
      <c r="U262" s="420"/>
      <c r="V262" s="420"/>
      <c r="W262" s="424"/>
      <c r="X262" s="424"/>
      <c r="Y262" s="457"/>
      <c r="Z262" s="25">
        <f>SIN(RADIANS(P264))*$Z$4+$M$3</f>
        <v>-11.471528727020923</v>
      </c>
      <c r="AA262" s="25">
        <f>COS(RADIANS(P264))*$AA$4+$N$3</f>
        <v>-16.383040885779835</v>
      </c>
    </row>
    <row r="263" spans="15:27" ht="16.2" customHeight="1">
      <c r="O263" s="422"/>
      <c r="P263" s="422"/>
      <c r="Q263" s="422"/>
      <c r="R263" s="422"/>
      <c r="S263" s="422"/>
      <c r="T263" s="422"/>
      <c r="U263" s="422"/>
      <c r="V263" s="422"/>
      <c r="W263" s="422"/>
      <c r="X263" s="422"/>
      <c r="Y263" s="422"/>
      <c r="Z263" s="422"/>
      <c r="AA263" s="422"/>
    </row>
    <row r="264" spans="15:27" ht="16.2" customHeight="1">
      <c r="O264" s="431" t="s">
        <v>486</v>
      </c>
      <c r="P264" s="459">
        <f>P258+$M$9</f>
        <v>215</v>
      </c>
      <c r="Q264" s="423">
        <f>+$M$3</f>
        <v>0</v>
      </c>
      <c r="R264" s="423">
        <f>+$N$3</f>
        <v>0</v>
      </c>
      <c r="S264" s="420"/>
      <c r="T264" s="420"/>
      <c r="U264" s="420"/>
      <c r="V264" s="420"/>
      <c r="W264" s="424">
        <f>+Q264</f>
        <v>0</v>
      </c>
      <c r="X264" s="424">
        <f>+R264</f>
        <v>0</v>
      </c>
      <c r="Y264" s="457">
        <f ca="1">SIN(ATAN2(Q266-Q267,R266-R267))*WindTorque/((SQRT(POWER(Q271-Q265,2)+POWER(R271-R265,2))*$L$3)/(SQRT(POWER(Q272-Q266,2)+POWER(R272-R266,2))*$L$3*$L$4))</f>
        <v>-273.54163078163884</v>
      </c>
      <c r="Z264" s="25">
        <f t="shared" ref="Z264" ca="1" si="212">SIN(RADIANS(P264))*ABS(Y264)/100+$M$3</f>
        <v>-1.5689703377738604</v>
      </c>
      <c r="AA264" s="25">
        <f t="shared" ref="AA264" ca="1" si="213">COS(RADIANS(P264))*ABS(Y264)/100+$N$3</f>
        <v>-2.2407218605292405</v>
      </c>
    </row>
    <row r="265" spans="15:27" ht="16.2" customHeight="1">
      <c r="O265" s="431" t="s">
        <v>479</v>
      </c>
      <c r="P265" s="459"/>
      <c r="Q265" s="423">
        <f>+SIN(RADIANS($P264))*$L$3+$M$3</f>
        <v>-13.765834472425109</v>
      </c>
      <c r="R265" s="423">
        <f>+COS(RADIANS($P264))*$L$3+$N$3</f>
        <v>-19.659649062935802</v>
      </c>
      <c r="S265" s="420">
        <f>$L$6</f>
        <v>24.592682761320781</v>
      </c>
      <c r="T265" s="428">
        <f>DEGREES(ACOS((U265^2+V265^2-S265^2)/(2*U265*V265)))</f>
        <v>29.297890658430518</v>
      </c>
      <c r="U265" s="420">
        <f>SQRT((Q267-Q265)^2+(R267-R265)^2)</f>
        <v>43.949245537374701</v>
      </c>
      <c r="V265" s="420">
        <f>$L$3*$L$4</f>
        <v>26.400000000000002</v>
      </c>
      <c r="W265" s="424">
        <f t="shared" ref="W265" si="214">+Q265</f>
        <v>-13.765834472425109</v>
      </c>
      <c r="X265" s="424">
        <f t="shared" ref="X265" si="215">+R265</f>
        <v>-19.659649062935802</v>
      </c>
      <c r="Y265" s="457">
        <f t="shared" ref="Y265" si="216">DEGREES(ATAN2(Q266-Q267,R266-R267))</f>
        <v>-67.283191584590426</v>
      </c>
      <c r="Z265" s="25">
        <f ca="1">SIN(RADIANS(P270))*ABS(Y270)/100+$M$3</f>
        <v>-1.5671320150806423</v>
      </c>
      <c r="AA265" s="25">
        <f ca="1">COS(RADIANS(P270))*ABS(Y270)/100+$N$3</f>
        <v>-1.8676352090417592</v>
      </c>
    </row>
    <row r="266" spans="15:27" ht="16.2" customHeight="1">
      <c r="O266" s="431" t="s">
        <v>480</v>
      </c>
      <c r="P266" s="459"/>
      <c r="Q266" s="423">
        <f>+COS(RADIANS(T265+DEGREES(ATAN2(Q265-Q267,R265-R267))))*$L$3*$L$4+Q267</f>
        <v>1.4662153490912733</v>
      </c>
      <c r="R266" s="423">
        <f>+SIN(RADIANS(T265+DEGREES(ATAN2(Q265-Q267,R265-R267))))*$L$3*$L$4+R267</f>
        <v>-0.3520157632844132</v>
      </c>
      <c r="S266" s="428"/>
      <c r="T266" s="420"/>
      <c r="U266" s="422"/>
      <c r="V266" s="420"/>
      <c r="W266" s="424">
        <f>+Q266</f>
        <v>1.4662153490912733</v>
      </c>
      <c r="X266" s="424">
        <f>+R266</f>
        <v>-0.3520157632844132</v>
      </c>
      <c r="Y266" s="457"/>
      <c r="Z266" s="422"/>
      <c r="AA266" s="422"/>
    </row>
    <row r="267" spans="15:27" ht="16.2" customHeight="1">
      <c r="O267" s="431" t="s">
        <v>150</v>
      </c>
      <c r="P267" s="459"/>
      <c r="Q267" s="423">
        <f>$M$4</f>
        <v>-8.7288485675670007</v>
      </c>
      <c r="R267" s="423">
        <f>$N$4</f>
        <v>24</v>
      </c>
      <c r="S267" s="428"/>
      <c r="T267" s="420"/>
      <c r="U267" s="420"/>
      <c r="V267" s="420"/>
      <c r="W267" s="424">
        <f>+Q267</f>
        <v>-8.7288485675670007</v>
      </c>
      <c r="X267" s="424">
        <f>+R267</f>
        <v>24</v>
      </c>
      <c r="Y267" s="457"/>
      <c r="Z267" s="25">
        <f>SIN(RADIANS(P264))*$Z$4+$M$3</f>
        <v>-11.471528727020923</v>
      </c>
      <c r="AA267" s="25">
        <f>COS(RADIANS(P264))*$AA$4+$N$3</f>
        <v>-16.383040885779835</v>
      </c>
    </row>
    <row r="268" spans="15:27" ht="16.2" customHeight="1">
      <c r="O268" s="431"/>
      <c r="P268" s="459"/>
      <c r="Q268" s="423"/>
      <c r="R268" s="423"/>
      <c r="S268" s="420"/>
      <c r="T268" s="420"/>
      <c r="U268" s="420"/>
      <c r="V268" s="420"/>
      <c r="W268" s="424"/>
      <c r="X268" s="424"/>
      <c r="Y268" s="457"/>
      <c r="Z268" s="25">
        <f>SIN(RADIANS(P270))*$Z$4+$M$3</f>
        <v>-12.855752193730785</v>
      </c>
      <c r="AA268" s="25">
        <f>COS(RADIANS(P270))*$AA$4+$N$3</f>
        <v>-15.32088886237956</v>
      </c>
    </row>
    <row r="269" spans="15:27" ht="16.2" customHeight="1">
      <c r="O269" s="422"/>
      <c r="P269" s="422"/>
      <c r="Q269" s="422"/>
      <c r="R269" s="422"/>
      <c r="S269" s="422"/>
      <c r="T269" s="422"/>
      <c r="U269" s="422"/>
      <c r="V269" s="422"/>
      <c r="W269" s="422"/>
      <c r="X269" s="422"/>
      <c r="Y269" s="422"/>
      <c r="Z269" s="422"/>
      <c r="AA269" s="422"/>
    </row>
    <row r="270" spans="15:27" ht="16.2" customHeight="1">
      <c r="O270" s="431" t="s">
        <v>486</v>
      </c>
      <c r="P270" s="459">
        <f>P264+$M$9</f>
        <v>220</v>
      </c>
      <c r="Q270" s="423">
        <f>+$M$3</f>
        <v>0</v>
      </c>
      <c r="R270" s="423">
        <f>+$N$3</f>
        <v>0</v>
      </c>
      <c r="S270" s="420"/>
      <c r="T270" s="420"/>
      <c r="U270" s="420"/>
      <c r="V270" s="420"/>
      <c r="W270" s="424">
        <f>+Q270</f>
        <v>0</v>
      </c>
      <c r="X270" s="424">
        <f>+R270</f>
        <v>0</v>
      </c>
      <c r="Y270" s="457">
        <f ca="1">SIN(ATAN2(Q272-Q273,R272-R273))*WindTorque/((SQRT(POWER(Q277-Q271,2)+POWER(R277-R271,2))*$L$3)/(SQRT(POWER(Q278-Q272,2)+POWER(R278-R272,2))*$L$3*$L$4))</f>
        <v>-243.80246156967266</v>
      </c>
      <c r="Z270" s="25">
        <f t="shared" ref="Z270" ca="1" si="217">SIN(RADIANS(P270))*ABS(Y270)/100+$M$3</f>
        <v>-1.5671320150806423</v>
      </c>
      <c r="AA270" s="25">
        <f t="shared" ref="AA270" ca="1" si="218">COS(RADIANS(P270))*ABS(Y270)/100+$N$3</f>
        <v>-1.8676352090417592</v>
      </c>
    </row>
    <row r="271" spans="15:27" ht="16.2" customHeight="1">
      <c r="O271" s="431" t="s">
        <v>479</v>
      </c>
      <c r="P271" s="459"/>
      <c r="Q271" s="423">
        <f>+SIN(RADIANS($P270))*$L$3+$M$3</f>
        <v>-15.426902632476942</v>
      </c>
      <c r="R271" s="423">
        <f>+COS(RADIANS($P270))*$L$3+$N$3</f>
        <v>-18.385066634855473</v>
      </c>
      <c r="S271" s="420">
        <f>$L$6</f>
        <v>24.592682761320781</v>
      </c>
      <c r="T271" s="428">
        <f>DEGREES(ACOS((U271^2+V271^2-S271^2)/(2*U271*V271)))</f>
        <v>31.418196956817521</v>
      </c>
      <c r="U271" s="420">
        <f>SQRT((Q273-Q271)^2+(R273-R271)^2)</f>
        <v>42.911045220287932</v>
      </c>
      <c r="V271" s="420">
        <f>$L$3*$L$4</f>
        <v>26.400000000000002</v>
      </c>
      <c r="W271" s="424">
        <f t="shared" ref="W271" si="219">+Q271</f>
        <v>-15.426902632476942</v>
      </c>
      <c r="X271" s="424">
        <f t="shared" ref="X271" si="220">+R271</f>
        <v>-18.385066634855473</v>
      </c>
      <c r="Y271" s="457">
        <f t="shared" ref="Y271" si="221">DEGREES(ATAN2(Q272-Q273,R272-R273))</f>
        <v>-67.561914480908001</v>
      </c>
      <c r="Z271" s="25">
        <f ca="1">SIN(RADIANS(P276))*ABS(Y276)/100+$M$3</f>
        <v>-1.5540853757030417</v>
      </c>
      <c r="AA271" s="25">
        <f ca="1">COS(RADIANS(P276))*ABS(Y276)/100+$N$3</f>
        <v>-1.5540853757030422</v>
      </c>
    </row>
    <row r="272" spans="15:27" ht="16.2" customHeight="1">
      <c r="O272" s="431" t="s">
        <v>480</v>
      </c>
      <c r="P272" s="459"/>
      <c r="Q272" s="423">
        <f>+COS(RADIANS(T271+DEGREES(ATAN2(Q271-Q273,R271-R273))))*$L$3*$L$4+Q273</f>
        <v>1.3476315842422082</v>
      </c>
      <c r="R272" s="423">
        <f>+SIN(RADIANS(T271+DEGREES(ATAN2(Q271-Q273,R271-R273))))*$L$3*$L$4+R273</f>
        <v>-0.40132266394990168</v>
      </c>
      <c r="S272" s="428"/>
      <c r="T272" s="420"/>
      <c r="U272" s="422"/>
      <c r="V272" s="420"/>
      <c r="W272" s="424">
        <f>+Q272</f>
        <v>1.3476315842422082</v>
      </c>
      <c r="X272" s="424">
        <f>+R272</f>
        <v>-0.40132266394990168</v>
      </c>
      <c r="Y272" s="457"/>
      <c r="Z272" s="422"/>
      <c r="AA272" s="422"/>
    </row>
    <row r="273" spans="15:27" ht="16.2" customHeight="1">
      <c r="O273" s="431" t="s">
        <v>150</v>
      </c>
      <c r="P273" s="459"/>
      <c r="Q273" s="423">
        <f>$M$4</f>
        <v>-8.7288485675670007</v>
      </c>
      <c r="R273" s="423">
        <f>$N$4</f>
        <v>24</v>
      </c>
      <c r="S273" s="428"/>
      <c r="T273" s="420"/>
      <c r="U273" s="420"/>
      <c r="V273" s="420"/>
      <c r="W273" s="424">
        <f>+Q273</f>
        <v>-8.7288485675670007</v>
      </c>
      <c r="X273" s="424">
        <f>+R273</f>
        <v>24</v>
      </c>
      <c r="Y273" s="457"/>
      <c r="Z273" s="25">
        <f>SIN(RADIANS(P270))*$Z$4+$M$3</f>
        <v>-12.855752193730785</v>
      </c>
      <c r="AA273" s="25">
        <f>COS(RADIANS(P270))*$AA$4+$N$3</f>
        <v>-15.32088886237956</v>
      </c>
    </row>
    <row r="274" spans="15:27" ht="16.2" customHeight="1">
      <c r="O274" s="431"/>
      <c r="P274" s="459"/>
      <c r="Q274" s="423"/>
      <c r="R274" s="423"/>
      <c r="S274" s="420"/>
      <c r="T274" s="420"/>
      <c r="U274" s="420"/>
      <c r="V274" s="420"/>
      <c r="W274" s="424"/>
      <c r="X274" s="424"/>
      <c r="Y274" s="457"/>
      <c r="Z274" s="25">
        <f>SIN(RADIANS(P276))*$Z$4+$M$3</f>
        <v>-14.142135623730949</v>
      </c>
      <c r="AA274" s="25">
        <f>COS(RADIANS(P276))*$AA$4+$N$3</f>
        <v>-14.142135623730955</v>
      </c>
    </row>
    <row r="275" spans="15:27" ht="16.2" customHeight="1">
      <c r="O275" s="422"/>
      <c r="P275" s="422"/>
      <c r="Q275" s="422"/>
      <c r="R275" s="422"/>
      <c r="S275" s="422"/>
      <c r="T275" s="422"/>
      <c r="U275" s="422"/>
      <c r="V275" s="422"/>
      <c r="W275" s="422"/>
      <c r="X275" s="422"/>
      <c r="Y275" s="422"/>
      <c r="Z275" s="422"/>
      <c r="AA275" s="422"/>
    </row>
    <row r="276" spans="15:27" ht="16.2" customHeight="1">
      <c r="O276" s="431" t="s">
        <v>486</v>
      </c>
      <c r="P276" s="459">
        <f>P270+$M$9</f>
        <v>225</v>
      </c>
      <c r="Q276" s="423">
        <f>+$M$3</f>
        <v>0</v>
      </c>
      <c r="R276" s="423">
        <f>+$N$3</f>
        <v>0</v>
      </c>
      <c r="S276" s="420"/>
      <c r="T276" s="420"/>
      <c r="U276" s="420"/>
      <c r="V276" s="420"/>
      <c r="W276" s="424">
        <f>+Q276</f>
        <v>0</v>
      </c>
      <c r="X276" s="424">
        <f>+R276</f>
        <v>0</v>
      </c>
      <c r="Y276" s="457">
        <f ca="1">SIN(ATAN2(Q278-Q279,R278-R279))*WindTorque/((SQRT(POWER(Q283-Q277,2)+POWER(R283-R277,2))*$L$3)/(SQRT(POWER(Q284-Q278,2)+POWER(R284-R278,2))*$L$3*$L$4))</f>
        <v>-219.78086154049285</v>
      </c>
      <c r="Z276" s="25">
        <f t="shared" ref="Z276" ca="1" si="222">SIN(RADIANS(P276))*ABS(Y276)/100+$M$3</f>
        <v>-1.5540853757030417</v>
      </c>
      <c r="AA276" s="25">
        <f t="shared" ref="AA276" ca="1" si="223">COS(RADIANS(P276))*ABS(Y276)/100+$N$3</f>
        <v>-1.5540853757030422</v>
      </c>
    </row>
    <row r="277" spans="15:27" ht="16.2" customHeight="1">
      <c r="O277" s="431" t="s">
        <v>479</v>
      </c>
      <c r="P277" s="459"/>
      <c r="Q277" s="423">
        <f>+SIN(RADIANS($P276))*$L$3+$M$3</f>
        <v>-16.970562748477139</v>
      </c>
      <c r="R277" s="423">
        <f>+COS(RADIANS($P276))*$L$3+$N$3</f>
        <v>-16.970562748477143</v>
      </c>
      <c r="S277" s="420">
        <f>$L$6</f>
        <v>24.592682761320781</v>
      </c>
      <c r="T277" s="428">
        <f>DEGREES(ACOS((U277^2+V277^2-S277^2)/(2*U277*V277)))</f>
        <v>33.564093996783441</v>
      </c>
      <c r="U277" s="420">
        <f>SQRT((Q279-Q277)^2+(R279-R277)^2)</f>
        <v>41.791301302624191</v>
      </c>
      <c r="V277" s="420">
        <f>$L$3*$L$4</f>
        <v>26.400000000000002</v>
      </c>
      <c r="W277" s="424">
        <f t="shared" ref="W277" si="224">+Q277</f>
        <v>-16.970562748477139</v>
      </c>
      <c r="X277" s="424">
        <f t="shared" ref="X277" si="225">+R277</f>
        <v>-16.970562748477143</v>
      </c>
      <c r="Y277" s="457">
        <f t="shared" ref="Y277" si="226">DEGREES(ATAN2(Q278-Q279,R278-R279))</f>
        <v>-67.809832880542032</v>
      </c>
      <c r="Z277" s="25">
        <f ca="1">SIN(RADIANS(P282))*ABS(Y282)/100+$M$3</f>
        <v>-1.534359466458628</v>
      </c>
      <c r="AA277" s="25">
        <f ca="1">COS(RADIANS(P282))*ABS(Y282)/100+$N$3</f>
        <v>-1.2874804623988034</v>
      </c>
    </row>
    <row r="278" spans="15:27" ht="16.2" customHeight="1">
      <c r="O278" s="431" t="s">
        <v>480</v>
      </c>
      <c r="P278" s="459"/>
      <c r="Q278" s="423">
        <f>+COS(RADIANS(T277+DEGREES(ATAN2(Q277-Q279,R277-R279))))*$L$3*$L$4+Q279</f>
        <v>1.2419532470908283</v>
      </c>
      <c r="R278" s="423">
        <f>+SIN(RADIANS(T277+DEGREES(ATAN2(Q277-Q279,R277-R279))))*$L$3*$L$4+R279</f>
        <v>-0.44469494947352217</v>
      </c>
      <c r="S278" s="428"/>
      <c r="T278" s="420"/>
      <c r="U278" s="422"/>
      <c r="V278" s="420"/>
      <c r="W278" s="424">
        <f>+Q278</f>
        <v>1.2419532470908283</v>
      </c>
      <c r="X278" s="424">
        <f>+R278</f>
        <v>-0.44469494947352217</v>
      </c>
      <c r="Y278" s="457"/>
      <c r="Z278" s="422"/>
      <c r="AA278" s="422"/>
    </row>
    <row r="279" spans="15:27" ht="16.2" customHeight="1">
      <c r="O279" s="431" t="s">
        <v>150</v>
      </c>
      <c r="P279" s="459"/>
      <c r="Q279" s="423">
        <f>$M$4</f>
        <v>-8.7288485675670007</v>
      </c>
      <c r="R279" s="423">
        <f>$N$4</f>
        <v>24</v>
      </c>
      <c r="S279" s="428"/>
      <c r="T279" s="420"/>
      <c r="U279" s="420"/>
      <c r="V279" s="420"/>
      <c r="W279" s="424">
        <f>+Q279</f>
        <v>-8.7288485675670007</v>
      </c>
      <c r="X279" s="424">
        <f>+R279</f>
        <v>24</v>
      </c>
      <c r="Y279" s="457"/>
      <c r="Z279" s="25">
        <f>SIN(RADIANS(P276))*$Z$4+$M$3</f>
        <v>-14.142135623730949</v>
      </c>
      <c r="AA279" s="25">
        <f>COS(RADIANS(P276))*$AA$4+$N$3</f>
        <v>-14.142135623730955</v>
      </c>
    </row>
    <row r="280" spans="15:27" ht="16.2" customHeight="1">
      <c r="O280" s="431"/>
      <c r="P280" s="459"/>
      <c r="Q280" s="423"/>
      <c r="R280" s="423"/>
      <c r="S280" s="420"/>
      <c r="T280" s="420"/>
      <c r="U280" s="420"/>
      <c r="V280" s="420"/>
      <c r="W280" s="424"/>
      <c r="X280" s="424"/>
      <c r="Y280" s="457"/>
      <c r="Z280" s="25">
        <f>SIN(RADIANS(P282))*$Z$4+$M$3</f>
        <v>-15.320888862379558</v>
      </c>
      <c r="AA280" s="25">
        <f>COS(RADIANS(P282))*$AA$4+$N$3</f>
        <v>-12.85575219373079</v>
      </c>
    </row>
    <row r="281" spans="15:27" ht="16.2" customHeight="1">
      <c r="O281" s="422"/>
      <c r="P281" s="422"/>
      <c r="Q281" s="422"/>
      <c r="R281" s="422"/>
      <c r="S281" s="422"/>
      <c r="T281" s="422"/>
      <c r="U281" s="422"/>
      <c r="V281" s="422"/>
      <c r="W281" s="422"/>
      <c r="X281" s="422"/>
      <c r="Y281" s="422"/>
      <c r="Z281" s="422"/>
      <c r="AA281" s="422"/>
    </row>
    <row r="282" spans="15:27" ht="16.2" customHeight="1">
      <c r="O282" s="431" t="s">
        <v>486</v>
      </c>
      <c r="P282" s="459">
        <f>P276+$M$9</f>
        <v>230</v>
      </c>
      <c r="Q282" s="423">
        <f>+$M$3</f>
        <v>0</v>
      </c>
      <c r="R282" s="423">
        <f>+$N$3</f>
        <v>0</v>
      </c>
      <c r="S282" s="420"/>
      <c r="T282" s="420"/>
      <c r="U282" s="420"/>
      <c r="V282" s="420"/>
      <c r="W282" s="424">
        <f>+Q282</f>
        <v>0</v>
      </c>
      <c r="X282" s="424">
        <f>+R282</f>
        <v>0</v>
      </c>
      <c r="Y282" s="457">
        <f ca="1">SIN(ATAN2(Q284-Q285,R284-R285))*WindTorque/((SQRT(POWER(Q289-Q283,2)+POWER(R289-R283,2))*$L$3)/(SQRT(POWER(Q290-Q284,2)+POWER(R290-R284,2))*$L$3*$L$4))</f>
        <v>-200.29640319710794</v>
      </c>
      <c r="Z282" s="25">
        <f t="shared" ref="Z282" ca="1" si="227">SIN(RADIANS(P282))*ABS(Y282)/100+$M$3</f>
        <v>-1.534359466458628</v>
      </c>
      <c r="AA282" s="25">
        <f t="shared" ref="AA282" ca="1" si="228">COS(RADIANS(P282))*ABS(Y282)/100+$N$3</f>
        <v>-1.2874804623988034</v>
      </c>
    </row>
    <row r="283" spans="15:27" ht="16.2" customHeight="1">
      <c r="O283" s="431" t="s">
        <v>479</v>
      </c>
      <c r="P283" s="459"/>
      <c r="Q283" s="423">
        <f>+SIN(RADIANS($P282))*$L$3+$M$3</f>
        <v>-18.38506663485547</v>
      </c>
      <c r="R283" s="423">
        <f>+COS(RADIANS($P282))*$L$3+$N$3</f>
        <v>-15.426902632476947</v>
      </c>
      <c r="S283" s="420">
        <f>$L$6</f>
        <v>24.592682761320781</v>
      </c>
      <c r="T283" s="428">
        <f>DEGREES(ACOS((U283^2+V283^2-S283^2)/(2*U283*V283)))</f>
        <v>35.728748788877184</v>
      </c>
      <c r="U283" s="420">
        <f>SQRT((Q285-Q283)^2+(R285-R283)^2)</f>
        <v>40.592156860086234</v>
      </c>
      <c r="V283" s="420">
        <f>$L$3*$L$4</f>
        <v>26.400000000000002</v>
      </c>
      <c r="W283" s="424">
        <f t="shared" ref="W283" si="229">+Q283</f>
        <v>-18.38506663485547</v>
      </c>
      <c r="X283" s="424">
        <f t="shared" ref="X283" si="230">+R283</f>
        <v>-15.426902632476947</v>
      </c>
      <c r="Y283" s="457">
        <f t="shared" ref="Y283" si="231">DEGREES(ATAN2(Q284-Q285,R284-R285))</f>
        <v>-68.032927566869773</v>
      </c>
      <c r="Z283" s="25">
        <f ca="1">SIN(RADIANS(P288))*ABS(Y288)/100+$M$3</f>
        <v>-1.5111236044828109</v>
      </c>
      <c r="AA283" s="25">
        <f ca="1">COS(RADIANS(P288))*ABS(Y288)/100+$N$3</f>
        <v>-1.0581001390254932</v>
      </c>
    </row>
    <row r="284" spans="15:27" ht="16.2" customHeight="1">
      <c r="O284" s="431" t="s">
        <v>480</v>
      </c>
      <c r="P284" s="459"/>
      <c r="Q284" s="423">
        <f>+COS(RADIANS(T283+DEGREES(ATAN2(Q283-Q285,R283-R285))))*$L$3*$L$4+Q285</f>
        <v>1.1466966943221522</v>
      </c>
      <c r="R284" s="423">
        <f>+SIN(RADIANS(T283+DEGREES(ATAN2(Q283-Q285,R283-R285))))*$L$3*$L$4+R285</f>
        <v>-0.48333322446882221</v>
      </c>
      <c r="S284" s="428"/>
      <c r="T284" s="420"/>
      <c r="U284" s="422"/>
      <c r="V284" s="420"/>
      <c r="W284" s="424">
        <f>+Q284</f>
        <v>1.1466966943221522</v>
      </c>
      <c r="X284" s="424">
        <f>+R284</f>
        <v>-0.48333322446882221</v>
      </c>
      <c r="Y284" s="457"/>
      <c r="Z284" s="422"/>
      <c r="AA284" s="422"/>
    </row>
    <row r="285" spans="15:27" ht="16.2" customHeight="1">
      <c r="O285" s="431" t="s">
        <v>150</v>
      </c>
      <c r="P285" s="459"/>
      <c r="Q285" s="423">
        <f>$M$4</f>
        <v>-8.7288485675670007</v>
      </c>
      <c r="R285" s="423">
        <f>$N$4</f>
        <v>24</v>
      </c>
      <c r="S285" s="428"/>
      <c r="T285" s="420"/>
      <c r="U285" s="420"/>
      <c r="V285" s="420"/>
      <c r="W285" s="424">
        <f>+Q285</f>
        <v>-8.7288485675670007</v>
      </c>
      <c r="X285" s="424">
        <f>+R285</f>
        <v>24</v>
      </c>
      <c r="Y285" s="457"/>
      <c r="Z285" s="25">
        <f>SIN(RADIANS(P282))*$Z$4+$M$3</f>
        <v>-15.320888862379558</v>
      </c>
      <c r="AA285" s="25">
        <f>COS(RADIANS(P282))*$AA$4+$N$3</f>
        <v>-12.85575219373079</v>
      </c>
    </row>
    <row r="286" spans="15:27" ht="16.2" customHeight="1">
      <c r="O286" s="431"/>
      <c r="P286" s="459"/>
      <c r="Q286" s="423"/>
      <c r="R286" s="423"/>
      <c r="S286" s="420"/>
      <c r="T286" s="420"/>
      <c r="U286" s="420"/>
      <c r="V286" s="420"/>
      <c r="W286" s="424"/>
      <c r="X286" s="424"/>
      <c r="Y286" s="457"/>
      <c r="Z286" s="25">
        <f>SIN(RADIANS(P288))*$Z$4+$M$3</f>
        <v>-16.383040885779831</v>
      </c>
      <c r="AA286" s="25">
        <f>COS(RADIANS(P288))*$AA$4+$N$3</f>
        <v>-11.471528727020928</v>
      </c>
    </row>
    <row r="287" spans="15:27" ht="16.2" customHeight="1">
      <c r="O287" s="422"/>
      <c r="P287" s="422"/>
      <c r="Q287" s="422"/>
      <c r="R287" s="422"/>
      <c r="S287" s="422"/>
      <c r="T287" s="422"/>
      <c r="U287" s="422"/>
      <c r="V287" s="422"/>
      <c r="W287" s="422"/>
      <c r="X287" s="422"/>
      <c r="Y287" s="422"/>
      <c r="Z287" s="422"/>
      <c r="AA287" s="422"/>
    </row>
    <row r="288" spans="15:27" ht="16.2" customHeight="1">
      <c r="O288" s="431" t="s">
        <v>486</v>
      </c>
      <c r="P288" s="459">
        <f>P282+$M$9</f>
        <v>235</v>
      </c>
      <c r="Q288" s="423">
        <f>+$M$3</f>
        <v>0</v>
      </c>
      <c r="R288" s="423">
        <f>+$N$3</f>
        <v>0</v>
      </c>
      <c r="S288" s="420"/>
      <c r="T288" s="420"/>
      <c r="U288" s="420"/>
      <c r="V288" s="420"/>
      <c r="W288" s="424">
        <f>+Q288</f>
        <v>0</v>
      </c>
      <c r="X288" s="424">
        <f>+R288</f>
        <v>0</v>
      </c>
      <c r="Y288" s="457">
        <f ca="1">SIN(ATAN2(Q290-Q291,R290-R291))*WindTorque/((SQRT(POWER(Q295-Q289,2)+POWER(R295-R289,2))*$L$3)/(SQRT(POWER(Q296-Q290,2)+POWER(R296-R290,2))*$L$3*$L$4))</f>
        <v>-184.47412968302334</v>
      </c>
      <c r="Z288" s="25">
        <f t="shared" ref="Z288" ca="1" si="232">SIN(RADIANS(P288))*ABS(Y288)/100+$M$3</f>
        <v>-1.5111236044828109</v>
      </c>
      <c r="AA288" s="25">
        <f t="shared" ref="AA288" ca="1" si="233">COS(RADIANS(P288))*ABS(Y288)/100+$N$3</f>
        <v>-1.0581001390254932</v>
      </c>
    </row>
    <row r="289" spans="15:27" ht="16.2" customHeight="1">
      <c r="O289" s="431" t="s">
        <v>479</v>
      </c>
      <c r="P289" s="459"/>
      <c r="Q289" s="423">
        <f>+SIN(RADIANS($P288))*$L$3+$M$3</f>
        <v>-19.659649062935799</v>
      </c>
      <c r="R289" s="423">
        <f>+COS(RADIANS($P288))*$L$3+$N$3</f>
        <v>-13.765834472425112</v>
      </c>
      <c r="S289" s="420">
        <f>$L$6</f>
        <v>24.592682761320781</v>
      </c>
      <c r="T289" s="428">
        <f>DEGREES(ACOS((U289^2+V289^2-S289^2)/(2*U289*V289)))</f>
        <v>37.906435224803118</v>
      </c>
      <c r="U289" s="420">
        <f>SQRT((Q291-Q289)^2+(R291-R289)^2)</f>
        <v>39.315908394289551</v>
      </c>
      <c r="V289" s="420">
        <f>$L$3*$L$4</f>
        <v>26.400000000000002</v>
      </c>
      <c r="W289" s="424">
        <f t="shared" ref="W289" si="234">+Q289</f>
        <v>-19.659649062935799</v>
      </c>
      <c r="X289" s="424">
        <f t="shared" ref="X289" si="235">+R289</f>
        <v>-13.765834472425112</v>
      </c>
      <c r="Y289" s="457">
        <f t="shared" ref="Y289" si="236">DEGREES(ATAN2(Q290-Q291,R290-R291))</f>
        <v>-68.235923125840131</v>
      </c>
      <c r="Z289" s="25">
        <f ca="1">SIN(RADIANS(P294))*ABS(Y294)/100+$M$3</f>
        <v>-1.4866697429721683</v>
      </c>
      <c r="AA289" s="25">
        <f ca="1">COS(RADIANS(P294))*ABS(Y294)/100+$N$3</f>
        <v>-0.8583291763010541</v>
      </c>
    </row>
    <row r="290" spans="15:27" ht="16.2" customHeight="1">
      <c r="O290" s="431" t="s">
        <v>480</v>
      </c>
      <c r="P290" s="459"/>
      <c r="Q290" s="423">
        <f>+COS(RADIANS(T289+DEGREES(ATAN2(Q289-Q291,R289-R291))))*$L$3*$L$4+Q291</f>
        <v>1.0598918928757879</v>
      </c>
      <c r="R290" s="423">
        <f>+SIN(RADIANS(T289+DEGREES(ATAN2(Q289-Q291,R289-R291))))*$L$3*$L$4+R291</f>
        <v>-0.51816796169914525</v>
      </c>
      <c r="S290" s="428"/>
      <c r="T290" s="420"/>
      <c r="U290" s="422"/>
      <c r="V290" s="420"/>
      <c r="W290" s="424">
        <f>+Q290</f>
        <v>1.0598918928757879</v>
      </c>
      <c r="X290" s="424">
        <f>+R290</f>
        <v>-0.51816796169914525</v>
      </c>
      <c r="Y290" s="457"/>
      <c r="Z290" s="422"/>
      <c r="AA290" s="422"/>
    </row>
    <row r="291" spans="15:27" ht="16.2" customHeight="1">
      <c r="O291" s="431" t="s">
        <v>150</v>
      </c>
      <c r="P291" s="459"/>
      <c r="Q291" s="423">
        <f>$M$4</f>
        <v>-8.7288485675670007</v>
      </c>
      <c r="R291" s="423">
        <f>$N$4</f>
        <v>24</v>
      </c>
      <c r="S291" s="428"/>
      <c r="T291" s="420"/>
      <c r="U291" s="420"/>
      <c r="V291" s="420"/>
      <c r="W291" s="424">
        <f>+Q291</f>
        <v>-8.7288485675670007</v>
      </c>
      <c r="X291" s="424">
        <f>+R291</f>
        <v>24</v>
      </c>
      <c r="Y291" s="457"/>
      <c r="Z291" s="25">
        <f>SIN(RADIANS(P288))*$Z$4+$M$3</f>
        <v>-16.383040885779831</v>
      </c>
      <c r="AA291" s="25">
        <f>COS(RADIANS(P288))*$AA$4+$N$3</f>
        <v>-11.471528727020928</v>
      </c>
    </row>
    <row r="292" spans="15:27" ht="16.2" customHeight="1">
      <c r="O292" s="431"/>
      <c r="P292" s="459"/>
      <c r="Q292" s="423"/>
      <c r="R292" s="423"/>
      <c r="S292" s="420"/>
      <c r="T292" s="420"/>
      <c r="U292" s="420"/>
      <c r="V292" s="420"/>
      <c r="W292" s="424"/>
      <c r="X292" s="424"/>
      <c r="Y292" s="457"/>
      <c r="Z292" s="25">
        <f>SIN(RADIANS(P294))*$Z$4+$M$3</f>
        <v>-17.320508075688767</v>
      </c>
      <c r="AA292" s="25">
        <f>COS(RADIANS(P294))*$AA$4+$N$3</f>
        <v>-10.000000000000009</v>
      </c>
    </row>
    <row r="293" spans="15:27" ht="16.2" customHeight="1">
      <c r="O293" s="422"/>
      <c r="P293" s="422"/>
      <c r="Q293" s="422"/>
      <c r="R293" s="422"/>
      <c r="S293" s="422"/>
      <c r="T293" s="422"/>
      <c r="U293" s="422"/>
      <c r="V293" s="422"/>
      <c r="W293" s="422"/>
      <c r="X293" s="422"/>
      <c r="Y293" s="422"/>
      <c r="Z293" s="422"/>
      <c r="AA293" s="422"/>
    </row>
    <row r="294" spans="15:27" ht="16.2" customHeight="1">
      <c r="O294" s="431" t="s">
        <v>486</v>
      </c>
      <c r="P294" s="459">
        <f>P288+$M$9</f>
        <v>240</v>
      </c>
      <c r="Q294" s="423">
        <f>+$M$3</f>
        <v>0</v>
      </c>
      <c r="R294" s="423">
        <f>+$N$3</f>
        <v>0</v>
      </c>
      <c r="S294" s="420"/>
      <c r="T294" s="420"/>
      <c r="U294" s="420"/>
      <c r="V294" s="420"/>
      <c r="W294" s="424">
        <f>+Q294</f>
        <v>0</v>
      </c>
      <c r="X294" s="424">
        <f>+R294</f>
        <v>0</v>
      </c>
      <c r="Y294" s="457">
        <f ca="1">SIN(ATAN2(Q296-Q297,R296-R297))*WindTorque/((SQRT(POWER(Q301-Q295,2)+POWER(R301-R295,2))*$L$3)/(SQRT(POWER(Q302-Q296,2)+POWER(R302-R296,2))*$L$3*$L$4))</f>
        <v>-171.66583526021068</v>
      </c>
      <c r="Z294" s="25">
        <f t="shared" ref="Z294" ca="1" si="237">SIN(RADIANS(P294))*ABS(Y294)/100+$M$3</f>
        <v>-1.4866697429721683</v>
      </c>
      <c r="AA294" s="25">
        <f t="shared" ref="AA294" ca="1" si="238">COS(RADIANS(P294))*ABS(Y294)/100+$N$3</f>
        <v>-0.8583291763010541</v>
      </c>
    </row>
    <row r="295" spans="15:27" ht="16.2" customHeight="1">
      <c r="O295" s="431" t="s">
        <v>479</v>
      </c>
      <c r="P295" s="459"/>
      <c r="Q295" s="423">
        <f>+SIN(RADIANS($P294))*$L$3+$M$3</f>
        <v>-20.784609690826521</v>
      </c>
      <c r="R295" s="423">
        <f>+COS(RADIANS($P294))*$L$3+$N$3</f>
        <v>-12.000000000000011</v>
      </c>
      <c r="S295" s="420">
        <f>$L$6</f>
        <v>24.592682761320781</v>
      </c>
      <c r="T295" s="428">
        <f>DEGREES(ACOS((U295^2+V295^2-S295^2)/(2*U295*V295)))</f>
        <v>40.092166048895557</v>
      </c>
      <c r="U295" s="420">
        <f>SQRT((Q297-Q295)^2+(R297-R295)^2)</f>
        <v>37.965001992112377</v>
      </c>
      <c r="V295" s="420">
        <f>$L$3*$L$4</f>
        <v>26.400000000000002</v>
      </c>
      <c r="W295" s="424">
        <f t="shared" ref="W295" si="239">+Q295</f>
        <v>-20.784609690826521</v>
      </c>
      <c r="X295" s="424">
        <f t="shared" ref="X295" si="240">+R295</f>
        <v>-12.000000000000011</v>
      </c>
      <c r="Y295" s="457">
        <f t="shared" ref="Y295" si="241">DEGREES(ATAN2(Q296-Q297,R296-R297))</f>
        <v>-68.42261755062097</v>
      </c>
      <c r="Z295" s="25">
        <f ca="1">SIN(RADIANS(P300))*ABS(Y300)/100+$M$3</f>
        <v>-1.4627378782610538</v>
      </c>
      <c r="AA295" s="25">
        <f ca="1">COS(RADIANS(P300))*ABS(Y300)/100+$N$3</f>
        <v>-0.68208587450652292</v>
      </c>
    </row>
    <row r="296" spans="15:27" ht="16.2" customHeight="1">
      <c r="O296" s="431" t="s">
        <v>480</v>
      </c>
      <c r="P296" s="459"/>
      <c r="Q296" s="423">
        <f>+COS(RADIANS(T295+DEGREES(ATAN2(Q295-Q297,R295-R297))))*$L$3*$L$4+Q297</f>
        <v>0.97994927583638081</v>
      </c>
      <c r="R296" s="423">
        <f>+SIN(RADIANS(T295+DEGREES(ATAN2(Q295-Q297,R295-R297))))*$L$3*$L$4+R297</f>
        <v>-0.54993369514317081</v>
      </c>
      <c r="S296" s="428"/>
      <c r="T296" s="420"/>
      <c r="U296" s="422"/>
      <c r="V296" s="420"/>
      <c r="W296" s="424">
        <f>+Q296</f>
        <v>0.97994927583638081</v>
      </c>
      <c r="X296" s="424">
        <f>+R296</f>
        <v>-0.54993369514317081</v>
      </c>
      <c r="Y296" s="457"/>
      <c r="Z296" s="422"/>
      <c r="AA296" s="422"/>
    </row>
    <row r="297" spans="15:27" ht="16.2" customHeight="1">
      <c r="O297" s="431" t="s">
        <v>150</v>
      </c>
      <c r="P297" s="459"/>
      <c r="Q297" s="423">
        <f>$M$4</f>
        <v>-8.7288485675670007</v>
      </c>
      <c r="R297" s="423">
        <f>$N$4</f>
        <v>24</v>
      </c>
      <c r="S297" s="428"/>
      <c r="T297" s="420"/>
      <c r="U297" s="420"/>
      <c r="V297" s="420"/>
      <c r="W297" s="424">
        <f>+Q297</f>
        <v>-8.7288485675670007</v>
      </c>
      <c r="X297" s="424">
        <f>+R297</f>
        <v>24</v>
      </c>
      <c r="Y297" s="457"/>
      <c r="Z297" s="25">
        <f>SIN(RADIANS(P294))*$Z$4+$M$3</f>
        <v>-17.320508075688767</v>
      </c>
      <c r="AA297" s="25">
        <f>COS(RADIANS(P294))*$AA$4+$N$3</f>
        <v>-10.000000000000009</v>
      </c>
    </row>
    <row r="298" spans="15:27" ht="16.2" customHeight="1">
      <c r="O298" s="431"/>
      <c r="P298" s="459"/>
      <c r="Q298" s="423"/>
      <c r="R298" s="423"/>
      <c r="S298" s="420"/>
      <c r="T298" s="420"/>
      <c r="U298" s="420"/>
      <c r="V298" s="420"/>
      <c r="W298" s="424"/>
      <c r="X298" s="424"/>
      <c r="Y298" s="457"/>
      <c r="Z298" s="25">
        <f>SIN(RADIANS(P300))*$Z$4+$M$3</f>
        <v>-18.126155740733001</v>
      </c>
      <c r="AA298" s="25">
        <f>COS(RADIANS(P300))*$AA$4+$N$3</f>
        <v>-8.4523652348139837</v>
      </c>
    </row>
    <row r="299" spans="15:27" ht="16.2" customHeight="1">
      <c r="O299" s="422"/>
      <c r="P299" s="422"/>
      <c r="Q299" s="422"/>
      <c r="R299" s="422"/>
      <c r="S299" s="422"/>
      <c r="T299" s="422"/>
      <c r="U299" s="422"/>
      <c r="V299" s="422"/>
      <c r="W299" s="422"/>
      <c r="X299" s="422"/>
      <c r="Y299" s="422"/>
      <c r="Z299" s="422"/>
      <c r="AA299" s="422"/>
    </row>
    <row r="300" spans="15:27" ht="16.2" customHeight="1">
      <c r="O300" s="431" t="s">
        <v>486</v>
      </c>
      <c r="P300" s="459">
        <f>P294+$M$9</f>
        <v>245</v>
      </c>
      <c r="Q300" s="423">
        <f>+$M$3</f>
        <v>0</v>
      </c>
      <c r="R300" s="423">
        <f>+$N$3</f>
        <v>0</v>
      </c>
      <c r="S300" s="420"/>
      <c r="T300" s="420"/>
      <c r="U300" s="420"/>
      <c r="V300" s="420"/>
      <c r="W300" s="424">
        <f>+Q300</f>
        <v>0</v>
      </c>
      <c r="X300" s="424">
        <f>+R300</f>
        <v>0</v>
      </c>
      <c r="Y300" s="457">
        <f ca="1">SIN(ATAN2(Q302-Q303,R302-R303))*WindTorque/((SQRT(POWER(Q307-Q301,2)+POWER(R307-R301,2))*$L$3)/(SQRT(POWER(Q308-Q302,2)+POWER(R308-R302,2))*$L$3*$L$4))</f>
        <v>-161.3952676103292</v>
      </c>
      <c r="Z300" s="25">
        <f t="shared" ref="Z300" ca="1" si="242">SIN(RADIANS(P300))*ABS(Y300)/100+$M$3</f>
        <v>-1.4627378782610538</v>
      </c>
      <c r="AA300" s="25">
        <f t="shared" ref="AA300" ca="1" si="243">COS(RADIANS(P300))*ABS(Y300)/100+$N$3</f>
        <v>-0.68208587450652292</v>
      </c>
    </row>
    <row r="301" spans="15:27" ht="16.2" customHeight="1">
      <c r="O301" s="431" t="s">
        <v>479</v>
      </c>
      <c r="P301" s="459"/>
      <c r="Q301" s="423">
        <f>+SIN(RADIANS($P300))*$L$3+$M$3</f>
        <v>-21.751386888879601</v>
      </c>
      <c r="R301" s="423">
        <f>+COS(RADIANS($P300))*$L$3+$N$3</f>
        <v>-10.142838281776779</v>
      </c>
      <c r="S301" s="420">
        <f>$L$6</f>
        <v>24.592682761320781</v>
      </c>
      <c r="T301" s="428">
        <f>DEGREES(ACOS((U301^2+V301^2-S301^2)/(2*U301*V301)))</f>
        <v>42.281400006912946</v>
      </c>
      <c r="U301" s="420">
        <f>SQRT((Q303-Q301)^2+(R303-R301)^2)</f>
        <v>36.542029367094777</v>
      </c>
      <c r="V301" s="420">
        <f>$L$3*$L$4</f>
        <v>26.400000000000002</v>
      </c>
      <c r="W301" s="424">
        <f t="shared" ref="W301" si="244">+Q301</f>
        <v>-21.751386888879601</v>
      </c>
      <c r="X301" s="424">
        <f t="shared" ref="X301" si="245">+R301</f>
        <v>-10.142838281776779</v>
      </c>
      <c r="Y301" s="457">
        <f t="shared" ref="Y301" si="246">DEGREES(ATAN2(Q302-Q303,R302-R303))</f>
        <v>-68.596124716490806</v>
      </c>
      <c r="Z301" s="25">
        <f ca="1">SIN(RADIANS(P306))*ABS(Y306)/100+$M$3</f>
        <v>-1.4407448178829096</v>
      </c>
      <c r="AA301" s="25">
        <f ca="1">COS(RADIANS(P306))*ABS(Y306)/100+$N$3</f>
        <v>-0.52438822888265935</v>
      </c>
    </row>
    <row r="302" spans="15:27" ht="16.2" customHeight="1">
      <c r="O302" s="431" t="s">
        <v>480</v>
      </c>
      <c r="P302" s="459"/>
      <c r="Q302" s="423">
        <f>+COS(RADIANS(T301+DEGREES(ATAN2(Q301-Q303,R301-R303))))*$L$3*$L$4+Q303</f>
        <v>0.90556101246337306</v>
      </c>
      <c r="R302" s="423">
        <f>+SIN(RADIANS(T301+DEGREES(ATAN2(Q301-Q303,R301-R303))))*$L$3*$L$4+R303</f>
        <v>-0.5792219576661779</v>
      </c>
      <c r="S302" s="428"/>
      <c r="T302" s="420"/>
      <c r="U302" s="422"/>
      <c r="V302" s="420"/>
      <c r="W302" s="424">
        <f>+Q302</f>
        <v>0.90556101246337306</v>
      </c>
      <c r="X302" s="424">
        <f>+R302</f>
        <v>-0.5792219576661779</v>
      </c>
      <c r="Y302" s="457"/>
      <c r="Z302" s="422"/>
      <c r="AA302" s="422"/>
    </row>
    <row r="303" spans="15:27" ht="16.2" customHeight="1">
      <c r="O303" s="431" t="s">
        <v>150</v>
      </c>
      <c r="P303" s="459"/>
      <c r="Q303" s="423">
        <f>$M$4</f>
        <v>-8.7288485675670007</v>
      </c>
      <c r="R303" s="423">
        <f>$N$4</f>
        <v>24</v>
      </c>
      <c r="S303" s="428"/>
      <c r="T303" s="420"/>
      <c r="U303" s="420"/>
      <c r="V303" s="420"/>
      <c r="W303" s="424">
        <f>+Q303</f>
        <v>-8.7288485675670007</v>
      </c>
      <c r="X303" s="424">
        <f>+R303</f>
        <v>24</v>
      </c>
      <c r="Y303" s="457"/>
      <c r="Z303" s="25">
        <f>SIN(RADIANS(P300))*$Z$4+$M$3</f>
        <v>-18.126155740733001</v>
      </c>
      <c r="AA303" s="25">
        <f>COS(RADIANS(P300))*$AA$4+$N$3</f>
        <v>-8.4523652348139837</v>
      </c>
    </row>
    <row r="304" spans="15:27" ht="16.2" customHeight="1">
      <c r="O304" s="431"/>
      <c r="P304" s="459"/>
      <c r="Q304" s="423"/>
      <c r="R304" s="423"/>
      <c r="S304" s="420"/>
      <c r="T304" s="420"/>
      <c r="U304" s="420"/>
      <c r="V304" s="420"/>
      <c r="W304" s="424"/>
      <c r="X304" s="424"/>
      <c r="Y304" s="457"/>
      <c r="Z304" s="25">
        <f>SIN(RADIANS(P306))*$Z$4+$M$3</f>
        <v>-18.79385241571817</v>
      </c>
      <c r="AA304" s="25">
        <f>COS(RADIANS(P306))*$AA$4+$N$3</f>
        <v>-6.8404028665133705</v>
      </c>
    </row>
    <row r="305" spans="15:27" ht="16.2" customHeight="1">
      <c r="O305" s="422"/>
      <c r="P305" s="422"/>
      <c r="Q305" s="422"/>
      <c r="R305" s="422"/>
      <c r="S305" s="422"/>
      <c r="T305" s="422"/>
      <c r="U305" s="422"/>
      <c r="V305" s="422"/>
      <c r="W305" s="422"/>
      <c r="X305" s="422"/>
      <c r="Y305" s="422"/>
      <c r="Z305" s="422"/>
      <c r="AA305" s="422"/>
    </row>
    <row r="306" spans="15:27" ht="16.2" customHeight="1">
      <c r="O306" s="431" t="s">
        <v>486</v>
      </c>
      <c r="P306" s="459">
        <f>P300+$M$9</f>
        <v>250</v>
      </c>
      <c r="Q306" s="423">
        <f>+$M$3</f>
        <v>0</v>
      </c>
      <c r="R306" s="423">
        <f>+$N$3</f>
        <v>0</v>
      </c>
      <c r="S306" s="420"/>
      <c r="T306" s="420"/>
      <c r="U306" s="420"/>
      <c r="V306" s="420"/>
      <c r="W306" s="424">
        <f>+Q306</f>
        <v>0</v>
      </c>
      <c r="X306" s="424">
        <f>+R306</f>
        <v>0</v>
      </c>
      <c r="Y306" s="457">
        <f ca="1">SIN(ATAN2(Q308-Q309,R308-R309))*WindTorque/((SQRT(POWER(Q313-Q307,2)+POWER(R313-R307,2))*$L$3)/(SQRT(POWER(Q314-Q308,2)+POWER(R314-R308,2))*$L$3*$L$4))</f>
        <v>-153.32086110008484</v>
      </c>
      <c r="Z306" s="25">
        <f t="shared" ref="Z306" ca="1" si="247">SIN(RADIANS(P306))*ABS(Y306)/100+$M$3</f>
        <v>-1.4407448178829096</v>
      </c>
      <c r="AA306" s="25">
        <f t="shared" ref="AA306" ca="1" si="248">COS(RADIANS(P306))*ABS(Y306)/100+$N$3</f>
        <v>-0.52438822888265935</v>
      </c>
    </row>
    <row r="307" spans="15:27" ht="16.2" customHeight="1">
      <c r="O307" s="431" t="s">
        <v>479</v>
      </c>
      <c r="P307" s="459"/>
      <c r="Q307" s="423">
        <f>+SIN(RADIANS($P306))*$L$3+$M$3</f>
        <v>-22.552622898861802</v>
      </c>
      <c r="R307" s="423">
        <f>+COS(RADIANS($P306))*$L$3+$N$3</f>
        <v>-8.208483439816046</v>
      </c>
      <c r="S307" s="420">
        <f>$L$6</f>
        <v>24.592682761320781</v>
      </c>
      <c r="T307" s="428">
        <f>DEGREES(ACOS((U307^2+V307^2-S307^2)/(2*U307*V307)))</f>
        <v>44.469792484192922</v>
      </c>
      <c r="U307" s="420">
        <f>SQRT((Q309-Q307)^2+(R309-R307)^2)</f>
        <v>35.049723854197055</v>
      </c>
      <c r="V307" s="420">
        <f>$L$3*$L$4</f>
        <v>26.400000000000002</v>
      </c>
      <c r="W307" s="424">
        <f t="shared" ref="W307" si="249">+Q307</f>
        <v>-22.552622898861802</v>
      </c>
      <c r="X307" s="424">
        <f t="shared" ref="X307" si="250">+R307</f>
        <v>-8.208483439816046</v>
      </c>
      <c r="Y307" s="457">
        <f t="shared" ref="Y307" si="251">DEGREES(ATAN2(Q308-Q309,R308-R309))</f>
        <v>-68.759056763467555</v>
      </c>
      <c r="Z307" s="25"/>
      <c r="AA307" s="25"/>
    </row>
    <row r="308" spans="15:27" ht="16.2" customHeight="1">
      <c r="O308" s="431" t="s">
        <v>480</v>
      </c>
      <c r="P308" s="459"/>
      <c r="Q308" s="423">
        <f>+COS(RADIANS(T307+DEGREES(ATAN2(Q307-Q309,R307-R309))))*$L$3*$L$4+Q309</f>
        <v>0.8356262016083793</v>
      </c>
      <c r="R308" s="423">
        <f>+SIN(RADIANS(T307+DEGREES(ATAN2(Q307-Q309,R307-R309))))*$L$3*$L$4+R309</f>
        <v>-0.60651991627031165</v>
      </c>
      <c r="S308" s="428"/>
      <c r="T308" s="420"/>
      <c r="U308" s="422"/>
      <c r="V308" s="420"/>
      <c r="W308" s="424">
        <f>+Q308</f>
        <v>0.8356262016083793</v>
      </c>
      <c r="X308" s="424">
        <f>+R308</f>
        <v>-0.60651991627031165</v>
      </c>
      <c r="Y308" s="457"/>
      <c r="Z308" s="422"/>
      <c r="AA308" s="422"/>
    </row>
    <row r="309" spans="15:27" ht="16.2" customHeight="1">
      <c r="O309" s="431" t="s">
        <v>150</v>
      </c>
      <c r="P309" s="459"/>
      <c r="Q309" s="423">
        <f>$M$4</f>
        <v>-8.7288485675670007</v>
      </c>
      <c r="R309" s="423">
        <f>$N$4</f>
        <v>24</v>
      </c>
      <c r="S309" s="428"/>
      <c r="T309" s="420"/>
      <c r="U309" s="420"/>
      <c r="V309" s="420"/>
      <c r="W309" s="424">
        <f>+Q309</f>
        <v>-8.7288485675670007</v>
      </c>
      <c r="X309" s="424">
        <f>+R309</f>
        <v>24</v>
      </c>
      <c r="Y309" s="457"/>
      <c r="Z309" s="25"/>
      <c r="AA309" s="25"/>
    </row>
    <row r="310" spans="15:27" ht="16.2" customHeight="1">
      <c r="O310" s="431"/>
      <c r="P310" s="459"/>
      <c r="Q310" s="423"/>
      <c r="R310" s="423"/>
      <c r="S310" s="420"/>
      <c r="T310" s="420"/>
      <c r="U310" s="420"/>
      <c r="V310" s="420"/>
      <c r="W310" s="424"/>
      <c r="X310" s="424"/>
      <c r="Y310" s="457"/>
      <c r="Z310" s="25"/>
      <c r="AA310" s="25"/>
    </row>
    <row r="311" spans="15:27" ht="16.2" customHeight="1">
      <c r="O311" s="422"/>
      <c r="P311" s="422"/>
      <c r="Q311" s="422"/>
      <c r="R311" s="422"/>
      <c r="S311" s="422"/>
      <c r="T311" s="422"/>
      <c r="U311" s="422"/>
      <c r="V311" s="422"/>
      <c r="W311" s="422"/>
      <c r="X311" s="422"/>
      <c r="Y311" s="422"/>
      <c r="Z311" s="422"/>
      <c r="AA311" s="422"/>
    </row>
    <row r="312" spans="15:27" ht="16.2" customHeight="1">
      <c r="O312" s="431" t="s">
        <v>486</v>
      </c>
      <c r="P312" s="459">
        <f>P306+$M$9</f>
        <v>255</v>
      </c>
      <c r="Q312" s="423">
        <f>+$M$3</f>
        <v>0</v>
      </c>
      <c r="R312" s="423">
        <f>+$N$3</f>
        <v>0</v>
      </c>
      <c r="S312" s="420"/>
      <c r="T312" s="420"/>
      <c r="U312" s="420"/>
      <c r="V312" s="420"/>
      <c r="W312" s="424">
        <f>+Q312</f>
        <v>0</v>
      </c>
      <c r="X312" s="424">
        <f>+R312</f>
        <v>0</v>
      </c>
      <c r="Y312" s="457">
        <f ca="1">SIN(ATAN2(Q314-Q315,R314-R315))*WindTorque/((SQRT(POWER(Q319-Q313,2)+POWER(R319-R313,2))*$L$3)/(SQRT(POWER(Q320-Q314,2)+POWER(R320-R314,2))*$L$3*$L$4))</f>
        <v>-187.14115501947111</v>
      </c>
      <c r="Z312" s="25"/>
      <c r="AA312" s="25"/>
    </row>
    <row r="313" spans="15:27" ht="16.2" customHeight="1">
      <c r="O313" s="431" t="s">
        <v>479</v>
      </c>
      <c r="P313" s="459"/>
      <c r="Q313" s="423">
        <f>+SIN(RADIANS($P312))*$L$3+$M$3</f>
        <v>-23.18221983093764</v>
      </c>
      <c r="R313" s="423">
        <f>+COS(RADIANS($P312))*$L$3+$N$3</f>
        <v>-6.2116570824604951</v>
      </c>
      <c r="S313" s="420">
        <f>$L$6</f>
        <v>24.592682761320781</v>
      </c>
      <c r="T313" s="428">
        <f>DEGREES(ACOS((U313^2+V313^2-S313^2)/(2*U313*V313)))</f>
        <v>46.652963388718121</v>
      </c>
      <c r="U313" s="420">
        <f>SQRT((Q315-Q313)^2+(R315-R313)^2)</f>
        <v>33.490956459095244</v>
      </c>
      <c r="V313" s="420">
        <f>$L$3*$L$4</f>
        <v>26.400000000000002</v>
      </c>
      <c r="W313" s="424">
        <f t="shared" ref="W313" si="252">+Q313</f>
        <v>-23.18221983093764</v>
      </c>
      <c r="X313" s="424">
        <f t="shared" ref="X313" si="253">+R313</f>
        <v>-6.2116570824604951</v>
      </c>
      <c r="Y313" s="457">
        <f t="shared" ref="Y313" si="254">DEGREES(ATAN2(Q314-Q315,R314-R315))</f>
        <v>-68.913665805033062</v>
      </c>
      <c r="Z313" s="25"/>
      <c r="AA313" s="25"/>
    </row>
    <row r="314" spans="15:27" ht="16.2" customHeight="1">
      <c r="O314" s="431" t="s">
        <v>480</v>
      </c>
      <c r="P314" s="459"/>
      <c r="Q314" s="423">
        <f>+COS(RADIANS(T313+DEGREES(ATAN2(Q313-Q315,R313-R315))))*$L$3*$L$4+Q315</f>
        <v>0.76919232048880559</v>
      </c>
      <c r="R314" s="423">
        <f>+SIN(RADIANS(T313+DEGREES(ATAN2(Q313-Q315,R313-R315))))*$L$3*$L$4+R315</f>
        <v>-0.63223942902513031</v>
      </c>
      <c r="S314" s="428"/>
      <c r="T314" s="420"/>
      <c r="U314" s="422"/>
      <c r="V314" s="420"/>
      <c r="W314" s="424">
        <f>+Q314</f>
        <v>0.76919232048880559</v>
      </c>
      <c r="X314" s="424">
        <f>+R314</f>
        <v>-0.63223942902513031</v>
      </c>
      <c r="Y314" s="457"/>
      <c r="Z314" s="422"/>
      <c r="AA314" s="422"/>
    </row>
    <row r="315" spans="15:27" ht="16.2" customHeight="1">
      <c r="O315" s="431" t="s">
        <v>150</v>
      </c>
      <c r="P315" s="459"/>
      <c r="Q315" s="423">
        <f>$M$4</f>
        <v>-8.7288485675670007</v>
      </c>
      <c r="R315" s="423">
        <f>$N$4</f>
        <v>24</v>
      </c>
      <c r="S315" s="428"/>
      <c r="T315" s="420"/>
      <c r="U315" s="420"/>
      <c r="V315" s="420"/>
      <c r="W315" s="424">
        <f>+Q315</f>
        <v>-8.7288485675670007</v>
      </c>
      <c r="X315" s="424">
        <f>+R315</f>
        <v>24</v>
      </c>
      <c r="Y315" s="457"/>
      <c r="Z315" s="25"/>
      <c r="AA315" s="25"/>
    </row>
    <row r="316" spans="15:27" ht="16.2" customHeight="1">
      <c r="O316" s="431"/>
      <c r="P316" s="459"/>
      <c r="Q316" s="423"/>
      <c r="R316" s="423"/>
      <c r="S316" s="420"/>
      <c r="T316" s="420"/>
      <c r="U316" s="420"/>
      <c r="V316" s="420"/>
      <c r="W316" s="424"/>
      <c r="X316" s="424"/>
      <c r="Y316" s="457"/>
      <c r="Z316" s="25"/>
      <c r="AA316" s="25"/>
    </row>
    <row r="317" spans="15:27" ht="16.2" customHeight="1">
      <c r="O317" s="422"/>
      <c r="P317" s="422"/>
      <c r="Q317" s="422"/>
      <c r="R317" s="422"/>
      <c r="S317" s="422"/>
      <c r="T317" s="422"/>
      <c r="U317" s="422"/>
      <c r="V317" s="422"/>
      <c r="W317" s="422"/>
      <c r="X317" s="422"/>
      <c r="Y317" s="422"/>
      <c r="Z317" s="422"/>
      <c r="AA317" s="422"/>
    </row>
    <row r="318" spans="15:27" ht="16.2" customHeight="1">
      <c r="O318" s="431"/>
      <c r="P318" s="459"/>
      <c r="Q318" s="423"/>
      <c r="R318" s="423"/>
      <c r="S318" s="420"/>
      <c r="T318" s="420"/>
      <c r="U318" s="420"/>
      <c r="V318" s="420"/>
      <c r="W318" s="424"/>
      <c r="X318" s="424"/>
      <c r="Y318" s="457"/>
      <c r="Z318" s="25"/>
      <c r="AA318" s="25"/>
    </row>
    <row r="319" spans="15:27" ht="16.2" customHeight="1">
      <c r="O319" s="431"/>
      <c r="P319" s="459"/>
      <c r="Q319" s="423"/>
      <c r="R319" s="423"/>
      <c r="S319" s="420"/>
      <c r="T319" s="428"/>
      <c r="U319" s="420"/>
      <c r="V319" s="420"/>
      <c r="W319" s="424"/>
      <c r="X319" s="424"/>
      <c r="Y319" s="457"/>
      <c r="Z319" s="25"/>
      <c r="AA319" s="25"/>
    </row>
    <row r="320" spans="15:27" ht="16.2" customHeight="1">
      <c r="O320" s="431"/>
      <c r="P320" s="459"/>
      <c r="Q320" s="423"/>
      <c r="R320" s="423"/>
      <c r="S320" s="428"/>
      <c r="T320" s="420"/>
      <c r="U320" s="422"/>
      <c r="V320" s="420"/>
      <c r="W320" s="424"/>
      <c r="X320" s="424"/>
      <c r="Y320" s="457"/>
      <c r="Z320" s="422"/>
      <c r="AA320" s="422"/>
    </row>
    <row r="321" spans="15:27" ht="16.2" customHeight="1">
      <c r="O321" s="431"/>
      <c r="P321" s="459"/>
      <c r="Q321" s="423"/>
      <c r="R321" s="423"/>
      <c r="S321" s="428"/>
      <c r="T321" s="420"/>
      <c r="U321" s="420"/>
      <c r="V321" s="420"/>
      <c r="W321" s="424"/>
      <c r="X321" s="424"/>
      <c r="Y321" s="457"/>
      <c r="Z321" s="25"/>
      <c r="AA321" s="25"/>
    </row>
    <row r="322" spans="15:27" ht="16.2" customHeight="1">
      <c r="O322" s="431"/>
      <c r="P322" s="459"/>
      <c r="Q322" s="423"/>
      <c r="R322" s="423"/>
      <c r="S322" s="420"/>
      <c r="T322" s="420"/>
      <c r="U322" s="420"/>
      <c r="V322" s="420"/>
      <c r="W322" s="424"/>
      <c r="X322" s="424"/>
      <c r="Y322" s="457"/>
      <c r="Z322" s="25"/>
      <c r="AA322" s="25"/>
    </row>
    <row r="323" spans="15:27" ht="16.2" customHeight="1">
      <c r="O323" s="422"/>
      <c r="P323" s="422"/>
      <c r="Q323" s="422"/>
      <c r="R323" s="422"/>
      <c r="S323" s="422"/>
      <c r="T323" s="422"/>
      <c r="U323" s="422"/>
      <c r="V323" s="422"/>
      <c r="W323" s="422"/>
      <c r="X323" s="422"/>
      <c r="Y323" s="422"/>
      <c r="Z323" s="422"/>
      <c r="AA323" s="422"/>
    </row>
  </sheetData>
  <sheetProtection sheet="1" objects="1" scenarios="1"/>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dimension ref="A1:AD2162"/>
  <sheetViews>
    <sheetView zoomScaleNormal="100" workbookViewId="0">
      <selection activeCell="D7" sqref="D7"/>
    </sheetView>
  </sheetViews>
  <sheetFormatPr defaultColWidth="37.5546875" defaultRowHeight="16.2"/>
  <cols>
    <col min="1" max="1" width="41" style="60" customWidth="1"/>
    <col min="2" max="2" width="16.77734375" style="60" customWidth="1"/>
    <col min="3" max="3" width="10.6640625" style="60" customWidth="1"/>
    <col min="4" max="4" width="11" style="60" customWidth="1"/>
    <col min="5" max="5" width="12.109375" style="60" customWidth="1"/>
    <col min="6" max="6" width="7.77734375" style="60" customWidth="1"/>
    <col min="7" max="7" width="14" style="60" customWidth="1"/>
    <col min="8" max="8" width="10.109375" style="206" customWidth="1"/>
    <col min="9" max="9" width="3.6640625" style="206" customWidth="1"/>
    <col min="10" max="17" width="7.5546875" style="60" hidden="1" customWidth="1"/>
    <col min="18" max="18" width="3.5546875" style="60" customWidth="1"/>
    <col min="19" max="19" width="5.44140625" style="230" customWidth="1"/>
    <col min="20" max="20" width="6.21875" style="230" customWidth="1"/>
    <col min="21" max="22" width="4.33203125" style="230" bestFit="1" customWidth="1"/>
    <col min="23" max="23" width="9.88671875" style="231" bestFit="1" customWidth="1"/>
    <col min="24" max="25" width="8.77734375" style="231" bestFit="1" customWidth="1"/>
    <col min="26" max="26" width="5.44140625" style="232" bestFit="1" customWidth="1"/>
    <col min="27" max="27" width="3.21875" style="230" bestFit="1" customWidth="1"/>
    <col min="28" max="28" width="4" style="230" customWidth="1"/>
    <col min="29" max="30" width="5.44140625" style="60" customWidth="1"/>
    <col min="31" max="16384" width="37.5546875" style="60"/>
  </cols>
  <sheetData>
    <row r="1" spans="1:30" s="59" customFormat="1" ht="15.6" customHeight="1" thickTop="1">
      <c r="A1" s="209" t="s">
        <v>153</v>
      </c>
      <c r="E1" s="219"/>
      <c r="F1" s="757" t="s">
        <v>661</v>
      </c>
      <c r="G1" s="758"/>
      <c r="H1" s="758"/>
      <c r="I1" s="759"/>
      <c r="J1" s="758"/>
      <c r="K1" s="758"/>
      <c r="L1" s="758"/>
      <c r="M1" s="758"/>
      <c r="N1" s="758"/>
      <c r="O1" s="758"/>
      <c r="P1" s="758"/>
      <c r="Q1" s="758"/>
      <c r="R1" s="760"/>
    </row>
    <row r="2" spans="1:30" s="213" customFormat="1" ht="9" customHeight="1">
      <c r="A2" s="208" t="s">
        <v>321</v>
      </c>
      <c r="B2" s="219"/>
      <c r="C2" s="219"/>
      <c r="D2" s="219"/>
      <c r="E2" s="219"/>
      <c r="F2" s="761"/>
      <c r="G2" s="762" t="s">
        <v>458</v>
      </c>
      <c r="H2" s="763"/>
      <c r="I2" s="763"/>
      <c r="J2" s="764"/>
      <c r="K2" s="764"/>
      <c r="L2" s="764"/>
      <c r="M2" s="764"/>
      <c r="N2" s="764"/>
      <c r="O2" s="764"/>
      <c r="P2" s="764"/>
      <c r="Q2" s="764"/>
      <c r="R2" s="765"/>
      <c r="S2" s="227"/>
      <c r="T2" s="227"/>
      <c r="U2" s="228">
        <v>0</v>
      </c>
      <c r="V2" s="228">
        <v>0</v>
      </c>
      <c r="W2" s="229" t="s">
        <v>311</v>
      </c>
      <c r="X2" s="229" t="s">
        <v>312</v>
      </c>
      <c r="Y2" s="229" t="s">
        <v>313</v>
      </c>
      <c r="Z2" s="229" t="s">
        <v>9</v>
      </c>
      <c r="AA2" s="229" t="s">
        <v>314</v>
      </c>
      <c r="AB2" s="229" t="s">
        <v>10</v>
      </c>
      <c r="AC2" s="229" t="s">
        <v>9</v>
      </c>
      <c r="AD2" s="229" t="s">
        <v>314</v>
      </c>
    </row>
    <row r="3" spans="1:30" s="213" customFormat="1" ht="9" customHeight="1">
      <c r="A3" s="208" t="s">
        <v>518</v>
      </c>
      <c r="B3" s="210" t="s">
        <v>79</v>
      </c>
      <c r="C3" s="844">
        <f ca="1">+SystemPower</f>
        <v>20</v>
      </c>
      <c r="D3" s="211" t="s">
        <v>80</v>
      </c>
      <c r="E3" s="480">
        <f ca="1">PayBackTime</f>
        <v>2.4444977570468618</v>
      </c>
      <c r="F3" s="761"/>
      <c r="G3" s="766">
        <v>54</v>
      </c>
      <c r="H3" s="763"/>
      <c r="I3" s="763"/>
      <c r="J3" s="764"/>
      <c r="K3" s="764"/>
      <c r="L3" s="764"/>
      <c r="M3" s="764"/>
      <c r="N3" s="764"/>
      <c r="O3" s="764"/>
      <c r="P3" s="764"/>
      <c r="Q3" s="764"/>
      <c r="R3" s="765"/>
      <c r="S3" s="307">
        <f>INT((T3-0)/6)+1</f>
        <v>1</v>
      </c>
      <c r="T3" s="226">
        <v>0</v>
      </c>
      <c r="U3" s="224">
        <f t="shared" ref="U3:U66" si="0">+MOD(INT(T3/6),ColumnsOfMounts)</f>
        <v>0</v>
      </c>
      <c r="V3" s="225">
        <f t="shared" ref="V3:V66" si="1">+MOD(INT(T3/6/ColumnsOfMounts),RowsOfMounts)</f>
        <v>0</v>
      </c>
      <c r="W3" s="233">
        <f ca="1">$U3*EWSpacingFt+XOffset+(PanArrayWidthHighEndFt-PanArrayWidthLowEndFt)/2</f>
        <v>0</v>
      </c>
      <c r="X3" s="234">
        <f ca="1">$V3*NSSpacingFt+YOffset+0</f>
        <v>0</v>
      </c>
      <c r="Y3" s="235">
        <f ca="1">+$V3*NSGradeFt+PedHeight+0</f>
        <v>7.401410761154855</v>
      </c>
      <c r="Z3" s="214">
        <f ca="1">+$W3</f>
        <v>0</v>
      </c>
      <c r="AA3" s="214">
        <f ca="1">+$Y3</f>
        <v>7.401410761154855</v>
      </c>
      <c r="AB3" s="214">
        <f ca="1">+$X3</f>
        <v>0</v>
      </c>
      <c r="AC3" s="214">
        <f ca="1">+$W3-XOffset</f>
        <v>0</v>
      </c>
      <c r="AD3" s="214">
        <f ca="1">+$Y3-YOffset</f>
        <v>7.401410761154855</v>
      </c>
    </row>
    <row r="4" spans="1:30" s="213" customFormat="1" ht="9" customHeight="1">
      <c r="A4" s="208" t="s">
        <v>81</v>
      </c>
      <c r="B4" s="215" t="s">
        <v>160</v>
      </c>
      <c r="C4" s="471">
        <f>Latitude</f>
        <v>0</v>
      </c>
      <c r="D4" s="211" t="s">
        <v>161</v>
      </c>
      <c r="E4" s="219"/>
      <c r="F4" s="761"/>
      <c r="G4" s="767"/>
      <c r="H4" s="764"/>
      <c r="I4" s="768"/>
      <c r="J4" s="769"/>
      <c r="K4" s="769"/>
      <c r="L4" s="769"/>
      <c r="M4" s="769"/>
      <c r="N4" s="769"/>
      <c r="O4" s="769"/>
      <c r="P4" s="769"/>
      <c r="Q4" s="769"/>
      <c r="R4" s="770" t="s">
        <v>471</v>
      </c>
      <c r="S4" s="307"/>
      <c r="T4" s="226">
        <f>+T3+1</f>
        <v>1</v>
      </c>
      <c r="U4" s="224">
        <f t="shared" si="0"/>
        <v>0</v>
      </c>
      <c r="V4" s="225">
        <f t="shared" si="1"/>
        <v>0</v>
      </c>
      <c r="W4" s="236">
        <f ca="1">+$U4*EWSpacingFt+XOffset+PanArrayWidthHighEndFt-(PanArrayWidthHighEndFt-PanArrayWidthLowEndFt)/2</f>
        <v>10.80282152230971</v>
      </c>
      <c r="X4" s="240">
        <f ca="1">$V4*NSSpacingFt+YOffset+0</f>
        <v>0</v>
      </c>
      <c r="Y4" s="244">
        <f ca="1">+$V4*NSGradeFt+PedHeight+0</f>
        <v>7.401410761154855</v>
      </c>
      <c r="Z4" s="214">
        <f ca="1">+$W4</f>
        <v>10.80282152230971</v>
      </c>
      <c r="AA4" s="214">
        <f ca="1">+$Y4</f>
        <v>7.401410761154855</v>
      </c>
      <c r="AB4" s="214">
        <f ca="1">+$X4</f>
        <v>0</v>
      </c>
      <c r="AC4" s="214">
        <f ca="1">+$W4-XOffset</f>
        <v>10.80282152230971</v>
      </c>
      <c r="AD4" s="214">
        <f ca="1">+$Y4-YOffset</f>
        <v>7.401410761154855</v>
      </c>
    </row>
    <row r="5" spans="1:30" s="213" customFormat="1" ht="9" customHeight="1">
      <c r="A5" s="208" t="s">
        <v>154</v>
      </c>
      <c r="B5" s="316">
        <v>0</v>
      </c>
      <c r="C5" s="471">
        <f>DecAng</f>
        <v>0</v>
      </c>
      <c r="D5" s="216">
        <v>0</v>
      </c>
      <c r="E5" s="208" t="s">
        <v>472</v>
      </c>
      <c r="F5" s="761"/>
      <c r="G5" s="771">
        <f>(1/SIN(RADIANS(EWRotate)))*ActuatorLength/2</f>
        <v>28.941511244866845</v>
      </c>
      <c r="H5" s="764"/>
      <c r="I5" s="763"/>
      <c r="J5" s="764"/>
      <c r="K5" s="764"/>
      <c r="L5" s="764"/>
      <c r="M5" s="764"/>
      <c r="N5" s="764"/>
      <c r="O5" s="764"/>
      <c r="P5" s="764"/>
      <c r="Q5" s="764"/>
      <c r="R5" s="765"/>
      <c r="S5" s="307"/>
      <c r="T5" s="226">
        <f t="shared" ref="T5:T68" si="2">+T4+1</f>
        <v>2</v>
      </c>
      <c r="U5" s="224">
        <f t="shared" si="0"/>
        <v>0</v>
      </c>
      <c r="V5" s="225">
        <f t="shared" si="1"/>
        <v>0</v>
      </c>
      <c r="W5" s="237">
        <f ca="1">$U5*EWSpacingFt+XOffset+PanArrayWidthHighEndFt</f>
        <v>10.80282152230971</v>
      </c>
      <c r="X5" s="241">
        <f ca="1">$V5*NSSpacingFt+YOffset+PanArrayLenFt*COS(RADIANS(Latitude+DecAng))</f>
        <v>16.439632545931762</v>
      </c>
      <c r="Y5" s="245">
        <f ca="1">+$V5*NSGradeFt+PedHeight+PanArrayLenFt*SIN(RADIANS(Latitude+DecAng))</f>
        <v>7.401410761154855</v>
      </c>
      <c r="Z5" s="214">
        <f ca="1">+$W5</f>
        <v>10.80282152230971</v>
      </c>
      <c r="AA5" s="214">
        <f ca="1">+$Y5</f>
        <v>7.401410761154855</v>
      </c>
      <c r="AB5" s="214">
        <f ca="1">+$X5</f>
        <v>16.439632545931762</v>
      </c>
      <c r="AC5" s="214">
        <f ca="1">+$W5-XOffset</f>
        <v>10.80282152230971</v>
      </c>
      <c r="AD5" s="214">
        <f ca="1">+$Y5-YOffset</f>
        <v>7.401410761154855</v>
      </c>
    </row>
    <row r="6" spans="1:30" s="213" customFormat="1" ht="9" customHeight="1">
      <c r="A6" s="208" t="s">
        <v>166</v>
      </c>
      <c r="B6" s="708">
        <f ca="1">SIN(RADIANS(NSGradeDeg))*NSSpacingIn</f>
        <v>0</v>
      </c>
      <c r="C6" s="716">
        <f ca="1">+NSGradeIn/12</f>
        <v>0</v>
      </c>
      <c r="D6" s="713">
        <v>0</v>
      </c>
      <c r="E6" s="374" t="s">
        <v>456</v>
      </c>
      <c r="F6" s="761" t="s">
        <v>667</v>
      </c>
      <c r="G6" s="772"/>
      <c r="H6" s="773"/>
      <c r="I6" s="763"/>
      <c r="J6" s="764"/>
      <c r="K6" s="764"/>
      <c r="L6" s="764"/>
      <c r="M6" s="764"/>
      <c r="N6" s="764"/>
      <c r="O6" s="764"/>
      <c r="P6" s="764"/>
      <c r="Q6" s="764"/>
      <c r="R6" s="765"/>
      <c r="S6" s="307"/>
      <c r="T6" s="226">
        <f t="shared" si="2"/>
        <v>3</v>
      </c>
      <c r="U6" s="224">
        <f t="shared" si="0"/>
        <v>0</v>
      </c>
      <c r="V6" s="225">
        <f t="shared" si="1"/>
        <v>0</v>
      </c>
      <c r="W6" s="238">
        <f ca="1">$U6*EWSpacingFt+XOffset+0</f>
        <v>0</v>
      </c>
      <c r="X6" s="242">
        <f ca="1">$V6*NSSpacingFt+YOffset+PanArrayLenFt*COS(RADIANS(Latitude+DecAng))</f>
        <v>16.439632545931762</v>
      </c>
      <c r="Y6" s="246">
        <f ca="1">+$V6*NSGradeFt+PedHeight+PanArrayLenFt*SIN(RADIANS(Latitude+DecAng))</f>
        <v>7.401410761154855</v>
      </c>
      <c r="Z6" s="214">
        <f ca="1">+$W6</f>
        <v>0</v>
      </c>
      <c r="AA6" s="214">
        <f ca="1">+$Y6</f>
        <v>7.401410761154855</v>
      </c>
      <c r="AB6" s="214">
        <f ca="1">+$X6</f>
        <v>16.439632545931762</v>
      </c>
      <c r="AC6" s="214">
        <f ca="1">+$W6-XOffset</f>
        <v>0</v>
      </c>
      <c r="AD6" s="214">
        <f ca="1">+$Y6-YOffset</f>
        <v>7.401410761154855</v>
      </c>
    </row>
    <row r="7" spans="1:30" s="213" customFormat="1" ht="9" customHeight="1" thickBot="1">
      <c r="A7" s="208" t="s">
        <v>157</v>
      </c>
      <c r="B7" s="315">
        <v>20</v>
      </c>
      <c r="C7" s="212"/>
      <c r="D7" s="356">
        <v>21.105967076410099</v>
      </c>
      <c r="E7" s="357">
        <f>+EWRotate*2</f>
        <v>137.78806584717981</v>
      </c>
      <c r="F7" s="761"/>
      <c r="G7" s="774">
        <f ca="1">1/COS(RADIANS(EWRotate))*WindTorque*COS(RADIANS(EWSolarPowerAngle))*12/ActuatorAttachmentDistance</f>
        <v>4721.2151983411541</v>
      </c>
      <c r="H7" s="846">
        <f ca="1">CONVERT(ActuatorDeadForceLbs,"lbf","N")</f>
        <v>21001.013311995484</v>
      </c>
      <c r="I7" s="775"/>
      <c r="J7" s="776"/>
      <c r="K7" s="776"/>
      <c r="L7" s="776"/>
      <c r="M7" s="776"/>
      <c r="N7" s="776"/>
      <c r="O7" s="776"/>
      <c r="P7" s="776"/>
      <c r="Q7" s="776"/>
      <c r="R7" s="777"/>
      <c r="S7" s="307"/>
      <c r="T7" s="226">
        <f t="shared" si="2"/>
        <v>4</v>
      </c>
      <c r="U7" s="224">
        <f t="shared" si="0"/>
        <v>0</v>
      </c>
      <c r="V7" s="225">
        <f t="shared" si="1"/>
        <v>0</v>
      </c>
      <c r="W7" s="239">
        <f ca="1">$U7*EWSpacingFt+XOffset+(PanArrayWidthHighEndFt-PanArrayWidthLowEndFt)/2</f>
        <v>0</v>
      </c>
      <c r="X7" s="243">
        <f ca="1">$V7*NSSpacingFt+YOffset+0</f>
        <v>0</v>
      </c>
      <c r="Y7" s="247">
        <f ca="1">+$V7*NSGradeFt+PedHeight+0</f>
        <v>7.401410761154855</v>
      </c>
      <c r="Z7" s="214">
        <f ca="1">+$W7</f>
        <v>0</v>
      </c>
      <c r="AA7" s="214">
        <f ca="1">+$Y7</f>
        <v>7.401410761154855</v>
      </c>
      <c r="AB7" s="214">
        <f ca="1">+$X7</f>
        <v>0</v>
      </c>
      <c r="AC7" s="214">
        <f ca="1">+$W7-XOffset</f>
        <v>0</v>
      </c>
      <c r="AD7" s="214">
        <f ca="1">+$Y7-YOffset</f>
        <v>7.401410761154855</v>
      </c>
    </row>
    <row r="8" spans="1:30" s="213" customFormat="1" ht="9" customHeight="1" thickTop="1">
      <c r="A8" s="208" t="s">
        <v>345</v>
      </c>
      <c r="B8" s="714">
        <f ca="1">+PanWidthHighEnd</f>
        <v>10.80282152230971</v>
      </c>
      <c r="C8" s="714">
        <f ca="1">+PanWidthLowEnd</f>
        <v>10.80282152230971</v>
      </c>
      <c r="D8" s="712">
        <f ca="1">PanArrayWidthHighEndFt*12</f>
        <v>129.6338582677165</v>
      </c>
      <c r="E8" s="219">
        <v>16.2064338198808</v>
      </c>
      <c r="F8" s="757"/>
      <c r="G8" s="778" t="s">
        <v>470</v>
      </c>
      <c r="H8" s="779" t="s">
        <v>662</v>
      </c>
      <c r="I8" s="780"/>
      <c r="J8" s="781"/>
      <c r="K8" s="781"/>
      <c r="L8" s="781"/>
      <c r="M8" s="781"/>
      <c r="N8" s="781"/>
      <c r="O8" s="781"/>
      <c r="P8" s="781"/>
      <c r="Q8" s="781"/>
      <c r="R8" s="782"/>
      <c r="S8" s="307"/>
      <c r="T8" s="226">
        <f t="shared" si="2"/>
        <v>5</v>
      </c>
      <c r="U8" s="224">
        <f t="shared" si="0"/>
        <v>0</v>
      </c>
      <c r="V8" s="225">
        <f t="shared" si="1"/>
        <v>0</v>
      </c>
      <c r="W8" s="217"/>
      <c r="X8" s="217"/>
      <c r="Y8" s="217"/>
      <c r="Z8" s="214"/>
      <c r="AA8" s="214"/>
      <c r="AB8" s="214"/>
      <c r="AC8" s="214"/>
      <c r="AD8" s="214"/>
    </row>
    <row r="9" spans="1:30" s="213" customFormat="1" ht="9" customHeight="1">
      <c r="A9" s="208" t="s">
        <v>159</v>
      </c>
      <c r="B9" s="709">
        <f ca="1">PanArrayLenFt*12</f>
        <v>197.27559055118115</v>
      </c>
      <c r="C9" s="717">
        <f ca="1">+PanArrayLen</f>
        <v>16.439632545931762</v>
      </c>
      <c r="D9" s="219"/>
      <c r="E9" s="219"/>
      <c r="F9" s="761" t="s">
        <v>663</v>
      </c>
      <c r="G9" s="772"/>
      <c r="H9" s="783">
        <v>10</v>
      </c>
      <c r="I9" s="775"/>
      <c r="J9" s="776"/>
      <c r="K9" s="776"/>
      <c r="L9" s="776"/>
      <c r="M9" s="776"/>
      <c r="N9" s="776"/>
      <c r="O9" s="776"/>
      <c r="P9" s="776"/>
      <c r="Q9" s="776"/>
      <c r="R9" s="777"/>
      <c r="S9" s="307">
        <f>INT((T9-0)/6)+1</f>
        <v>2</v>
      </c>
      <c r="T9" s="226">
        <f t="shared" si="2"/>
        <v>6</v>
      </c>
      <c r="U9" s="224">
        <f t="shared" si="0"/>
        <v>1</v>
      </c>
      <c r="V9" s="225">
        <f t="shared" si="1"/>
        <v>0</v>
      </c>
      <c r="W9" s="233">
        <f ca="1">$U9*EWSpacingFt+XOffset+(PanArrayWidthHighEndFt-PanArrayWidthLowEndFt)/2</f>
        <v>30.000006832286932</v>
      </c>
      <c r="X9" s="234">
        <f ca="1">$V9*NSSpacingFt+YOffset+0</f>
        <v>0</v>
      </c>
      <c r="Y9" s="235">
        <f ca="1">+$V9*NSGradeFt+PedHeight+0</f>
        <v>7.401410761154855</v>
      </c>
      <c r="Z9" s="214">
        <f ca="1">+$W9</f>
        <v>30.000006832286932</v>
      </c>
      <c r="AA9" s="214">
        <f ca="1">+$Y9</f>
        <v>7.401410761154855</v>
      </c>
      <c r="AB9" s="214">
        <f ca="1">+$X9</f>
        <v>0</v>
      </c>
      <c r="AC9" s="214">
        <f ca="1">+$W9-XOffset</f>
        <v>30.000006832286932</v>
      </c>
    </row>
    <row r="10" spans="1:30" s="213" customFormat="1" ht="9" customHeight="1">
      <c r="A10" s="208" t="s">
        <v>158</v>
      </c>
      <c r="B10" s="715">
        <f ca="1">+NSSpacingFt*(RowsOfMounts-1)+PanArrayLenFt*COS(RADIANS(Lat+Dec))</f>
        <v>70.43963254593173</v>
      </c>
      <c r="C10" s="408">
        <v>4</v>
      </c>
      <c r="D10" s="715">
        <f ca="1">+EWSpacingFt*(ColumnsOfMounts-1)+PanArrayWidthHighEndFt</f>
        <v>40.802828354596642</v>
      </c>
      <c r="E10" s="409">
        <v>2</v>
      </c>
      <c r="F10" s="761"/>
      <c r="G10" s="784">
        <f>1440</f>
        <v>1440</v>
      </c>
      <c r="H10" s="785" t="s">
        <v>457</v>
      </c>
      <c r="I10" s="775"/>
      <c r="J10" s="776"/>
      <c r="K10" s="776"/>
      <c r="L10" s="776"/>
      <c r="M10" s="776"/>
      <c r="N10" s="776"/>
      <c r="O10" s="776"/>
      <c r="P10" s="776"/>
      <c r="Q10" s="776"/>
      <c r="R10" s="777"/>
      <c r="S10" s="307"/>
      <c r="T10" s="226">
        <f t="shared" si="2"/>
        <v>7</v>
      </c>
      <c r="U10" s="224">
        <f t="shared" si="0"/>
        <v>1</v>
      </c>
      <c r="V10" s="225">
        <f t="shared" si="1"/>
        <v>0</v>
      </c>
      <c r="W10" s="236">
        <f ca="1">+$U10*EWSpacingFt+XOffset+PanArrayWidthHighEndFt-(PanArrayWidthHighEndFt-PanArrayWidthLowEndFt)/2</f>
        <v>40.802828354596642</v>
      </c>
      <c r="X10" s="240">
        <f ca="1">$V10*NSSpacingFt+YOffset+0</f>
        <v>0</v>
      </c>
      <c r="Y10" s="244">
        <f ca="1">+$V10*NSGradeFt+PedHeight+0</f>
        <v>7.401410761154855</v>
      </c>
      <c r="Z10" s="214">
        <f ca="1">+$W10</f>
        <v>40.802828354596642</v>
      </c>
      <c r="AA10" s="214">
        <f ca="1">+$Y10</f>
        <v>7.401410761154855</v>
      </c>
      <c r="AB10" s="214">
        <f ca="1">+$X10</f>
        <v>0</v>
      </c>
      <c r="AC10" s="214">
        <f ca="1">+$W10-XOffset</f>
        <v>40.802828354596642</v>
      </c>
    </row>
    <row r="11" spans="1:30" s="213" customFormat="1" ht="9" customHeight="1">
      <c r="A11" s="208" t="s">
        <v>155</v>
      </c>
      <c r="B11" s="218">
        <f>Lat+Dec</f>
        <v>0</v>
      </c>
      <c r="C11" s="410"/>
      <c r="D11" s="410"/>
      <c r="E11" s="411"/>
      <c r="F11" s="761"/>
      <c r="G11" s="845">
        <f>1440/RotaryReduction*RotarySpeedFactor</f>
        <v>10</v>
      </c>
      <c r="H11" s="783">
        <v>1.5</v>
      </c>
      <c r="I11" s="763"/>
      <c r="J11" s="764"/>
      <c r="K11" s="764"/>
      <c r="L11" s="764"/>
      <c r="M11" s="764"/>
      <c r="N11" s="764"/>
      <c r="O11" s="764"/>
      <c r="P11" s="764"/>
      <c r="Q11" s="764"/>
      <c r="R11" s="765"/>
      <c r="S11" s="307"/>
      <c r="T11" s="226">
        <f t="shared" si="2"/>
        <v>8</v>
      </c>
      <c r="U11" s="224">
        <f t="shared" si="0"/>
        <v>1</v>
      </c>
      <c r="V11" s="225">
        <f t="shared" si="1"/>
        <v>0</v>
      </c>
      <c r="W11" s="237">
        <f ca="1">$U11*EWSpacingFt+XOffset+PanArrayWidthHighEndFt</f>
        <v>40.802828354596642</v>
      </c>
      <c r="X11" s="241">
        <f ca="1">$V11*NSSpacingFt+YOffset+PanArrayLenFt*COS(RADIANS(Latitude+DecAng))</f>
        <v>16.439632545931762</v>
      </c>
      <c r="Y11" s="245">
        <f ca="1">+$V11*NSGradeFt+PedHeight+PanArrayLenFt*SIN(RADIANS(Latitude+DecAng))</f>
        <v>7.401410761154855</v>
      </c>
      <c r="Z11" s="214">
        <f ca="1">+$W11</f>
        <v>40.802828354596642</v>
      </c>
      <c r="AA11" s="214">
        <f ca="1">+$Y11</f>
        <v>7.401410761154855</v>
      </c>
      <c r="AB11" s="214">
        <f ca="1">+$X11</f>
        <v>16.439632545931762</v>
      </c>
      <c r="AC11" s="214">
        <f ca="1">+$W11-XOffset</f>
        <v>40.802828354596642</v>
      </c>
    </row>
    <row r="12" spans="1:30" s="213" customFormat="1" ht="9" customHeight="1">
      <c r="A12" s="208" t="s">
        <v>164</v>
      </c>
      <c r="B12" s="219"/>
      <c r="C12" s="219"/>
      <c r="D12" s="220">
        <f>90-EWSolarPowerAngle</f>
        <v>68.894032923589904</v>
      </c>
      <c r="E12" s="698"/>
      <c r="F12" s="761" t="s">
        <v>665</v>
      </c>
      <c r="G12" s="786"/>
      <c r="H12" s="787" t="s">
        <v>664</v>
      </c>
      <c r="I12" s="788"/>
      <c r="J12" s="789"/>
      <c r="K12" s="789"/>
      <c r="L12" s="789"/>
      <c r="M12" s="789"/>
      <c r="N12" s="789"/>
      <c r="O12" s="789"/>
      <c r="P12" s="789"/>
      <c r="Q12" s="789"/>
      <c r="R12" s="790"/>
      <c r="S12" s="307"/>
      <c r="T12" s="226">
        <f t="shared" si="2"/>
        <v>9</v>
      </c>
      <c r="U12" s="224">
        <f t="shared" si="0"/>
        <v>1</v>
      </c>
      <c r="V12" s="225">
        <f t="shared" si="1"/>
        <v>0</v>
      </c>
      <c r="W12" s="238">
        <f ca="1">$U12*EWSpacingFt+XOffset+0</f>
        <v>30.000006832286932</v>
      </c>
      <c r="X12" s="242">
        <f ca="1">$V12*NSSpacingFt+YOffset+PanArrayLenFt*COS(RADIANS(Latitude+DecAng))</f>
        <v>16.439632545931762</v>
      </c>
      <c r="Y12" s="246">
        <f ca="1">+$V12*NSGradeFt+PedHeight+PanArrayLenFt*SIN(RADIANS(Latitude+DecAng))</f>
        <v>7.401410761154855</v>
      </c>
      <c r="Z12" s="214">
        <f ca="1">+$W12</f>
        <v>30.000006832286932</v>
      </c>
      <c r="AA12" s="214">
        <f ca="1">+$Y12</f>
        <v>7.401410761154855</v>
      </c>
      <c r="AB12" s="214">
        <f ca="1">+$X12</f>
        <v>16.439632545931762</v>
      </c>
      <c r="AC12" s="214">
        <f ca="1">+$W12-XOffset</f>
        <v>30.000006832286932</v>
      </c>
    </row>
    <row r="13" spans="1:30" s="213" customFormat="1" ht="9" customHeight="1">
      <c r="A13" s="208" t="s">
        <v>165</v>
      </c>
      <c r="B13" s="710">
        <f ca="1">+SIN(RADIANS(180-NSTilt-NSSolarPowerAngle-NSGradeDeg))*(PanArrayLen+LowEndExt+HighEndExt)*12/SIN(RADIANS(NSSolarPowerAngle+NSGradeDeg))</f>
        <v>215.99999999999989</v>
      </c>
      <c r="C13" s="718">
        <f ca="1">+NSSpacingIn/12</f>
        <v>17.999999999999989</v>
      </c>
      <c r="D13" s="711">
        <f ca="1">PanArrayWidthIn/SIN(RADIANS(90-EWRotate))</f>
        <v>360.0000819874432</v>
      </c>
      <c r="E13" s="719">
        <f ca="1">+EWSpacingIn/12</f>
        <v>30.000006832286932</v>
      </c>
      <c r="F13" s="761"/>
      <c r="G13" s="791">
        <f ca="1">+WindTorque*COS(RADIANS(EWSolarPowerAngle))/RotaryReduction*RotarySpeedFactor*RotaryFrictionFactor</f>
        <v>42.710865272928167</v>
      </c>
      <c r="H13" s="766">
        <f>+ActuatorAttachmentDistance*2</f>
        <v>57.88302248973369</v>
      </c>
      <c r="I13" s="788"/>
      <c r="J13" s="789"/>
      <c r="K13" s="789"/>
      <c r="L13" s="789"/>
      <c r="M13" s="789"/>
      <c r="N13" s="789"/>
      <c r="O13" s="789"/>
      <c r="P13" s="789"/>
      <c r="Q13" s="789"/>
      <c r="R13" s="790"/>
      <c r="S13" s="307"/>
      <c r="T13" s="226">
        <f t="shared" si="2"/>
        <v>10</v>
      </c>
      <c r="U13" s="224">
        <f t="shared" si="0"/>
        <v>1</v>
      </c>
      <c r="V13" s="225">
        <f t="shared" si="1"/>
        <v>0</v>
      </c>
      <c r="W13" s="239">
        <f ca="1">$U13*EWSpacingFt+XOffset+(PanArrayWidthHighEndFt-PanArrayWidthLowEndFt)/2</f>
        <v>30.000006832286932</v>
      </c>
      <c r="X13" s="243">
        <f ca="1">$V13*NSSpacingFt+YOffset+0</f>
        <v>0</v>
      </c>
      <c r="Y13" s="247">
        <f ca="1">+$V13*NSGradeFt+PedHeight+0</f>
        <v>7.401410761154855</v>
      </c>
      <c r="Z13" s="214">
        <f ca="1">+$W13</f>
        <v>30.000006832286932</v>
      </c>
      <c r="AA13" s="214">
        <f ca="1">+$Y13</f>
        <v>7.401410761154855</v>
      </c>
      <c r="AB13" s="214">
        <f ca="1">+$X13</f>
        <v>0</v>
      </c>
      <c r="AC13" s="214">
        <f ca="1">+$W13-XOffset</f>
        <v>30.000006832286932</v>
      </c>
    </row>
    <row r="14" spans="1:30" s="213" customFormat="1" ht="9" customHeight="1">
      <c r="A14" s="208" t="s">
        <v>156</v>
      </c>
      <c r="B14" s="710">
        <f ca="1">+NSSpacingIn-PanArrayLenIn*COS(RADIANS(ABS(Latitude)+ABS(DecAng)))</f>
        <v>18.724409448818733</v>
      </c>
      <c r="C14" s="718">
        <f ca="1">+NSGapIn/12</f>
        <v>1.5603674540682277</v>
      </c>
      <c r="D14" s="711">
        <f ca="1">EWSpacingIn-PanArrayWidthIn</f>
        <v>230.36622371972669</v>
      </c>
      <c r="E14" s="719">
        <f ca="1">+EWGapIn/12</f>
        <v>19.197185309977225</v>
      </c>
      <c r="F14" s="761"/>
      <c r="G14" s="792">
        <f ca="1">RotaryMotorTorqueFtLbs*12</f>
        <v>512.53038327513798</v>
      </c>
      <c r="H14" s="764" t="s">
        <v>666</v>
      </c>
      <c r="I14" s="763"/>
      <c r="J14" s="764"/>
      <c r="K14" s="764"/>
      <c r="L14" s="764"/>
      <c r="M14" s="764"/>
      <c r="N14" s="764"/>
      <c r="O14" s="764"/>
      <c r="P14" s="764"/>
      <c r="Q14" s="764"/>
      <c r="R14" s="765"/>
      <c r="S14" s="307"/>
      <c r="T14" s="226">
        <f t="shared" si="2"/>
        <v>11</v>
      </c>
      <c r="U14" s="224">
        <f t="shared" si="0"/>
        <v>1</v>
      </c>
      <c r="V14" s="225">
        <f t="shared" si="1"/>
        <v>0</v>
      </c>
      <c r="W14" s="217"/>
      <c r="X14" s="217"/>
      <c r="Y14" s="217"/>
      <c r="Z14" s="214"/>
      <c r="AA14" s="214"/>
      <c r="AB14" s="214"/>
      <c r="AC14" s="214"/>
    </row>
    <row r="15" spans="1:30" s="213" customFormat="1" ht="9" customHeight="1" thickBot="1">
      <c r="A15" s="219"/>
      <c r="B15" s="219"/>
      <c r="C15" s="219"/>
      <c r="D15" s="219"/>
      <c r="E15" s="219"/>
      <c r="F15" s="793"/>
      <c r="G15" s="794">
        <f ca="1">RotaryMotorTorqueFtLbs*12*16</f>
        <v>8200.4861324022077</v>
      </c>
      <c r="H15" s="798">
        <f ca="1">+WindTorque*COS(RADIANS(EWSolarPowerAngle))*12/(RotaryPullyDiameterIn/2)</f>
        <v>1700.0811180217836</v>
      </c>
      <c r="I15" s="795"/>
      <c r="J15" s="796"/>
      <c r="K15" s="796"/>
      <c r="L15" s="796"/>
      <c r="M15" s="796"/>
      <c r="N15" s="796"/>
      <c r="O15" s="796"/>
      <c r="P15" s="796"/>
      <c r="Q15" s="796"/>
      <c r="R15" s="797"/>
      <c r="S15" s="307">
        <f>INT((T15-0)/6)+1</f>
        <v>3</v>
      </c>
      <c r="T15" s="226">
        <f t="shared" si="2"/>
        <v>12</v>
      </c>
      <c r="U15" s="224">
        <f t="shared" si="0"/>
        <v>0</v>
      </c>
      <c r="V15" s="225">
        <f t="shared" si="1"/>
        <v>1</v>
      </c>
      <c r="W15" s="233">
        <f ca="1">$U15*EWSpacingFt+XOffset+(PanArrayWidthHighEndFt-PanArrayWidthLowEndFt)/2</f>
        <v>0</v>
      </c>
      <c r="X15" s="234">
        <f ca="1">$V15*NSSpacingFt+YOffset+0</f>
        <v>17.999999999999989</v>
      </c>
      <c r="Y15" s="235">
        <f ca="1">+$V15*NSGradeFt+PedHeight+0</f>
        <v>7.401410761154855</v>
      </c>
      <c r="Z15" s="214">
        <f ca="1">+$W15</f>
        <v>0</v>
      </c>
      <c r="AA15" s="214">
        <f ca="1">+$Y15</f>
        <v>7.401410761154855</v>
      </c>
      <c r="AB15" s="214">
        <f ca="1">+$X15</f>
        <v>17.999999999999989</v>
      </c>
      <c r="AC15" s="214">
        <f ca="1">+$W15-XOffset</f>
        <v>0</v>
      </c>
    </row>
    <row r="16" spans="1:30" s="213" customFormat="1" ht="9" customHeight="1" thickTop="1">
      <c r="A16" s="219"/>
      <c r="B16" s="219"/>
      <c r="C16" s="219"/>
      <c r="D16" s="219"/>
      <c r="E16" s="219"/>
      <c r="F16" s="212"/>
      <c r="G16" s="376"/>
      <c r="H16" s="212"/>
      <c r="I16" s="212"/>
      <c r="S16" s="307"/>
      <c r="T16" s="226">
        <f t="shared" si="2"/>
        <v>13</v>
      </c>
      <c r="U16" s="224">
        <f t="shared" si="0"/>
        <v>0</v>
      </c>
      <c r="V16" s="225">
        <f t="shared" si="1"/>
        <v>1</v>
      </c>
      <c r="W16" s="236">
        <f ca="1">+$U16*EWSpacingFt+XOffset+PanArrayWidthHighEndFt-(PanArrayWidthHighEndFt-PanArrayWidthLowEndFt)/2</f>
        <v>10.80282152230971</v>
      </c>
      <c r="X16" s="240">
        <f ca="1">$V16*NSSpacingFt+YOffset+0</f>
        <v>17.999999999999989</v>
      </c>
      <c r="Y16" s="244">
        <f ca="1">+$V16*NSGradeFt+PedHeight+0</f>
        <v>7.401410761154855</v>
      </c>
      <c r="Z16" s="214">
        <f ca="1">+$W16</f>
        <v>10.80282152230971</v>
      </c>
      <c r="AA16" s="214">
        <f ca="1">+$Y16</f>
        <v>7.401410761154855</v>
      </c>
      <c r="AB16" s="214">
        <f ca="1">+$X16</f>
        <v>17.999999999999989</v>
      </c>
      <c r="AC16" s="214">
        <f ca="1">+$W16-XOffset</f>
        <v>10.80282152230971</v>
      </c>
    </row>
    <row r="17" spans="1:29" s="213" customFormat="1" ht="9" customHeight="1">
      <c r="A17" s="208"/>
      <c r="B17" s="212"/>
      <c r="C17" s="212"/>
      <c r="D17" s="212"/>
      <c r="E17" s="212"/>
      <c r="F17" s="212"/>
      <c r="G17" s="375"/>
      <c r="H17" s="212"/>
      <c r="I17" s="212"/>
      <c r="S17" s="307"/>
      <c r="T17" s="226">
        <f t="shared" si="2"/>
        <v>14</v>
      </c>
      <c r="U17" s="224">
        <f t="shared" si="0"/>
        <v>0</v>
      </c>
      <c r="V17" s="225">
        <f t="shared" si="1"/>
        <v>1</v>
      </c>
      <c r="W17" s="237">
        <f ca="1">$U17*EWSpacingFt+XOffset+PanArrayWidthHighEndFt</f>
        <v>10.80282152230971</v>
      </c>
      <c r="X17" s="241">
        <f ca="1">$V17*NSSpacingFt+YOffset+PanArrayLenFt*COS(RADIANS(Latitude+DecAng))</f>
        <v>34.439632545931751</v>
      </c>
      <c r="Y17" s="245">
        <f ca="1">+$V17*NSGradeFt+PedHeight+PanArrayLenFt*SIN(RADIANS(Latitude+DecAng))</f>
        <v>7.401410761154855</v>
      </c>
      <c r="Z17" s="214">
        <f ca="1">+$W17</f>
        <v>10.80282152230971</v>
      </c>
      <c r="AA17" s="214">
        <f ca="1">+$Y17</f>
        <v>7.401410761154855</v>
      </c>
      <c r="AB17" s="214">
        <f ca="1">+$X17</f>
        <v>34.439632545931751</v>
      </c>
      <c r="AC17" s="214">
        <f ca="1">+$W17-XOffset</f>
        <v>10.80282152230971</v>
      </c>
    </row>
    <row r="18" spans="1:29" s="213" customFormat="1" ht="9" customHeight="1">
      <c r="A18" s="207"/>
      <c r="B18" s="212"/>
      <c r="C18" s="212"/>
      <c r="D18" s="212"/>
      <c r="E18" s="212"/>
      <c r="F18" s="212"/>
      <c r="G18" s="212"/>
      <c r="H18" s="212"/>
      <c r="I18" s="212"/>
      <c r="S18" s="307"/>
      <c r="T18" s="226">
        <f t="shared" si="2"/>
        <v>15</v>
      </c>
      <c r="U18" s="224">
        <f t="shared" si="0"/>
        <v>0</v>
      </c>
      <c r="V18" s="225">
        <f t="shared" si="1"/>
        <v>1</v>
      </c>
      <c r="W18" s="238">
        <f ca="1">$U18*EWSpacingFt+XOffset+0</f>
        <v>0</v>
      </c>
      <c r="X18" s="242">
        <f ca="1">$V18*NSSpacingFt+YOffset+PanArrayLenFt*COS(RADIANS(Latitude+DecAng))</f>
        <v>34.439632545931751</v>
      </c>
      <c r="Y18" s="246">
        <f ca="1">+$V18*NSGradeFt+PedHeight+PanArrayLenFt*SIN(RADIANS(Latitude+DecAng))</f>
        <v>7.401410761154855</v>
      </c>
      <c r="Z18" s="214">
        <f ca="1">+$W18</f>
        <v>0</v>
      </c>
      <c r="AA18" s="214">
        <f ca="1">+$Y18</f>
        <v>7.401410761154855</v>
      </c>
      <c r="AB18" s="214">
        <f ca="1">+$X18</f>
        <v>34.439632545931751</v>
      </c>
      <c r="AC18" s="214">
        <f ca="1">+$W18-XOffset</f>
        <v>0</v>
      </c>
    </row>
    <row r="19" spans="1:29" s="213" customFormat="1" ht="9" customHeight="1">
      <c r="A19" s="207"/>
      <c r="B19" s="212"/>
      <c r="C19" s="212"/>
      <c r="D19" s="212"/>
      <c r="E19" s="212"/>
      <c r="F19" s="212"/>
      <c r="G19" s="212"/>
      <c r="H19" s="212"/>
      <c r="I19" s="212"/>
      <c r="S19" s="307"/>
      <c r="T19" s="226">
        <f t="shared" si="2"/>
        <v>16</v>
      </c>
      <c r="U19" s="224">
        <f t="shared" si="0"/>
        <v>0</v>
      </c>
      <c r="V19" s="225">
        <f t="shared" si="1"/>
        <v>1</v>
      </c>
      <c r="W19" s="239">
        <f ca="1">$U19*EWSpacingFt+XOffset+(PanArrayWidthHighEndFt-PanArrayWidthLowEndFt)/2</f>
        <v>0</v>
      </c>
      <c r="X19" s="243">
        <f ca="1">$V19*NSSpacingFt+YOffset+0</f>
        <v>17.999999999999989</v>
      </c>
      <c r="Y19" s="247">
        <f ca="1">+$V19*NSGradeFt+PedHeight+0</f>
        <v>7.401410761154855</v>
      </c>
      <c r="Z19" s="214">
        <f ca="1">+$W19</f>
        <v>0</v>
      </c>
      <c r="AA19" s="214">
        <f ca="1">+$Y19</f>
        <v>7.401410761154855</v>
      </c>
      <c r="AB19" s="214">
        <f ca="1">+$X19</f>
        <v>17.999999999999989</v>
      </c>
      <c r="AC19" s="214">
        <f ca="1">+$W19-XOffset</f>
        <v>0</v>
      </c>
    </row>
    <row r="20" spans="1:29" s="213" customFormat="1" ht="9" customHeight="1">
      <c r="A20" s="207"/>
      <c r="B20" s="212"/>
      <c r="C20" s="212"/>
      <c r="D20" s="212"/>
      <c r="E20" s="212"/>
      <c r="F20" s="212"/>
      <c r="G20" s="212"/>
      <c r="H20" s="212"/>
      <c r="I20" s="212"/>
      <c r="S20" s="307"/>
      <c r="T20" s="226">
        <f t="shared" si="2"/>
        <v>17</v>
      </c>
      <c r="U20" s="224">
        <f t="shared" si="0"/>
        <v>0</v>
      </c>
      <c r="V20" s="225">
        <f t="shared" si="1"/>
        <v>1</v>
      </c>
      <c r="W20" s="217"/>
      <c r="X20" s="217"/>
      <c r="Y20" s="217"/>
      <c r="Z20" s="214"/>
      <c r="AA20" s="214"/>
      <c r="AB20" s="214"/>
      <c r="AC20" s="214"/>
    </row>
    <row r="21" spans="1:29" s="213" customFormat="1" ht="9" customHeight="1">
      <c r="A21" s="207"/>
      <c r="B21" s="212"/>
      <c r="C21" s="212"/>
      <c r="D21" s="212"/>
      <c r="E21" s="212"/>
      <c r="F21" s="212"/>
      <c r="G21" s="212"/>
      <c r="H21" s="212"/>
      <c r="I21" s="212"/>
      <c r="S21" s="307">
        <f>INT((T21-0)/6)+1</f>
        <v>4</v>
      </c>
      <c r="T21" s="226">
        <f t="shared" si="2"/>
        <v>18</v>
      </c>
      <c r="U21" s="224">
        <f t="shared" si="0"/>
        <v>1</v>
      </c>
      <c r="V21" s="225">
        <f t="shared" si="1"/>
        <v>1</v>
      </c>
      <c r="W21" s="233">
        <f ca="1">$U21*EWSpacingFt+XOffset+(PanArrayWidthHighEndFt-PanArrayWidthLowEndFt)/2</f>
        <v>30.000006832286932</v>
      </c>
      <c r="X21" s="234">
        <f ca="1">$V21*NSSpacingFt+YOffset+0</f>
        <v>17.999999999999989</v>
      </c>
      <c r="Y21" s="235">
        <f ca="1">+$V21*NSGradeFt+PedHeight+0</f>
        <v>7.401410761154855</v>
      </c>
      <c r="Z21" s="214">
        <f ca="1">+$W21</f>
        <v>30.000006832286932</v>
      </c>
      <c r="AA21" s="214">
        <f ca="1">+$Y21</f>
        <v>7.401410761154855</v>
      </c>
      <c r="AB21" s="214">
        <f ca="1">+$X21</f>
        <v>17.999999999999989</v>
      </c>
      <c r="AC21" s="214">
        <f ca="1">+$W21-XOffset</f>
        <v>30.000006832286932</v>
      </c>
    </row>
    <row r="22" spans="1:29" s="213" customFormat="1" ht="9" customHeight="1">
      <c r="A22" s="207"/>
      <c r="B22" s="212"/>
      <c r="C22" s="212"/>
      <c r="D22" s="212"/>
      <c r="E22" s="212"/>
      <c r="F22" s="212"/>
      <c r="G22" s="212"/>
      <c r="H22" s="212"/>
      <c r="I22" s="212"/>
      <c r="S22" s="307"/>
      <c r="T22" s="226">
        <f t="shared" si="2"/>
        <v>19</v>
      </c>
      <c r="U22" s="224">
        <f t="shared" si="0"/>
        <v>1</v>
      </c>
      <c r="V22" s="225">
        <f t="shared" si="1"/>
        <v>1</v>
      </c>
      <c r="W22" s="236">
        <f ca="1">+$U22*EWSpacingFt+XOffset+PanArrayWidthHighEndFt-(PanArrayWidthHighEndFt-PanArrayWidthLowEndFt)/2</f>
        <v>40.802828354596642</v>
      </c>
      <c r="X22" s="240">
        <f ca="1">$V22*NSSpacingFt+YOffset+0</f>
        <v>17.999999999999989</v>
      </c>
      <c r="Y22" s="244">
        <f ca="1">+$V22*NSGradeFt+PedHeight+0</f>
        <v>7.401410761154855</v>
      </c>
      <c r="Z22" s="214">
        <f ca="1">+$W22</f>
        <v>40.802828354596642</v>
      </c>
      <c r="AA22" s="214">
        <f ca="1">+$Y22</f>
        <v>7.401410761154855</v>
      </c>
      <c r="AB22" s="214">
        <f ca="1">+$X22</f>
        <v>17.999999999999989</v>
      </c>
      <c r="AC22" s="214">
        <f ca="1">+$W22-XOffset</f>
        <v>40.802828354596642</v>
      </c>
    </row>
    <row r="23" spans="1:29" s="213" customFormat="1" ht="9" customHeight="1">
      <c r="A23" s="207"/>
      <c r="B23" s="212"/>
      <c r="C23" s="212"/>
      <c r="D23" s="212"/>
      <c r="E23" s="212"/>
      <c r="F23" s="212"/>
      <c r="G23" s="212"/>
      <c r="H23" s="212"/>
      <c r="I23" s="212"/>
      <c r="S23" s="307"/>
      <c r="T23" s="226">
        <f t="shared" si="2"/>
        <v>20</v>
      </c>
      <c r="U23" s="224">
        <f t="shared" si="0"/>
        <v>1</v>
      </c>
      <c r="V23" s="225">
        <f t="shared" si="1"/>
        <v>1</v>
      </c>
      <c r="W23" s="237">
        <f ca="1">$U23*EWSpacingFt+XOffset+PanArrayWidthHighEndFt</f>
        <v>40.802828354596642</v>
      </c>
      <c r="X23" s="241">
        <f ca="1">$V23*NSSpacingFt+YOffset+PanArrayLenFt*COS(RADIANS(Latitude+DecAng))</f>
        <v>34.439632545931751</v>
      </c>
      <c r="Y23" s="245">
        <f ca="1">+$V23*NSGradeFt+PedHeight+PanArrayLenFt*SIN(RADIANS(Latitude+DecAng))</f>
        <v>7.401410761154855</v>
      </c>
      <c r="Z23" s="214">
        <f ca="1">+$W23</f>
        <v>40.802828354596642</v>
      </c>
      <c r="AA23" s="214">
        <f ca="1">+$Y23</f>
        <v>7.401410761154855</v>
      </c>
      <c r="AB23" s="214">
        <f ca="1">+$X23</f>
        <v>34.439632545931751</v>
      </c>
      <c r="AC23" s="214">
        <f ca="1">+$W23-XOffset</f>
        <v>40.802828354596642</v>
      </c>
    </row>
    <row r="24" spans="1:29" s="213" customFormat="1" ht="9" customHeight="1">
      <c r="A24" s="207"/>
      <c r="B24" s="212"/>
      <c r="C24" s="212"/>
      <c r="D24" s="212"/>
      <c r="E24" s="212"/>
      <c r="F24" s="212"/>
      <c r="G24" s="212"/>
      <c r="H24" s="212"/>
      <c r="I24" s="212"/>
      <c r="S24" s="307"/>
      <c r="T24" s="226">
        <f t="shared" si="2"/>
        <v>21</v>
      </c>
      <c r="U24" s="224">
        <f t="shared" si="0"/>
        <v>1</v>
      </c>
      <c r="V24" s="225">
        <f t="shared" si="1"/>
        <v>1</v>
      </c>
      <c r="W24" s="238">
        <f ca="1">$U24*EWSpacingFt+XOffset+0</f>
        <v>30.000006832286932</v>
      </c>
      <c r="X24" s="242">
        <f ca="1">$V24*NSSpacingFt+YOffset+PanArrayLenFt*COS(RADIANS(Latitude+DecAng))</f>
        <v>34.439632545931751</v>
      </c>
      <c r="Y24" s="246">
        <f ca="1">+$V24*NSGradeFt+PedHeight+PanArrayLenFt*SIN(RADIANS(Latitude+DecAng))</f>
        <v>7.401410761154855</v>
      </c>
      <c r="Z24" s="214">
        <f ca="1">+$W24</f>
        <v>30.000006832286932</v>
      </c>
      <c r="AA24" s="214">
        <f ca="1">+$Y24</f>
        <v>7.401410761154855</v>
      </c>
      <c r="AB24" s="214">
        <f ca="1">+$X24</f>
        <v>34.439632545931751</v>
      </c>
      <c r="AC24" s="214">
        <f ca="1">+$W24-XOffset</f>
        <v>30.000006832286932</v>
      </c>
    </row>
    <row r="25" spans="1:29" s="213" customFormat="1" ht="9" customHeight="1">
      <c r="A25" s="207"/>
      <c r="B25" s="212"/>
      <c r="C25" s="212"/>
      <c r="D25" s="212"/>
      <c r="E25" s="212"/>
      <c r="F25" s="212"/>
      <c r="G25" s="212"/>
      <c r="H25" s="212"/>
      <c r="I25" s="212"/>
      <c r="S25" s="307"/>
      <c r="T25" s="226">
        <f t="shared" si="2"/>
        <v>22</v>
      </c>
      <c r="U25" s="224">
        <f t="shared" si="0"/>
        <v>1</v>
      </c>
      <c r="V25" s="225">
        <f t="shared" si="1"/>
        <v>1</v>
      </c>
      <c r="W25" s="239">
        <f ca="1">$U25*EWSpacingFt+XOffset+(PanArrayWidthHighEndFt-PanArrayWidthLowEndFt)/2</f>
        <v>30.000006832286932</v>
      </c>
      <c r="X25" s="243">
        <f ca="1">$V25*NSSpacingFt+YOffset+0</f>
        <v>17.999999999999989</v>
      </c>
      <c r="Y25" s="247">
        <f ca="1">+$V25*NSGradeFt+PedHeight+0</f>
        <v>7.401410761154855</v>
      </c>
      <c r="Z25" s="214">
        <f ca="1">+$W25</f>
        <v>30.000006832286932</v>
      </c>
      <c r="AA25" s="214">
        <f ca="1">+$Y25</f>
        <v>7.401410761154855</v>
      </c>
      <c r="AB25" s="214">
        <f ca="1">+$X25</f>
        <v>17.999999999999989</v>
      </c>
      <c r="AC25" s="214">
        <f ca="1">+$W25-XOffset</f>
        <v>30.000006832286932</v>
      </c>
    </row>
    <row r="26" spans="1:29" s="213" customFormat="1" ht="9" customHeight="1">
      <c r="A26" s="221"/>
      <c r="B26" s="212"/>
      <c r="C26" s="212"/>
      <c r="D26" s="212"/>
      <c r="E26" s="212"/>
      <c r="F26" s="212"/>
      <c r="G26" s="212"/>
      <c r="H26" s="212"/>
      <c r="I26" s="212"/>
      <c r="S26" s="307"/>
      <c r="T26" s="226">
        <f t="shared" si="2"/>
        <v>23</v>
      </c>
      <c r="U26" s="224">
        <f t="shared" si="0"/>
        <v>1</v>
      </c>
      <c r="V26" s="225">
        <f t="shared" si="1"/>
        <v>1</v>
      </c>
      <c r="W26" s="217"/>
      <c r="X26" s="217"/>
      <c r="Y26" s="217"/>
      <c r="Z26" s="214"/>
      <c r="AA26" s="214"/>
      <c r="AB26" s="214"/>
      <c r="AC26" s="214"/>
    </row>
    <row r="27" spans="1:29" s="213" customFormat="1" ht="9" customHeight="1">
      <c r="A27" s="221"/>
      <c r="B27" s="212"/>
      <c r="C27" s="212"/>
      <c r="D27" s="212"/>
      <c r="E27" s="212"/>
      <c r="F27" s="212"/>
      <c r="G27" s="212"/>
      <c r="H27" s="212"/>
      <c r="I27" s="212"/>
      <c r="S27" s="307">
        <f>INT((T27-0)/6)+1</f>
        <v>5</v>
      </c>
      <c r="T27" s="226">
        <f t="shared" si="2"/>
        <v>24</v>
      </c>
      <c r="U27" s="224">
        <f t="shared" si="0"/>
        <v>0</v>
      </c>
      <c r="V27" s="225">
        <f t="shared" si="1"/>
        <v>2</v>
      </c>
      <c r="W27" s="233">
        <f ca="1">$U27*EWSpacingFt+XOffset+(PanArrayWidthHighEndFt-PanArrayWidthLowEndFt)/2</f>
        <v>0</v>
      </c>
      <c r="X27" s="234">
        <f ca="1">$V27*NSSpacingFt+YOffset+0</f>
        <v>35.999999999999979</v>
      </c>
      <c r="Y27" s="235">
        <f ca="1">+$V27*NSGradeFt+PedHeight+0</f>
        <v>7.401410761154855</v>
      </c>
      <c r="Z27" s="214">
        <f ca="1">+$W27</f>
        <v>0</v>
      </c>
      <c r="AA27" s="214">
        <f ca="1">+$Y27</f>
        <v>7.401410761154855</v>
      </c>
      <c r="AB27" s="214">
        <f ca="1">+$X27</f>
        <v>35.999999999999979</v>
      </c>
      <c r="AC27" s="214">
        <f ca="1">+$W27-XOffset</f>
        <v>0</v>
      </c>
    </row>
    <row r="28" spans="1:29" s="213" customFormat="1" ht="9" customHeight="1">
      <c r="A28" s="221"/>
      <c r="B28" s="212"/>
      <c r="C28" s="212"/>
      <c r="D28" s="212"/>
      <c r="E28" s="212"/>
      <c r="F28" s="212"/>
      <c r="G28" s="212"/>
      <c r="H28" s="212"/>
      <c r="I28" s="212"/>
      <c r="S28" s="307"/>
      <c r="T28" s="226">
        <f t="shared" si="2"/>
        <v>25</v>
      </c>
      <c r="U28" s="224">
        <f t="shared" si="0"/>
        <v>0</v>
      </c>
      <c r="V28" s="225">
        <f t="shared" si="1"/>
        <v>2</v>
      </c>
      <c r="W28" s="236">
        <f ca="1">+$U28*EWSpacingFt+XOffset+PanArrayWidthHighEndFt-(PanArrayWidthHighEndFt-PanArrayWidthLowEndFt)/2</f>
        <v>10.80282152230971</v>
      </c>
      <c r="X28" s="240">
        <f ca="1">$V28*NSSpacingFt+YOffset+0</f>
        <v>35.999999999999979</v>
      </c>
      <c r="Y28" s="244">
        <f ca="1">+$V28*NSGradeFt+PedHeight+0</f>
        <v>7.401410761154855</v>
      </c>
      <c r="Z28" s="214">
        <f ca="1">+$W28</f>
        <v>10.80282152230971</v>
      </c>
      <c r="AA28" s="214">
        <f ca="1">+$Y28</f>
        <v>7.401410761154855</v>
      </c>
      <c r="AB28" s="214">
        <f ca="1">+$X28</f>
        <v>35.999999999999979</v>
      </c>
      <c r="AC28" s="214">
        <f ca="1">+$W28-XOffset</f>
        <v>10.80282152230971</v>
      </c>
    </row>
    <row r="29" spans="1:29" s="213" customFormat="1" ht="9" customHeight="1">
      <c r="A29" s="221"/>
      <c r="B29" s="212"/>
      <c r="C29" s="212"/>
      <c r="D29" s="212"/>
      <c r="E29" s="212"/>
      <c r="F29" s="212"/>
      <c r="G29" s="212"/>
      <c r="H29" s="212"/>
      <c r="I29" s="212"/>
      <c r="S29" s="307"/>
      <c r="T29" s="226">
        <f t="shared" si="2"/>
        <v>26</v>
      </c>
      <c r="U29" s="224">
        <f t="shared" si="0"/>
        <v>0</v>
      </c>
      <c r="V29" s="225">
        <f t="shared" si="1"/>
        <v>2</v>
      </c>
      <c r="W29" s="237">
        <f ca="1">$U29*EWSpacingFt+XOffset+PanArrayWidthHighEndFt</f>
        <v>10.80282152230971</v>
      </c>
      <c r="X29" s="241">
        <f ca="1">$V29*NSSpacingFt+YOffset+PanArrayLenFt*COS(RADIANS(Latitude+DecAng))</f>
        <v>52.439632545931744</v>
      </c>
      <c r="Y29" s="245">
        <f ca="1">+$V29*NSGradeFt+PedHeight+PanArrayLenFt*SIN(RADIANS(Latitude+DecAng))</f>
        <v>7.401410761154855</v>
      </c>
      <c r="Z29" s="214">
        <f ca="1">+$W29</f>
        <v>10.80282152230971</v>
      </c>
      <c r="AA29" s="214">
        <f ca="1">+$Y29</f>
        <v>7.401410761154855</v>
      </c>
      <c r="AB29" s="214">
        <f ca="1">+$X29</f>
        <v>52.439632545931744</v>
      </c>
      <c r="AC29" s="214">
        <f ca="1">+$W29-XOffset</f>
        <v>10.80282152230971</v>
      </c>
    </row>
    <row r="30" spans="1:29" s="213" customFormat="1" ht="9" customHeight="1">
      <c r="A30" s="221"/>
      <c r="B30" s="212"/>
      <c r="C30" s="212"/>
      <c r="D30" s="212"/>
      <c r="E30" s="212"/>
      <c r="F30" s="212"/>
      <c r="G30" s="212"/>
      <c r="H30" s="212"/>
      <c r="I30" s="212"/>
      <c r="S30" s="307"/>
      <c r="T30" s="226">
        <f t="shared" si="2"/>
        <v>27</v>
      </c>
      <c r="U30" s="224">
        <f t="shared" si="0"/>
        <v>0</v>
      </c>
      <c r="V30" s="225">
        <f t="shared" si="1"/>
        <v>2</v>
      </c>
      <c r="W30" s="238">
        <f ca="1">$U30*EWSpacingFt+XOffset+0</f>
        <v>0</v>
      </c>
      <c r="X30" s="242">
        <f ca="1">$V30*NSSpacingFt+YOffset+PanArrayLenFt*COS(RADIANS(Latitude+DecAng))</f>
        <v>52.439632545931744</v>
      </c>
      <c r="Y30" s="246">
        <f ca="1">+$V30*NSGradeFt+PedHeight+PanArrayLenFt*SIN(RADIANS(Latitude+DecAng))</f>
        <v>7.401410761154855</v>
      </c>
      <c r="Z30" s="214">
        <f ca="1">+$W30</f>
        <v>0</v>
      </c>
      <c r="AA30" s="214">
        <f ca="1">+$Y30</f>
        <v>7.401410761154855</v>
      </c>
      <c r="AB30" s="214">
        <f ca="1">+$X30</f>
        <v>52.439632545931744</v>
      </c>
      <c r="AC30" s="214">
        <f ca="1">+$W30-XOffset</f>
        <v>0</v>
      </c>
    </row>
    <row r="31" spans="1:29" s="213" customFormat="1" ht="9" customHeight="1">
      <c r="A31" s="221"/>
      <c r="B31" s="212"/>
      <c r="C31" s="212"/>
      <c r="D31" s="212"/>
      <c r="E31" s="212"/>
      <c r="F31" s="212"/>
      <c r="G31" s="212"/>
      <c r="H31" s="212"/>
      <c r="I31" s="212"/>
      <c r="S31" s="307"/>
      <c r="T31" s="226">
        <f t="shared" si="2"/>
        <v>28</v>
      </c>
      <c r="U31" s="224">
        <f t="shared" si="0"/>
        <v>0</v>
      </c>
      <c r="V31" s="225">
        <f t="shared" si="1"/>
        <v>2</v>
      </c>
      <c r="W31" s="239">
        <f ca="1">$U31*EWSpacingFt+XOffset+(PanArrayWidthHighEndFt-PanArrayWidthLowEndFt)/2</f>
        <v>0</v>
      </c>
      <c r="X31" s="243">
        <f ca="1">$V31*NSSpacingFt+YOffset+0</f>
        <v>35.999999999999979</v>
      </c>
      <c r="Y31" s="247">
        <f ca="1">+$V31*NSGradeFt+PedHeight+0</f>
        <v>7.401410761154855</v>
      </c>
      <c r="Z31" s="214">
        <f ca="1">+$W31</f>
        <v>0</v>
      </c>
      <c r="AA31" s="214">
        <f ca="1">+$Y31</f>
        <v>7.401410761154855</v>
      </c>
      <c r="AB31" s="214">
        <f ca="1">+$X31</f>
        <v>35.999999999999979</v>
      </c>
      <c r="AC31" s="214">
        <f ca="1">+$W31-XOffset</f>
        <v>0</v>
      </c>
    </row>
    <row r="32" spans="1:29" s="213" customFormat="1" ht="9" customHeight="1">
      <c r="A32" s="208"/>
      <c r="H32" s="212"/>
      <c r="I32" s="212"/>
      <c r="S32" s="307"/>
      <c r="T32" s="226">
        <f t="shared" si="2"/>
        <v>29</v>
      </c>
      <c r="U32" s="224">
        <f t="shared" si="0"/>
        <v>0</v>
      </c>
      <c r="V32" s="225">
        <f t="shared" si="1"/>
        <v>2</v>
      </c>
      <c r="W32" s="217"/>
      <c r="X32" s="217"/>
      <c r="Y32" s="217"/>
      <c r="Z32" s="214"/>
      <c r="AA32" s="214"/>
      <c r="AB32" s="214"/>
      <c r="AC32" s="214"/>
    </row>
    <row r="33" spans="2:29" s="213" customFormat="1" ht="9" customHeight="1">
      <c r="H33" s="212"/>
      <c r="I33" s="212"/>
      <c r="S33" s="307">
        <f>INT((T33-0)/6)+1</f>
        <v>6</v>
      </c>
      <c r="T33" s="226">
        <f t="shared" si="2"/>
        <v>30</v>
      </c>
      <c r="U33" s="224">
        <f t="shared" si="0"/>
        <v>1</v>
      </c>
      <c r="V33" s="225">
        <f t="shared" si="1"/>
        <v>2</v>
      </c>
      <c r="W33" s="233">
        <f ca="1">$U33*EWSpacingFt+XOffset+(PanArrayWidthHighEndFt-PanArrayWidthLowEndFt)/2</f>
        <v>30.000006832286932</v>
      </c>
      <c r="X33" s="234">
        <f ca="1">$V33*NSSpacingFt+YOffset+0</f>
        <v>35.999999999999979</v>
      </c>
      <c r="Y33" s="235">
        <f ca="1">+$V33*NSGradeFt+PedHeight+0</f>
        <v>7.401410761154855</v>
      </c>
      <c r="Z33" s="214">
        <f ca="1">+$W33</f>
        <v>30.000006832286932</v>
      </c>
      <c r="AA33" s="214">
        <f ca="1">+$Y33</f>
        <v>7.401410761154855</v>
      </c>
      <c r="AB33" s="214">
        <f ca="1">+$X33</f>
        <v>35.999999999999979</v>
      </c>
      <c r="AC33" s="214">
        <f ca="1">+$W33-XOffset</f>
        <v>30.000006832286932</v>
      </c>
    </row>
    <row r="34" spans="2:29" s="213" customFormat="1" ht="9" customHeight="1">
      <c r="H34" s="212"/>
      <c r="I34" s="212"/>
      <c r="S34" s="307"/>
      <c r="T34" s="226">
        <f t="shared" si="2"/>
        <v>31</v>
      </c>
      <c r="U34" s="224">
        <f t="shared" si="0"/>
        <v>1</v>
      </c>
      <c r="V34" s="225">
        <f t="shared" si="1"/>
        <v>2</v>
      </c>
      <c r="W34" s="236">
        <f ca="1">+$U34*EWSpacingFt+XOffset+PanArrayWidthHighEndFt-(PanArrayWidthHighEndFt-PanArrayWidthLowEndFt)/2</f>
        <v>40.802828354596642</v>
      </c>
      <c r="X34" s="240">
        <f ca="1">$V34*NSSpacingFt+YOffset+0</f>
        <v>35.999999999999979</v>
      </c>
      <c r="Y34" s="244">
        <f ca="1">+$V34*NSGradeFt+PedHeight+0</f>
        <v>7.401410761154855</v>
      </c>
      <c r="Z34" s="214">
        <f ca="1">+$W34</f>
        <v>40.802828354596642</v>
      </c>
      <c r="AA34" s="214">
        <f ca="1">+$Y34</f>
        <v>7.401410761154855</v>
      </c>
      <c r="AB34" s="214">
        <f ca="1">+$X34</f>
        <v>35.999999999999979</v>
      </c>
      <c r="AC34" s="214">
        <f ca="1">+$W34-XOffset</f>
        <v>40.802828354596642</v>
      </c>
    </row>
    <row r="35" spans="2:29" s="213" customFormat="1" ht="9" customHeight="1">
      <c r="H35" s="212"/>
      <c r="I35" s="212"/>
      <c r="S35" s="307"/>
      <c r="T35" s="226">
        <f t="shared" si="2"/>
        <v>32</v>
      </c>
      <c r="U35" s="224">
        <f t="shared" si="0"/>
        <v>1</v>
      </c>
      <c r="V35" s="225">
        <f t="shared" si="1"/>
        <v>2</v>
      </c>
      <c r="W35" s="237">
        <f ca="1">$U35*EWSpacingFt+XOffset+PanArrayWidthHighEndFt</f>
        <v>40.802828354596642</v>
      </c>
      <c r="X35" s="241">
        <f ca="1">$V35*NSSpacingFt+YOffset+PanArrayLenFt*COS(RADIANS(Latitude+DecAng))</f>
        <v>52.439632545931744</v>
      </c>
      <c r="Y35" s="245">
        <f ca="1">+$V35*NSGradeFt+PedHeight+PanArrayLenFt*SIN(RADIANS(Latitude+DecAng))</f>
        <v>7.401410761154855</v>
      </c>
      <c r="Z35" s="214">
        <f ca="1">+$W35</f>
        <v>40.802828354596642</v>
      </c>
      <c r="AA35" s="214">
        <f ca="1">+$Y35</f>
        <v>7.401410761154855</v>
      </c>
      <c r="AB35" s="214">
        <f ca="1">+$X35</f>
        <v>52.439632545931744</v>
      </c>
      <c r="AC35" s="214">
        <f ca="1">+$W35-XOffset</f>
        <v>40.802828354596642</v>
      </c>
    </row>
    <row r="36" spans="2:29" s="213" customFormat="1" ht="9" customHeight="1">
      <c r="E36" s="213">
        <f ca="1">100/C3*245</f>
        <v>1225</v>
      </c>
      <c r="H36" s="212"/>
      <c r="I36" s="212"/>
      <c r="S36" s="307"/>
      <c r="T36" s="226">
        <f t="shared" si="2"/>
        <v>33</v>
      </c>
      <c r="U36" s="224">
        <f t="shared" si="0"/>
        <v>1</v>
      </c>
      <c r="V36" s="225">
        <f t="shared" si="1"/>
        <v>2</v>
      </c>
      <c r="W36" s="238">
        <f ca="1">$U36*EWSpacingFt+XOffset+0</f>
        <v>30.000006832286932</v>
      </c>
      <c r="X36" s="242">
        <f ca="1">$V36*NSSpacingFt+YOffset+PanArrayLenFt*COS(RADIANS(Latitude+DecAng))</f>
        <v>52.439632545931744</v>
      </c>
      <c r="Y36" s="246">
        <f ca="1">+$V36*NSGradeFt+PedHeight+PanArrayLenFt*SIN(RADIANS(Latitude+DecAng))</f>
        <v>7.401410761154855</v>
      </c>
      <c r="Z36" s="214">
        <f ca="1">+$W36</f>
        <v>30.000006832286932</v>
      </c>
      <c r="AA36" s="214">
        <f ca="1">+$Y36</f>
        <v>7.401410761154855</v>
      </c>
      <c r="AB36" s="214">
        <f ca="1">+$X36</f>
        <v>52.439632545931744</v>
      </c>
      <c r="AC36" s="214">
        <f ca="1">+$W36-XOffset</f>
        <v>30.000006832286932</v>
      </c>
    </row>
    <row r="37" spans="2:29" s="213" customFormat="1" ht="9" customHeight="1" thickBot="1">
      <c r="H37" s="212"/>
      <c r="I37" s="212"/>
      <c r="S37" s="307"/>
      <c r="T37" s="226">
        <f t="shared" si="2"/>
        <v>34</v>
      </c>
      <c r="U37" s="224">
        <f t="shared" si="0"/>
        <v>1</v>
      </c>
      <c r="V37" s="225">
        <f t="shared" si="1"/>
        <v>2</v>
      </c>
      <c r="W37" s="239">
        <f ca="1">$U37*EWSpacingFt+XOffset+(PanArrayWidthHighEndFt-PanArrayWidthLowEndFt)/2</f>
        <v>30.000006832286932</v>
      </c>
      <c r="X37" s="243">
        <f ca="1">$V37*NSSpacingFt+YOffset+0</f>
        <v>35.999999999999979</v>
      </c>
      <c r="Y37" s="247">
        <f ca="1">+$V37*NSGradeFt+PedHeight+0</f>
        <v>7.401410761154855</v>
      </c>
      <c r="Z37" s="214">
        <f ca="1">+$W37</f>
        <v>30.000006832286932</v>
      </c>
      <c r="AA37" s="214">
        <f ca="1">+$Y37</f>
        <v>7.401410761154855</v>
      </c>
      <c r="AB37" s="214">
        <f ca="1">+$X37</f>
        <v>35.999999999999979</v>
      </c>
      <c r="AC37" s="214">
        <f ca="1">+$W37-XOffset</f>
        <v>30.000006832286932</v>
      </c>
    </row>
    <row r="38" spans="2:29" s="213" customFormat="1" ht="9" customHeight="1">
      <c r="B38" s="689"/>
      <c r="C38" s="680">
        <v>2</v>
      </c>
      <c r="D38" s="681">
        <v>250</v>
      </c>
      <c r="E38" s="674">
        <f>C38*D38</f>
        <v>500</v>
      </c>
      <c r="F38" s="688"/>
      <c r="H38" s="212"/>
      <c r="I38" s="212"/>
      <c r="S38" s="307"/>
      <c r="T38" s="226">
        <f t="shared" si="2"/>
        <v>35</v>
      </c>
      <c r="U38" s="224">
        <f t="shared" si="0"/>
        <v>1</v>
      </c>
      <c r="V38" s="225">
        <f t="shared" si="1"/>
        <v>2</v>
      </c>
      <c r="W38" s="217"/>
      <c r="X38" s="217"/>
      <c r="Y38" s="217"/>
      <c r="Z38" s="214"/>
      <c r="AA38" s="214"/>
      <c r="AB38" s="214"/>
      <c r="AC38" s="214"/>
    </row>
    <row r="39" spans="2:29" s="213" customFormat="1" ht="9" customHeight="1">
      <c r="B39" s="663">
        <v>1</v>
      </c>
      <c r="C39" s="664">
        <v>40</v>
      </c>
      <c r="D39" s="665">
        <f t="shared" ref="D39" si="3">B39*C39</f>
        <v>40</v>
      </c>
      <c r="E39" s="682">
        <f t="shared" ref="E39:E68" si="4">D39*$E$38/1000</f>
        <v>20</v>
      </c>
      <c r="F39" s="683">
        <f>(E39/1)/20</f>
        <v>1</v>
      </c>
      <c r="G39" s="684">
        <f>+INT(C39/F39)</f>
        <v>40</v>
      </c>
      <c r="H39" s="212"/>
      <c r="I39" s="212"/>
      <c r="S39" s="307">
        <f>INT((T39-0)/6)+1</f>
        <v>7</v>
      </c>
      <c r="T39" s="226">
        <f t="shared" si="2"/>
        <v>36</v>
      </c>
      <c r="U39" s="224">
        <f t="shared" si="0"/>
        <v>0</v>
      </c>
      <c r="V39" s="225">
        <f t="shared" si="1"/>
        <v>3</v>
      </c>
      <c r="W39" s="233">
        <f ca="1">$U39*EWSpacingFt+XOffset+(PanArrayWidthHighEndFt-PanArrayWidthLowEndFt)/2</f>
        <v>0</v>
      </c>
      <c r="X39" s="234">
        <f ca="1">$V39*NSSpacingFt+YOffset+0</f>
        <v>53.999999999999972</v>
      </c>
      <c r="Y39" s="235">
        <f ca="1">+$V39*NSGradeFt+PedHeight+0</f>
        <v>7.401410761154855</v>
      </c>
      <c r="Z39" s="214">
        <f ca="1">+$W39</f>
        <v>0</v>
      </c>
      <c r="AA39" s="214">
        <f ca="1">+$Y39</f>
        <v>7.401410761154855</v>
      </c>
      <c r="AB39" s="214">
        <f ca="1">+$X39</f>
        <v>53.999999999999972</v>
      </c>
      <c r="AC39" s="214">
        <f ca="1">+$W39-XOffset</f>
        <v>0</v>
      </c>
    </row>
    <row r="40" spans="2:29" s="213" customFormat="1" ht="9" customHeight="1">
      <c r="B40" s="666">
        <v>2</v>
      </c>
      <c r="C40" s="667">
        <v>20</v>
      </c>
      <c r="D40" s="668">
        <f t="shared" ref="D40:D45" si="5">B40*C40</f>
        <v>40</v>
      </c>
      <c r="E40" s="669">
        <f t="shared" si="4"/>
        <v>20</v>
      </c>
      <c r="F40" s="679">
        <f>(E40/1)/20</f>
        <v>1</v>
      </c>
      <c r="G40" s="685">
        <f t="shared" ref="G40:G68" si="6">+INT(C40/F40)</f>
        <v>20</v>
      </c>
      <c r="H40" s="212"/>
      <c r="I40" s="212"/>
      <c r="S40" s="307"/>
      <c r="T40" s="226">
        <f t="shared" si="2"/>
        <v>37</v>
      </c>
      <c r="U40" s="224">
        <f t="shared" si="0"/>
        <v>0</v>
      </c>
      <c r="V40" s="225">
        <f t="shared" si="1"/>
        <v>3</v>
      </c>
      <c r="W40" s="236">
        <f ca="1">+$U40*EWSpacingFt+XOffset+PanArrayWidthHighEndFt-(PanArrayWidthHighEndFt-PanArrayWidthLowEndFt)/2</f>
        <v>10.80282152230971</v>
      </c>
      <c r="X40" s="240">
        <f ca="1">$V40*NSSpacingFt+YOffset+0</f>
        <v>53.999999999999972</v>
      </c>
      <c r="Y40" s="244">
        <f ca="1">+$V40*NSGradeFt+PedHeight+0</f>
        <v>7.401410761154855</v>
      </c>
      <c r="Z40" s="214">
        <f ca="1">+$W40</f>
        <v>10.80282152230971</v>
      </c>
      <c r="AA40" s="214">
        <f ca="1">+$Y40</f>
        <v>7.401410761154855</v>
      </c>
      <c r="AB40" s="214">
        <f ca="1">+$X40</f>
        <v>53.999999999999972</v>
      </c>
      <c r="AC40" s="214">
        <f ca="1">+$W40-XOffset</f>
        <v>10.80282152230971</v>
      </c>
    </row>
    <row r="41" spans="2:29" s="213" customFormat="1" ht="9" customHeight="1">
      <c r="B41" s="666">
        <v>3</v>
      </c>
      <c r="C41" s="667">
        <v>13</v>
      </c>
      <c r="D41" s="668">
        <f t="shared" si="5"/>
        <v>39</v>
      </c>
      <c r="E41" s="669">
        <f t="shared" si="4"/>
        <v>19.5</v>
      </c>
      <c r="F41" s="679">
        <f t="shared" ref="F41:F48" si="7">(E41/1)/20</f>
        <v>0.97499999999999998</v>
      </c>
      <c r="G41" s="685">
        <f t="shared" si="6"/>
        <v>13</v>
      </c>
      <c r="H41" s="212"/>
      <c r="I41" s="212"/>
      <c r="S41" s="307"/>
      <c r="T41" s="226">
        <f t="shared" si="2"/>
        <v>38</v>
      </c>
      <c r="U41" s="224">
        <f t="shared" si="0"/>
        <v>0</v>
      </c>
      <c r="V41" s="225">
        <f t="shared" si="1"/>
        <v>3</v>
      </c>
      <c r="W41" s="237">
        <f ca="1">$U41*EWSpacingFt+XOffset+PanArrayWidthHighEndFt</f>
        <v>10.80282152230971</v>
      </c>
      <c r="X41" s="241">
        <f ca="1">$V41*NSSpacingFt+YOffset+PanArrayLenFt*COS(RADIANS(Latitude+DecAng))</f>
        <v>70.43963254593173</v>
      </c>
      <c r="Y41" s="245">
        <f ca="1">+$V41*NSGradeFt+PedHeight+PanArrayLenFt*SIN(RADIANS(Latitude+DecAng))</f>
        <v>7.401410761154855</v>
      </c>
      <c r="Z41" s="214">
        <f ca="1">+$W41</f>
        <v>10.80282152230971</v>
      </c>
      <c r="AA41" s="214">
        <f ca="1">+$Y41</f>
        <v>7.401410761154855</v>
      </c>
      <c r="AB41" s="214">
        <f ca="1">+$X41</f>
        <v>70.43963254593173</v>
      </c>
      <c r="AC41" s="214">
        <f ca="1">+$W41-XOffset</f>
        <v>10.80282152230971</v>
      </c>
    </row>
    <row r="42" spans="2:29" s="213" customFormat="1" ht="9" customHeight="1">
      <c r="B42" s="666">
        <v>4</v>
      </c>
      <c r="C42" s="667">
        <v>10</v>
      </c>
      <c r="D42" s="668">
        <f t="shared" si="5"/>
        <v>40</v>
      </c>
      <c r="E42" s="669">
        <f t="shared" si="4"/>
        <v>20</v>
      </c>
      <c r="F42" s="679">
        <f t="shared" si="7"/>
        <v>1</v>
      </c>
      <c r="G42" s="685">
        <f t="shared" si="6"/>
        <v>10</v>
      </c>
      <c r="H42" s="212"/>
      <c r="I42" s="212"/>
      <c r="S42" s="307"/>
      <c r="T42" s="226">
        <f t="shared" si="2"/>
        <v>39</v>
      </c>
      <c r="U42" s="224">
        <f t="shared" si="0"/>
        <v>0</v>
      </c>
      <c r="V42" s="225">
        <f t="shared" si="1"/>
        <v>3</v>
      </c>
      <c r="W42" s="238">
        <f ca="1">$U42*EWSpacingFt+XOffset+0</f>
        <v>0</v>
      </c>
      <c r="X42" s="242">
        <f ca="1">$V42*NSSpacingFt+YOffset+PanArrayLenFt*COS(RADIANS(Latitude+DecAng))</f>
        <v>70.43963254593173</v>
      </c>
      <c r="Y42" s="246">
        <f ca="1">+$V42*NSGradeFt+PedHeight+PanArrayLenFt*SIN(RADIANS(Latitude+DecAng))</f>
        <v>7.401410761154855</v>
      </c>
      <c r="Z42" s="214">
        <f ca="1">+$W42</f>
        <v>0</v>
      </c>
      <c r="AA42" s="214">
        <f ca="1">+$Y42</f>
        <v>7.401410761154855</v>
      </c>
      <c r="AB42" s="214">
        <f ca="1">+$X42</f>
        <v>70.43963254593173</v>
      </c>
      <c r="AC42" s="214">
        <f ca="1">+$W42-XOffset</f>
        <v>0</v>
      </c>
    </row>
    <row r="43" spans="2:29" s="213" customFormat="1" ht="9" customHeight="1">
      <c r="B43" s="666">
        <v>5</v>
      </c>
      <c r="C43" s="667">
        <v>8</v>
      </c>
      <c r="D43" s="668">
        <f t="shared" si="5"/>
        <v>40</v>
      </c>
      <c r="E43" s="669">
        <f t="shared" si="4"/>
        <v>20</v>
      </c>
      <c r="F43" s="679">
        <f t="shared" si="7"/>
        <v>1</v>
      </c>
      <c r="G43" s="685">
        <f t="shared" si="6"/>
        <v>8</v>
      </c>
      <c r="H43" s="212"/>
      <c r="I43" s="212"/>
      <c r="S43" s="307"/>
      <c r="T43" s="226">
        <f t="shared" si="2"/>
        <v>40</v>
      </c>
      <c r="U43" s="224">
        <f t="shared" si="0"/>
        <v>0</v>
      </c>
      <c r="V43" s="225">
        <f t="shared" si="1"/>
        <v>3</v>
      </c>
      <c r="W43" s="239">
        <f ca="1">$U43*EWSpacingFt+XOffset+(PanArrayWidthHighEndFt-PanArrayWidthLowEndFt)/2</f>
        <v>0</v>
      </c>
      <c r="X43" s="243">
        <f ca="1">$V43*NSSpacingFt+YOffset+0</f>
        <v>53.999999999999972</v>
      </c>
      <c r="Y43" s="247">
        <f ca="1">+$V43*NSGradeFt+PedHeight+0</f>
        <v>7.401410761154855</v>
      </c>
      <c r="Z43" s="214">
        <f ca="1">+$W43</f>
        <v>0</v>
      </c>
      <c r="AA43" s="214">
        <f ca="1">+$Y43</f>
        <v>7.401410761154855</v>
      </c>
      <c r="AB43" s="214">
        <f ca="1">+$X43</f>
        <v>53.999999999999972</v>
      </c>
      <c r="AC43" s="214">
        <f ca="1">+$W43-XOffset</f>
        <v>0</v>
      </c>
    </row>
    <row r="44" spans="2:29" s="213" customFormat="1" ht="9" customHeight="1">
      <c r="B44" s="666">
        <v>6</v>
      </c>
      <c r="C44" s="667">
        <v>6</v>
      </c>
      <c r="D44" s="668">
        <f t="shared" si="5"/>
        <v>36</v>
      </c>
      <c r="E44" s="669">
        <f t="shared" si="4"/>
        <v>18</v>
      </c>
      <c r="F44" s="679">
        <f t="shared" si="7"/>
        <v>0.9</v>
      </c>
      <c r="G44" s="685">
        <f t="shared" si="6"/>
        <v>6</v>
      </c>
      <c r="H44" s="212"/>
      <c r="I44" s="212"/>
      <c r="S44" s="307"/>
      <c r="T44" s="226">
        <f t="shared" si="2"/>
        <v>41</v>
      </c>
      <c r="U44" s="224">
        <f t="shared" si="0"/>
        <v>0</v>
      </c>
      <c r="V44" s="225">
        <f t="shared" si="1"/>
        <v>3</v>
      </c>
      <c r="W44" s="217"/>
      <c r="X44" s="217"/>
      <c r="Y44" s="217"/>
      <c r="Z44" s="214"/>
      <c r="AA44" s="214"/>
      <c r="AB44" s="214"/>
      <c r="AC44" s="214"/>
    </row>
    <row r="45" spans="2:29" s="213" customFormat="1" ht="9" customHeight="1">
      <c r="B45" s="666">
        <v>7</v>
      </c>
      <c r="C45" s="667">
        <v>5</v>
      </c>
      <c r="D45" s="668">
        <f t="shared" si="5"/>
        <v>35</v>
      </c>
      <c r="E45" s="669">
        <f t="shared" si="4"/>
        <v>17.5</v>
      </c>
      <c r="F45" s="679">
        <f t="shared" si="7"/>
        <v>0.875</v>
      </c>
      <c r="G45" s="685">
        <f t="shared" si="6"/>
        <v>5</v>
      </c>
      <c r="H45" s="212"/>
      <c r="I45" s="212"/>
      <c r="S45" s="307">
        <f>INT((T45-0)/6)+1</f>
        <v>8</v>
      </c>
      <c r="T45" s="226">
        <f t="shared" si="2"/>
        <v>42</v>
      </c>
      <c r="U45" s="224">
        <f t="shared" si="0"/>
        <v>1</v>
      </c>
      <c r="V45" s="225">
        <f t="shared" si="1"/>
        <v>3</v>
      </c>
      <c r="W45" s="233">
        <f ca="1">$U45*EWSpacingFt+XOffset+(PanArrayWidthHighEndFt-PanArrayWidthLowEndFt)/2</f>
        <v>30.000006832286932</v>
      </c>
      <c r="X45" s="234">
        <f ca="1">$V45*NSSpacingFt+YOffset+0</f>
        <v>53.999999999999972</v>
      </c>
      <c r="Y45" s="235">
        <f ca="1">+$V45*NSGradeFt+PedHeight+0</f>
        <v>7.401410761154855</v>
      </c>
      <c r="Z45" s="214">
        <f ca="1">+$W45</f>
        <v>30.000006832286932</v>
      </c>
      <c r="AA45" s="214">
        <f ca="1">+$Y45</f>
        <v>7.401410761154855</v>
      </c>
      <c r="AB45" s="214">
        <f ca="1">+$X45</f>
        <v>53.999999999999972</v>
      </c>
      <c r="AC45" s="214">
        <f ca="1">+$W45-XOffset</f>
        <v>30.000006832286932</v>
      </c>
    </row>
    <row r="46" spans="2:29" s="213" customFormat="1" ht="9" customHeight="1">
      <c r="B46" s="666">
        <v>8</v>
      </c>
      <c r="C46" s="667">
        <v>5</v>
      </c>
      <c r="D46" s="668">
        <f t="shared" ref="D46:D47" si="8">B46*C46</f>
        <v>40</v>
      </c>
      <c r="E46" s="669">
        <f t="shared" si="4"/>
        <v>20</v>
      </c>
      <c r="F46" s="679">
        <f t="shared" si="7"/>
        <v>1</v>
      </c>
      <c r="G46" s="685">
        <f t="shared" si="6"/>
        <v>5</v>
      </c>
      <c r="H46" s="212"/>
      <c r="I46" s="212"/>
      <c r="S46" s="307"/>
      <c r="T46" s="226">
        <f t="shared" si="2"/>
        <v>43</v>
      </c>
      <c r="U46" s="224">
        <f t="shared" si="0"/>
        <v>1</v>
      </c>
      <c r="V46" s="225">
        <f t="shared" si="1"/>
        <v>3</v>
      </c>
      <c r="W46" s="236">
        <f ca="1">+$U46*EWSpacingFt+XOffset+PanArrayWidthHighEndFt-(PanArrayWidthHighEndFt-PanArrayWidthLowEndFt)/2</f>
        <v>40.802828354596642</v>
      </c>
      <c r="X46" s="240">
        <f ca="1">$V46*NSSpacingFt+YOffset+0</f>
        <v>53.999999999999972</v>
      </c>
      <c r="Y46" s="244">
        <f ca="1">+$V46*NSGradeFt+PedHeight+0</f>
        <v>7.401410761154855</v>
      </c>
      <c r="Z46" s="214">
        <f ca="1">+$W46</f>
        <v>40.802828354596642</v>
      </c>
      <c r="AA46" s="214">
        <f ca="1">+$Y46</f>
        <v>7.401410761154855</v>
      </c>
      <c r="AB46" s="214">
        <f ca="1">+$X46</f>
        <v>53.999999999999972</v>
      </c>
      <c r="AC46" s="214">
        <f ca="1">+$W46-XOffset</f>
        <v>40.802828354596642</v>
      </c>
    </row>
    <row r="47" spans="2:29" s="213" customFormat="1" ht="9" customHeight="1">
      <c r="B47" s="666">
        <v>9</v>
      </c>
      <c r="C47" s="667">
        <v>4</v>
      </c>
      <c r="D47" s="668">
        <f t="shared" si="8"/>
        <v>36</v>
      </c>
      <c r="E47" s="669">
        <f t="shared" si="4"/>
        <v>18</v>
      </c>
      <c r="F47" s="679">
        <f t="shared" si="7"/>
        <v>0.9</v>
      </c>
      <c r="G47" s="685">
        <f t="shared" si="6"/>
        <v>4</v>
      </c>
      <c r="H47" s="212"/>
      <c r="I47" s="212"/>
      <c r="S47" s="307"/>
      <c r="T47" s="226">
        <f t="shared" si="2"/>
        <v>44</v>
      </c>
      <c r="U47" s="224">
        <f t="shared" si="0"/>
        <v>1</v>
      </c>
      <c r="V47" s="225">
        <f t="shared" si="1"/>
        <v>3</v>
      </c>
      <c r="W47" s="237">
        <f ca="1">$U47*EWSpacingFt+XOffset+PanArrayWidthHighEndFt</f>
        <v>40.802828354596642</v>
      </c>
      <c r="X47" s="241">
        <f ca="1">$V47*NSSpacingFt+YOffset+PanArrayLenFt*COS(RADIANS(Latitude+DecAng))</f>
        <v>70.43963254593173</v>
      </c>
      <c r="Y47" s="245">
        <f ca="1">+$V47*NSGradeFt+PedHeight+PanArrayLenFt*SIN(RADIANS(Latitude+DecAng))</f>
        <v>7.401410761154855</v>
      </c>
      <c r="Z47" s="214">
        <f ca="1">+$W47</f>
        <v>40.802828354596642</v>
      </c>
      <c r="AA47" s="214">
        <f ca="1">+$Y47</f>
        <v>7.401410761154855</v>
      </c>
      <c r="AB47" s="214">
        <f ca="1">+$X47</f>
        <v>70.43963254593173</v>
      </c>
      <c r="AC47" s="214">
        <f ca="1">+$W47-XOffset</f>
        <v>40.802828354596642</v>
      </c>
    </row>
    <row r="48" spans="2:29" s="213" customFormat="1" ht="9" customHeight="1">
      <c r="B48" s="670">
        <v>10</v>
      </c>
      <c r="C48" s="671">
        <v>4</v>
      </c>
      <c r="D48" s="672">
        <f t="shared" ref="D48:D52" si="9">B48*C48</f>
        <v>40</v>
      </c>
      <c r="E48" s="673">
        <f t="shared" si="4"/>
        <v>20</v>
      </c>
      <c r="F48" s="686">
        <f t="shared" si="7"/>
        <v>1</v>
      </c>
      <c r="G48" s="687">
        <f t="shared" si="6"/>
        <v>4</v>
      </c>
      <c r="H48" s="212"/>
      <c r="I48" s="212"/>
      <c r="S48" s="307"/>
      <c r="T48" s="226">
        <f t="shared" si="2"/>
        <v>45</v>
      </c>
      <c r="U48" s="224">
        <f t="shared" si="0"/>
        <v>1</v>
      </c>
      <c r="V48" s="225">
        <f t="shared" si="1"/>
        <v>3</v>
      </c>
      <c r="W48" s="238">
        <f ca="1">$U48*EWSpacingFt+XOffset+0</f>
        <v>30.000006832286932</v>
      </c>
      <c r="X48" s="242">
        <f ca="1">$V48*NSSpacingFt+YOffset+PanArrayLenFt*COS(RADIANS(Latitude+DecAng))</f>
        <v>70.43963254593173</v>
      </c>
      <c r="Y48" s="246">
        <f ca="1">+$V48*NSGradeFt+PedHeight+PanArrayLenFt*SIN(RADIANS(Latitude+DecAng))</f>
        <v>7.401410761154855</v>
      </c>
      <c r="Z48" s="214">
        <f ca="1">+$W48</f>
        <v>30.000006832286932</v>
      </c>
      <c r="AA48" s="214">
        <f ca="1">+$Y48</f>
        <v>7.401410761154855</v>
      </c>
      <c r="AB48" s="214">
        <f ca="1">+$X48</f>
        <v>70.43963254593173</v>
      </c>
      <c r="AC48" s="214">
        <f ca="1">+$W48-XOffset</f>
        <v>30.000006832286932</v>
      </c>
    </row>
    <row r="49" spans="2:29" s="213" customFormat="1" ht="9" customHeight="1">
      <c r="B49" s="663">
        <v>1</v>
      </c>
      <c r="C49" s="664">
        <v>80</v>
      </c>
      <c r="D49" s="665">
        <f t="shared" si="9"/>
        <v>80</v>
      </c>
      <c r="E49" s="682">
        <f t="shared" si="4"/>
        <v>40</v>
      </c>
      <c r="F49" s="683">
        <f>(E49/2)/20</f>
        <v>1</v>
      </c>
      <c r="G49" s="684">
        <f t="shared" si="6"/>
        <v>80</v>
      </c>
      <c r="H49" s="212"/>
      <c r="I49" s="212"/>
      <c r="S49" s="307"/>
      <c r="T49" s="226">
        <f t="shared" si="2"/>
        <v>46</v>
      </c>
      <c r="U49" s="224">
        <f t="shared" si="0"/>
        <v>1</v>
      </c>
      <c r="V49" s="225">
        <f t="shared" si="1"/>
        <v>3</v>
      </c>
      <c r="W49" s="239">
        <f ca="1">$U49*EWSpacingFt+XOffset+(PanArrayWidthHighEndFt-PanArrayWidthLowEndFt)/2</f>
        <v>30.000006832286932</v>
      </c>
      <c r="X49" s="243">
        <f ca="1">$V49*NSSpacingFt+YOffset+0</f>
        <v>53.999999999999972</v>
      </c>
      <c r="Y49" s="247">
        <f ca="1">+$V49*NSGradeFt+PedHeight+0</f>
        <v>7.401410761154855</v>
      </c>
      <c r="Z49" s="214">
        <f ca="1">+$W49</f>
        <v>30.000006832286932</v>
      </c>
      <c r="AA49" s="214">
        <f ca="1">+$Y49</f>
        <v>7.401410761154855</v>
      </c>
      <c r="AB49" s="214">
        <f ca="1">+$X49</f>
        <v>53.999999999999972</v>
      </c>
      <c r="AC49" s="214">
        <f ca="1">+$W49-XOffset</f>
        <v>30.000006832286932</v>
      </c>
    </row>
    <row r="50" spans="2:29" s="213" customFormat="1" ht="9" customHeight="1">
      <c r="B50" s="666">
        <v>2</v>
      </c>
      <c r="C50" s="667">
        <v>40</v>
      </c>
      <c r="D50" s="668">
        <f t="shared" si="9"/>
        <v>80</v>
      </c>
      <c r="E50" s="669">
        <f t="shared" si="4"/>
        <v>40</v>
      </c>
      <c r="F50" s="679">
        <f t="shared" ref="F50:F52" si="10">(E50/2)/20</f>
        <v>1</v>
      </c>
      <c r="G50" s="685">
        <f t="shared" si="6"/>
        <v>40</v>
      </c>
      <c r="H50" s="212"/>
      <c r="I50" s="212"/>
      <c r="S50" s="307"/>
      <c r="T50" s="226">
        <f t="shared" si="2"/>
        <v>47</v>
      </c>
      <c r="U50" s="224">
        <f t="shared" si="0"/>
        <v>1</v>
      </c>
      <c r="V50" s="225">
        <f t="shared" si="1"/>
        <v>3</v>
      </c>
      <c r="W50" s="217"/>
      <c r="X50" s="217"/>
      <c r="Y50" s="217"/>
      <c r="Z50" s="214"/>
      <c r="AA50" s="214"/>
      <c r="AB50" s="214"/>
      <c r="AC50" s="214"/>
    </row>
    <row r="51" spans="2:29" s="213" customFormat="1" ht="9" customHeight="1">
      <c r="B51" s="666">
        <v>3</v>
      </c>
      <c r="C51" s="667">
        <v>26</v>
      </c>
      <c r="D51" s="668">
        <f t="shared" si="9"/>
        <v>78</v>
      </c>
      <c r="E51" s="669">
        <f t="shared" si="4"/>
        <v>39</v>
      </c>
      <c r="F51" s="679">
        <f t="shared" si="10"/>
        <v>0.97499999999999998</v>
      </c>
      <c r="G51" s="685">
        <f t="shared" si="6"/>
        <v>26</v>
      </c>
      <c r="H51" s="212"/>
      <c r="I51" s="212"/>
      <c r="S51" s="307">
        <f>INT((T51-0)/6)+1</f>
        <v>9</v>
      </c>
      <c r="T51" s="226">
        <f t="shared" si="2"/>
        <v>48</v>
      </c>
      <c r="U51" s="224">
        <f t="shared" si="0"/>
        <v>0</v>
      </c>
      <c r="V51" s="225">
        <f t="shared" si="1"/>
        <v>0</v>
      </c>
      <c r="W51" s="233">
        <f ca="1">$U51*EWSpacingFt+XOffset+(PanArrayWidthHighEndFt-PanArrayWidthLowEndFt)/2</f>
        <v>0</v>
      </c>
      <c r="X51" s="234">
        <f ca="1">$V51*NSSpacingFt+YOffset+0</f>
        <v>0</v>
      </c>
      <c r="Y51" s="235">
        <f ca="1">+$V51*NSGradeFt+PedHeight+0</f>
        <v>7.401410761154855</v>
      </c>
      <c r="Z51" s="214">
        <f ca="1">+$W51</f>
        <v>0</v>
      </c>
      <c r="AA51" s="214">
        <f ca="1">+$Y51</f>
        <v>7.401410761154855</v>
      </c>
      <c r="AB51" s="214">
        <f ca="1">+$X51</f>
        <v>0</v>
      </c>
      <c r="AC51" s="214">
        <f ca="1">+$W51-XOffset</f>
        <v>0</v>
      </c>
    </row>
    <row r="52" spans="2:29" s="213" customFormat="1" ht="9" customHeight="1">
      <c r="B52" s="666">
        <v>4</v>
      </c>
      <c r="C52" s="667">
        <v>20</v>
      </c>
      <c r="D52" s="668">
        <f t="shared" si="9"/>
        <v>80</v>
      </c>
      <c r="E52" s="669">
        <f t="shared" si="4"/>
        <v>40</v>
      </c>
      <c r="F52" s="679">
        <f t="shared" si="10"/>
        <v>1</v>
      </c>
      <c r="G52" s="685">
        <f t="shared" si="6"/>
        <v>20</v>
      </c>
      <c r="H52" s="212"/>
      <c r="I52" s="212"/>
      <c r="S52" s="307"/>
      <c r="T52" s="226">
        <f t="shared" si="2"/>
        <v>49</v>
      </c>
      <c r="U52" s="224">
        <f t="shared" si="0"/>
        <v>0</v>
      </c>
      <c r="V52" s="225">
        <f t="shared" si="1"/>
        <v>0</v>
      </c>
      <c r="W52" s="236">
        <f ca="1">+$U52*EWSpacingFt+XOffset+PanArrayWidthHighEndFt-(PanArrayWidthHighEndFt-PanArrayWidthLowEndFt)/2</f>
        <v>10.80282152230971</v>
      </c>
      <c r="X52" s="240">
        <f ca="1">$V52*NSSpacingFt+YOffset+0</f>
        <v>0</v>
      </c>
      <c r="Y52" s="244">
        <f ca="1">+$V52*NSGradeFt+PedHeight+0</f>
        <v>7.401410761154855</v>
      </c>
      <c r="Z52" s="214">
        <f ca="1">+$W52</f>
        <v>10.80282152230971</v>
      </c>
      <c r="AA52" s="214">
        <f ca="1">+$Y52</f>
        <v>7.401410761154855</v>
      </c>
      <c r="AB52" s="214">
        <f ca="1">+$X52</f>
        <v>0</v>
      </c>
      <c r="AC52" s="214">
        <f ca="1">+$W52-XOffset</f>
        <v>10.80282152230971</v>
      </c>
    </row>
    <row r="53" spans="2:29" s="213" customFormat="1" ht="9" customHeight="1">
      <c r="B53" s="666">
        <v>5</v>
      </c>
      <c r="C53" s="667">
        <v>16</v>
      </c>
      <c r="D53" s="668">
        <f t="shared" ref="D53:D68" si="11">B53*C53</f>
        <v>80</v>
      </c>
      <c r="E53" s="669">
        <f t="shared" si="4"/>
        <v>40</v>
      </c>
      <c r="F53" s="679">
        <f>(E53/2)/20</f>
        <v>1</v>
      </c>
      <c r="G53" s="685">
        <f t="shared" si="6"/>
        <v>16</v>
      </c>
      <c r="H53" s="212"/>
      <c r="I53" s="212"/>
      <c r="S53" s="307"/>
      <c r="T53" s="226">
        <f t="shared" si="2"/>
        <v>50</v>
      </c>
      <c r="U53" s="224">
        <f t="shared" si="0"/>
        <v>0</v>
      </c>
      <c r="V53" s="225">
        <f t="shared" si="1"/>
        <v>0</v>
      </c>
      <c r="W53" s="237">
        <f ca="1">$U53*EWSpacingFt+XOffset+PanArrayWidthHighEndFt</f>
        <v>10.80282152230971</v>
      </c>
      <c r="X53" s="241">
        <f ca="1">$V53*NSSpacingFt+YOffset+PanArrayLenFt*COS(RADIANS(Latitude+DecAng))</f>
        <v>16.439632545931762</v>
      </c>
      <c r="Y53" s="245">
        <f ca="1">+$V53*NSGradeFt+PedHeight+PanArrayLenFt*SIN(RADIANS(Latitude+DecAng))</f>
        <v>7.401410761154855</v>
      </c>
      <c r="Z53" s="214">
        <f ca="1">+$W53</f>
        <v>10.80282152230971</v>
      </c>
      <c r="AA53" s="214">
        <f ca="1">+$Y53</f>
        <v>7.401410761154855</v>
      </c>
      <c r="AB53" s="214">
        <f ca="1">+$X53</f>
        <v>16.439632545931762</v>
      </c>
      <c r="AC53" s="214">
        <f ca="1">+$W53-XOffset</f>
        <v>10.80282152230971</v>
      </c>
    </row>
    <row r="54" spans="2:29" s="213" customFormat="1" ht="9" customHeight="1">
      <c r="B54" s="666">
        <v>6</v>
      </c>
      <c r="C54" s="667">
        <v>13</v>
      </c>
      <c r="D54" s="668">
        <f t="shared" si="11"/>
        <v>78</v>
      </c>
      <c r="E54" s="669">
        <f t="shared" si="4"/>
        <v>39</v>
      </c>
      <c r="F54" s="679">
        <f t="shared" ref="F54:F58" si="12">(E54/2)/20</f>
        <v>0.97499999999999998</v>
      </c>
      <c r="G54" s="685">
        <f t="shared" si="6"/>
        <v>13</v>
      </c>
      <c r="H54" s="212"/>
      <c r="I54" s="212"/>
      <c r="S54" s="307"/>
      <c r="T54" s="226">
        <f t="shared" si="2"/>
        <v>51</v>
      </c>
      <c r="U54" s="224">
        <f t="shared" si="0"/>
        <v>0</v>
      </c>
      <c r="V54" s="225">
        <f t="shared" si="1"/>
        <v>0</v>
      </c>
      <c r="W54" s="238">
        <f ca="1">$U54*EWSpacingFt+XOffset+0</f>
        <v>0</v>
      </c>
      <c r="X54" s="242">
        <f ca="1">$V54*NSSpacingFt+YOffset+PanArrayLenFt*COS(RADIANS(Latitude+DecAng))</f>
        <v>16.439632545931762</v>
      </c>
      <c r="Y54" s="246">
        <f ca="1">+$V54*NSGradeFt+PedHeight+PanArrayLenFt*SIN(RADIANS(Latitude+DecAng))</f>
        <v>7.401410761154855</v>
      </c>
      <c r="Z54" s="214">
        <f ca="1">+$W54</f>
        <v>0</v>
      </c>
      <c r="AA54" s="214">
        <f ca="1">+$Y54</f>
        <v>7.401410761154855</v>
      </c>
      <c r="AB54" s="214">
        <f ca="1">+$X54</f>
        <v>16.439632545931762</v>
      </c>
      <c r="AC54" s="214">
        <f ca="1">+$W54-XOffset</f>
        <v>0</v>
      </c>
    </row>
    <row r="55" spans="2:29" s="213" customFormat="1" ht="9" customHeight="1">
      <c r="B55" s="666">
        <v>7</v>
      </c>
      <c r="C55" s="667">
        <v>11</v>
      </c>
      <c r="D55" s="668">
        <f t="shared" si="11"/>
        <v>77</v>
      </c>
      <c r="E55" s="669">
        <f t="shared" si="4"/>
        <v>38.5</v>
      </c>
      <c r="F55" s="679">
        <f t="shared" si="12"/>
        <v>0.96250000000000002</v>
      </c>
      <c r="G55" s="685">
        <f t="shared" si="6"/>
        <v>11</v>
      </c>
      <c r="H55" s="212"/>
      <c r="I55" s="212"/>
      <c r="S55" s="307"/>
      <c r="T55" s="226">
        <f t="shared" si="2"/>
        <v>52</v>
      </c>
      <c r="U55" s="224">
        <f t="shared" si="0"/>
        <v>0</v>
      </c>
      <c r="V55" s="225">
        <f t="shared" si="1"/>
        <v>0</v>
      </c>
      <c r="W55" s="239">
        <f ca="1">$U55*EWSpacingFt+XOffset+(PanArrayWidthHighEndFt-PanArrayWidthLowEndFt)/2</f>
        <v>0</v>
      </c>
      <c r="X55" s="243">
        <f ca="1">$V55*NSSpacingFt+YOffset+0</f>
        <v>0</v>
      </c>
      <c r="Y55" s="247">
        <f ca="1">+$V55*NSGradeFt+PedHeight+0</f>
        <v>7.401410761154855</v>
      </c>
      <c r="Z55" s="214">
        <f ca="1">+$W55</f>
        <v>0</v>
      </c>
      <c r="AA55" s="214">
        <f ca="1">+$Y55</f>
        <v>7.401410761154855</v>
      </c>
      <c r="AB55" s="214">
        <f ca="1">+$X55</f>
        <v>0</v>
      </c>
      <c r="AC55" s="214">
        <f ca="1">+$W55-XOffset</f>
        <v>0</v>
      </c>
    </row>
    <row r="56" spans="2:29" s="213" customFormat="1" ht="9" customHeight="1">
      <c r="B56" s="666">
        <v>8</v>
      </c>
      <c r="C56" s="667">
        <v>10</v>
      </c>
      <c r="D56" s="668">
        <f t="shared" si="11"/>
        <v>80</v>
      </c>
      <c r="E56" s="669">
        <f t="shared" si="4"/>
        <v>40</v>
      </c>
      <c r="F56" s="679">
        <f t="shared" si="12"/>
        <v>1</v>
      </c>
      <c r="G56" s="685">
        <f t="shared" si="6"/>
        <v>10</v>
      </c>
      <c r="H56" s="212"/>
      <c r="I56" s="212"/>
      <c r="S56" s="307"/>
      <c r="T56" s="226">
        <f t="shared" si="2"/>
        <v>53</v>
      </c>
      <c r="U56" s="224">
        <f t="shared" si="0"/>
        <v>0</v>
      </c>
      <c r="V56" s="225">
        <f t="shared" si="1"/>
        <v>0</v>
      </c>
      <c r="W56" s="217"/>
      <c r="X56" s="217"/>
      <c r="Y56" s="217"/>
      <c r="Z56" s="214"/>
      <c r="AA56" s="214"/>
      <c r="AB56" s="214"/>
      <c r="AC56" s="214"/>
    </row>
    <row r="57" spans="2:29" s="213" customFormat="1" ht="9" customHeight="1">
      <c r="B57" s="666">
        <v>9</v>
      </c>
      <c r="C57" s="667">
        <v>8</v>
      </c>
      <c r="D57" s="668">
        <f t="shared" si="11"/>
        <v>72</v>
      </c>
      <c r="E57" s="669">
        <f t="shared" si="4"/>
        <v>36</v>
      </c>
      <c r="F57" s="679">
        <f t="shared" si="12"/>
        <v>0.9</v>
      </c>
      <c r="G57" s="685">
        <f t="shared" si="6"/>
        <v>8</v>
      </c>
      <c r="H57" s="212"/>
      <c r="I57" s="212"/>
      <c r="S57" s="307">
        <f>INT((T57-0)/6)+1</f>
        <v>10</v>
      </c>
      <c r="T57" s="226">
        <f t="shared" si="2"/>
        <v>54</v>
      </c>
      <c r="U57" s="224">
        <f t="shared" si="0"/>
        <v>1</v>
      </c>
      <c r="V57" s="225">
        <f t="shared" si="1"/>
        <v>0</v>
      </c>
      <c r="W57" s="233">
        <f ca="1">$U57*EWSpacingFt+XOffset+(PanArrayWidthHighEndFt-PanArrayWidthLowEndFt)/2</f>
        <v>30.000006832286932</v>
      </c>
      <c r="X57" s="234">
        <f ca="1">$V57*NSSpacingFt+YOffset+0</f>
        <v>0</v>
      </c>
      <c r="Y57" s="235">
        <f ca="1">+$V57*NSGradeFt+PedHeight+0</f>
        <v>7.401410761154855</v>
      </c>
      <c r="Z57" s="214">
        <f ca="1">+$W57</f>
        <v>30.000006832286932</v>
      </c>
      <c r="AA57" s="214">
        <f ca="1">+$Y57</f>
        <v>7.401410761154855</v>
      </c>
      <c r="AB57" s="214">
        <f ca="1">+$X57</f>
        <v>0</v>
      </c>
      <c r="AC57" s="214">
        <f ca="1">+$W57-XOffset</f>
        <v>30.000006832286932</v>
      </c>
    </row>
    <row r="58" spans="2:29" s="213" customFormat="1" ht="9" customHeight="1">
      <c r="B58" s="670">
        <v>10</v>
      </c>
      <c r="C58" s="671">
        <v>8</v>
      </c>
      <c r="D58" s="672">
        <f t="shared" si="11"/>
        <v>80</v>
      </c>
      <c r="E58" s="673">
        <f t="shared" si="4"/>
        <v>40</v>
      </c>
      <c r="F58" s="686">
        <f t="shared" si="12"/>
        <v>1</v>
      </c>
      <c r="G58" s="687">
        <f t="shared" si="6"/>
        <v>8</v>
      </c>
      <c r="H58" s="212"/>
      <c r="I58" s="212"/>
      <c r="S58" s="307"/>
      <c r="T58" s="226">
        <f t="shared" si="2"/>
        <v>55</v>
      </c>
      <c r="U58" s="224">
        <f t="shared" si="0"/>
        <v>1</v>
      </c>
      <c r="V58" s="225">
        <f t="shared" si="1"/>
        <v>0</v>
      </c>
      <c r="W58" s="236">
        <f ca="1">+$U58*EWSpacingFt+XOffset+PanArrayWidthHighEndFt-(PanArrayWidthHighEndFt-PanArrayWidthLowEndFt)/2</f>
        <v>40.802828354596642</v>
      </c>
      <c r="X58" s="240">
        <f ca="1">$V58*NSSpacingFt+YOffset+0</f>
        <v>0</v>
      </c>
      <c r="Y58" s="244">
        <f ca="1">+$V58*NSGradeFt+PedHeight+0</f>
        <v>7.401410761154855</v>
      </c>
      <c r="Z58" s="214">
        <f ca="1">+$W58</f>
        <v>40.802828354596642</v>
      </c>
      <c r="AA58" s="214">
        <f ca="1">+$Y58</f>
        <v>7.401410761154855</v>
      </c>
      <c r="AB58" s="214">
        <f ca="1">+$X58</f>
        <v>0</v>
      </c>
      <c r="AC58" s="214">
        <f ca="1">+$W58-XOffset</f>
        <v>40.802828354596642</v>
      </c>
    </row>
    <row r="59" spans="2:29" s="213" customFormat="1" ht="9" customHeight="1">
      <c r="B59" s="663">
        <v>1</v>
      </c>
      <c r="C59" s="664">
        <v>200</v>
      </c>
      <c r="D59" s="665">
        <f t="shared" si="11"/>
        <v>200</v>
      </c>
      <c r="E59" s="682">
        <f t="shared" si="4"/>
        <v>100</v>
      </c>
      <c r="F59" s="683">
        <f>(E59/5)/20</f>
        <v>1</v>
      </c>
      <c r="G59" s="684">
        <f t="shared" si="6"/>
        <v>200</v>
      </c>
      <c r="H59" s="212"/>
      <c r="I59" s="212"/>
      <c r="S59" s="307"/>
      <c r="T59" s="226">
        <f t="shared" si="2"/>
        <v>56</v>
      </c>
      <c r="U59" s="224">
        <f t="shared" si="0"/>
        <v>1</v>
      </c>
      <c r="V59" s="225">
        <f t="shared" si="1"/>
        <v>0</v>
      </c>
      <c r="W59" s="237">
        <f ca="1">$U59*EWSpacingFt+XOffset+PanArrayWidthHighEndFt</f>
        <v>40.802828354596642</v>
      </c>
      <c r="X59" s="241">
        <f ca="1">$V59*NSSpacingFt+YOffset+PanArrayLenFt*COS(RADIANS(Latitude+DecAng))</f>
        <v>16.439632545931762</v>
      </c>
      <c r="Y59" s="245">
        <f ca="1">+$V59*NSGradeFt+PedHeight+PanArrayLenFt*SIN(RADIANS(Latitude+DecAng))</f>
        <v>7.401410761154855</v>
      </c>
      <c r="Z59" s="214">
        <f ca="1">+$W59</f>
        <v>40.802828354596642</v>
      </c>
      <c r="AA59" s="214">
        <f ca="1">+$Y59</f>
        <v>7.401410761154855</v>
      </c>
      <c r="AB59" s="214">
        <f ca="1">+$X59</f>
        <v>16.439632545931762</v>
      </c>
      <c r="AC59" s="214">
        <f ca="1">+$W59-XOffset</f>
        <v>40.802828354596642</v>
      </c>
    </row>
    <row r="60" spans="2:29" s="213" customFormat="1" ht="9" customHeight="1">
      <c r="B60" s="666">
        <v>2</v>
      </c>
      <c r="C60" s="667">
        <v>100</v>
      </c>
      <c r="D60" s="668">
        <f t="shared" si="11"/>
        <v>200</v>
      </c>
      <c r="E60" s="669">
        <f t="shared" si="4"/>
        <v>100</v>
      </c>
      <c r="F60" s="679">
        <f t="shared" ref="F60:F68" si="13">(E60/5)/20</f>
        <v>1</v>
      </c>
      <c r="G60" s="685">
        <f t="shared" si="6"/>
        <v>100</v>
      </c>
      <c r="H60" s="212"/>
      <c r="I60" s="212"/>
      <c r="S60" s="307"/>
      <c r="T60" s="226">
        <f t="shared" si="2"/>
        <v>57</v>
      </c>
      <c r="U60" s="224">
        <f t="shared" si="0"/>
        <v>1</v>
      </c>
      <c r="V60" s="225">
        <f t="shared" si="1"/>
        <v>0</v>
      </c>
      <c r="W60" s="238">
        <f ca="1">$U60*EWSpacingFt+XOffset+0</f>
        <v>30.000006832286932</v>
      </c>
      <c r="X60" s="242">
        <f ca="1">$V60*NSSpacingFt+YOffset+PanArrayLenFt*COS(RADIANS(Latitude+DecAng))</f>
        <v>16.439632545931762</v>
      </c>
      <c r="Y60" s="246">
        <f ca="1">+$V60*NSGradeFt+PedHeight+PanArrayLenFt*SIN(RADIANS(Latitude+DecAng))</f>
        <v>7.401410761154855</v>
      </c>
      <c r="Z60" s="214">
        <f ca="1">+$W60</f>
        <v>30.000006832286932</v>
      </c>
      <c r="AA60" s="214">
        <f ca="1">+$Y60</f>
        <v>7.401410761154855</v>
      </c>
      <c r="AB60" s="214">
        <f ca="1">+$X60</f>
        <v>16.439632545931762</v>
      </c>
      <c r="AC60" s="214">
        <f ca="1">+$W60-XOffset</f>
        <v>30.000006832286932</v>
      </c>
    </row>
    <row r="61" spans="2:29" s="213" customFormat="1" ht="9" customHeight="1">
      <c r="B61" s="666">
        <v>3</v>
      </c>
      <c r="C61" s="667">
        <v>66</v>
      </c>
      <c r="D61" s="668">
        <f t="shared" si="11"/>
        <v>198</v>
      </c>
      <c r="E61" s="669">
        <f t="shared" si="4"/>
        <v>99</v>
      </c>
      <c r="F61" s="679">
        <f t="shared" si="13"/>
        <v>0.99</v>
      </c>
      <c r="G61" s="685">
        <f t="shared" si="6"/>
        <v>66</v>
      </c>
      <c r="H61" s="212"/>
      <c r="I61" s="212"/>
      <c r="S61" s="307"/>
      <c r="T61" s="226">
        <f t="shared" si="2"/>
        <v>58</v>
      </c>
      <c r="U61" s="224">
        <f t="shared" si="0"/>
        <v>1</v>
      </c>
      <c r="V61" s="225">
        <f t="shared" si="1"/>
        <v>0</v>
      </c>
      <c r="W61" s="239">
        <f ca="1">$U61*EWSpacingFt+XOffset+(PanArrayWidthHighEndFt-PanArrayWidthLowEndFt)/2</f>
        <v>30.000006832286932</v>
      </c>
      <c r="X61" s="243">
        <f ca="1">$V61*NSSpacingFt+YOffset+0</f>
        <v>0</v>
      </c>
      <c r="Y61" s="247">
        <f ca="1">+$V61*NSGradeFt+PedHeight+0</f>
        <v>7.401410761154855</v>
      </c>
      <c r="Z61" s="214">
        <f ca="1">+$W61</f>
        <v>30.000006832286932</v>
      </c>
      <c r="AA61" s="214">
        <f ca="1">+$Y61</f>
        <v>7.401410761154855</v>
      </c>
      <c r="AB61" s="214">
        <f ca="1">+$X61</f>
        <v>0</v>
      </c>
      <c r="AC61" s="214">
        <f ca="1">+$W61-XOffset</f>
        <v>30.000006832286932</v>
      </c>
    </row>
    <row r="62" spans="2:29" s="213" customFormat="1" ht="9" customHeight="1">
      <c r="B62" s="666">
        <v>4</v>
      </c>
      <c r="C62" s="667">
        <v>50</v>
      </c>
      <c r="D62" s="668">
        <f t="shared" si="11"/>
        <v>200</v>
      </c>
      <c r="E62" s="669">
        <f t="shared" si="4"/>
        <v>100</v>
      </c>
      <c r="F62" s="679">
        <f t="shared" si="13"/>
        <v>1</v>
      </c>
      <c r="G62" s="685">
        <f t="shared" si="6"/>
        <v>50</v>
      </c>
      <c r="H62" s="212"/>
      <c r="I62" s="212"/>
      <c r="S62" s="307"/>
      <c r="T62" s="226">
        <f t="shared" si="2"/>
        <v>59</v>
      </c>
      <c r="U62" s="224">
        <f t="shared" si="0"/>
        <v>1</v>
      </c>
      <c r="V62" s="225">
        <f t="shared" si="1"/>
        <v>0</v>
      </c>
      <c r="W62" s="217"/>
      <c r="X62" s="217"/>
      <c r="Y62" s="217"/>
      <c r="Z62" s="214"/>
      <c r="AA62" s="214"/>
      <c r="AB62" s="214"/>
      <c r="AC62" s="214"/>
    </row>
    <row r="63" spans="2:29" s="213" customFormat="1" ht="9" customHeight="1">
      <c r="B63" s="666">
        <v>5</v>
      </c>
      <c r="C63" s="667">
        <v>40</v>
      </c>
      <c r="D63" s="668">
        <f t="shared" si="11"/>
        <v>200</v>
      </c>
      <c r="E63" s="669">
        <f t="shared" si="4"/>
        <v>100</v>
      </c>
      <c r="F63" s="679">
        <f t="shared" si="13"/>
        <v>1</v>
      </c>
      <c r="G63" s="685">
        <f t="shared" si="6"/>
        <v>40</v>
      </c>
      <c r="H63" s="212"/>
      <c r="I63" s="212"/>
      <c r="S63" s="307">
        <f>INT((T63-0)/6)+1</f>
        <v>11</v>
      </c>
      <c r="T63" s="226">
        <f t="shared" si="2"/>
        <v>60</v>
      </c>
      <c r="U63" s="224">
        <f t="shared" si="0"/>
        <v>0</v>
      </c>
      <c r="V63" s="225">
        <f t="shared" si="1"/>
        <v>1</v>
      </c>
      <c r="W63" s="233">
        <f ca="1">$U63*EWSpacingFt+XOffset+(PanArrayWidthHighEndFt-PanArrayWidthLowEndFt)/2</f>
        <v>0</v>
      </c>
      <c r="X63" s="234">
        <f ca="1">$V63*NSSpacingFt+YOffset+0</f>
        <v>17.999999999999989</v>
      </c>
      <c r="Y63" s="235">
        <f ca="1">+$V63*NSGradeFt+PedHeight+0</f>
        <v>7.401410761154855</v>
      </c>
      <c r="Z63" s="214">
        <f ca="1">+$W63</f>
        <v>0</v>
      </c>
      <c r="AA63" s="214">
        <f ca="1">+$Y63</f>
        <v>7.401410761154855</v>
      </c>
      <c r="AB63" s="214">
        <f ca="1">+$X63</f>
        <v>17.999999999999989</v>
      </c>
      <c r="AC63" s="214">
        <f ca="1">+$W63-XOffset</f>
        <v>0</v>
      </c>
    </row>
    <row r="64" spans="2:29" s="213" customFormat="1" ht="9" customHeight="1">
      <c r="B64" s="666">
        <v>6</v>
      </c>
      <c r="C64" s="667">
        <v>33</v>
      </c>
      <c r="D64" s="668">
        <f t="shared" si="11"/>
        <v>198</v>
      </c>
      <c r="E64" s="669">
        <f t="shared" si="4"/>
        <v>99</v>
      </c>
      <c r="F64" s="679">
        <f t="shared" si="13"/>
        <v>0.99</v>
      </c>
      <c r="G64" s="685">
        <f t="shared" si="6"/>
        <v>33</v>
      </c>
      <c r="H64" s="212"/>
      <c r="I64" s="212"/>
      <c r="S64" s="307"/>
      <c r="T64" s="226">
        <f t="shared" si="2"/>
        <v>61</v>
      </c>
      <c r="U64" s="224">
        <f t="shared" si="0"/>
        <v>0</v>
      </c>
      <c r="V64" s="225">
        <f t="shared" si="1"/>
        <v>1</v>
      </c>
      <c r="W64" s="236">
        <f ca="1">+$U64*EWSpacingFt+XOffset+PanArrayWidthHighEndFt-(PanArrayWidthHighEndFt-PanArrayWidthLowEndFt)/2</f>
        <v>10.80282152230971</v>
      </c>
      <c r="X64" s="240">
        <f ca="1">$V64*NSSpacingFt+YOffset+0</f>
        <v>17.999999999999989</v>
      </c>
      <c r="Y64" s="244">
        <f ca="1">+$V64*NSGradeFt+PedHeight+0</f>
        <v>7.401410761154855</v>
      </c>
      <c r="Z64" s="214">
        <f ca="1">+$W64</f>
        <v>10.80282152230971</v>
      </c>
      <c r="AA64" s="214">
        <f ca="1">+$Y64</f>
        <v>7.401410761154855</v>
      </c>
      <c r="AB64" s="214">
        <f ca="1">+$X64</f>
        <v>17.999999999999989</v>
      </c>
      <c r="AC64" s="214">
        <f ca="1">+$W64-XOffset</f>
        <v>10.80282152230971</v>
      </c>
    </row>
    <row r="65" spans="2:29" s="213" customFormat="1" ht="9" customHeight="1">
      <c r="B65" s="666">
        <v>7</v>
      </c>
      <c r="C65" s="667">
        <v>28</v>
      </c>
      <c r="D65" s="668">
        <f t="shared" si="11"/>
        <v>196</v>
      </c>
      <c r="E65" s="669">
        <f t="shared" si="4"/>
        <v>98</v>
      </c>
      <c r="F65" s="679">
        <f t="shared" si="13"/>
        <v>0.98000000000000009</v>
      </c>
      <c r="G65" s="685">
        <f t="shared" si="6"/>
        <v>28</v>
      </c>
      <c r="H65" s="212"/>
      <c r="I65" s="212"/>
      <c r="S65" s="307"/>
      <c r="T65" s="226">
        <f t="shared" si="2"/>
        <v>62</v>
      </c>
      <c r="U65" s="224">
        <f t="shared" si="0"/>
        <v>0</v>
      </c>
      <c r="V65" s="225">
        <f t="shared" si="1"/>
        <v>1</v>
      </c>
      <c r="W65" s="237">
        <f ca="1">$U65*EWSpacingFt+XOffset+PanArrayWidthHighEndFt</f>
        <v>10.80282152230971</v>
      </c>
      <c r="X65" s="241">
        <f ca="1">$V65*NSSpacingFt+YOffset+PanArrayLenFt*COS(RADIANS(Latitude+DecAng))</f>
        <v>34.439632545931751</v>
      </c>
      <c r="Y65" s="245">
        <f ca="1">+$V65*NSGradeFt+PedHeight+PanArrayLenFt*SIN(RADIANS(Latitude+DecAng))</f>
        <v>7.401410761154855</v>
      </c>
      <c r="Z65" s="214">
        <f ca="1">+$W65</f>
        <v>10.80282152230971</v>
      </c>
      <c r="AA65" s="214">
        <f ca="1">+$Y65</f>
        <v>7.401410761154855</v>
      </c>
      <c r="AB65" s="214">
        <f ca="1">+$X65</f>
        <v>34.439632545931751</v>
      </c>
      <c r="AC65" s="214">
        <f ca="1">+$W65-XOffset</f>
        <v>10.80282152230971</v>
      </c>
    </row>
    <row r="66" spans="2:29" s="213" customFormat="1" ht="9" customHeight="1">
      <c r="B66" s="666">
        <v>8</v>
      </c>
      <c r="C66" s="667">
        <v>25</v>
      </c>
      <c r="D66" s="668">
        <f t="shared" si="11"/>
        <v>200</v>
      </c>
      <c r="E66" s="669">
        <f t="shared" si="4"/>
        <v>100</v>
      </c>
      <c r="F66" s="679">
        <f t="shared" si="13"/>
        <v>1</v>
      </c>
      <c r="G66" s="685">
        <f t="shared" si="6"/>
        <v>25</v>
      </c>
      <c r="H66" s="212"/>
      <c r="I66" s="212"/>
      <c r="S66" s="307"/>
      <c r="T66" s="226">
        <f t="shared" si="2"/>
        <v>63</v>
      </c>
      <c r="U66" s="224">
        <f t="shared" si="0"/>
        <v>0</v>
      </c>
      <c r="V66" s="225">
        <f t="shared" si="1"/>
        <v>1</v>
      </c>
      <c r="W66" s="238">
        <f ca="1">$U66*EWSpacingFt+XOffset+0</f>
        <v>0</v>
      </c>
      <c r="X66" s="242">
        <f ca="1">$V66*NSSpacingFt+YOffset+PanArrayLenFt*COS(RADIANS(Latitude+DecAng))</f>
        <v>34.439632545931751</v>
      </c>
      <c r="Y66" s="246">
        <f ca="1">+$V66*NSGradeFt+PedHeight+PanArrayLenFt*SIN(RADIANS(Latitude+DecAng))</f>
        <v>7.401410761154855</v>
      </c>
      <c r="Z66" s="214">
        <f ca="1">+$W66</f>
        <v>0</v>
      </c>
      <c r="AA66" s="214">
        <f ca="1">+$Y66</f>
        <v>7.401410761154855</v>
      </c>
      <c r="AB66" s="214">
        <f ca="1">+$X66</f>
        <v>34.439632545931751</v>
      </c>
      <c r="AC66" s="214">
        <f ca="1">+$W66-XOffset</f>
        <v>0</v>
      </c>
    </row>
    <row r="67" spans="2:29" s="213" customFormat="1" ht="9" customHeight="1">
      <c r="B67" s="666">
        <v>9</v>
      </c>
      <c r="C67" s="667">
        <v>22</v>
      </c>
      <c r="D67" s="668">
        <f t="shared" si="11"/>
        <v>198</v>
      </c>
      <c r="E67" s="669">
        <f t="shared" si="4"/>
        <v>99</v>
      </c>
      <c r="F67" s="679">
        <f t="shared" si="13"/>
        <v>0.99</v>
      </c>
      <c r="G67" s="685">
        <f t="shared" si="6"/>
        <v>22</v>
      </c>
      <c r="H67" s="212"/>
      <c r="I67" s="212"/>
      <c r="S67" s="307"/>
      <c r="T67" s="226">
        <f t="shared" si="2"/>
        <v>64</v>
      </c>
      <c r="U67" s="224">
        <f t="shared" ref="U67:U130" si="14">+MOD(INT(T67/6),ColumnsOfMounts)</f>
        <v>0</v>
      </c>
      <c r="V67" s="225">
        <f t="shared" ref="V67:V130" si="15">+MOD(INT(T67/6/ColumnsOfMounts),RowsOfMounts)</f>
        <v>1</v>
      </c>
      <c r="W67" s="239">
        <f ca="1">$U67*EWSpacingFt+XOffset+(PanArrayWidthHighEndFt-PanArrayWidthLowEndFt)/2</f>
        <v>0</v>
      </c>
      <c r="X67" s="243">
        <f ca="1">$V67*NSSpacingFt+YOffset+0</f>
        <v>17.999999999999989</v>
      </c>
      <c r="Y67" s="247">
        <f ca="1">+$V67*NSGradeFt+PedHeight+0</f>
        <v>7.401410761154855</v>
      </c>
      <c r="Z67" s="214">
        <f ca="1">+$W67</f>
        <v>0</v>
      </c>
      <c r="AA67" s="214">
        <f ca="1">+$Y67</f>
        <v>7.401410761154855</v>
      </c>
      <c r="AB67" s="214">
        <f ca="1">+$X67</f>
        <v>17.999999999999989</v>
      </c>
      <c r="AC67" s="214">
        <f ca="1">+$W67-XOffset</f>
        <v>0</v>
      </c>
    </row>
    <row r="68" spans="2:29" s="213" customFormat="1" ht="9" customHeight="1">
      <c r="B68" s="670">
        <v>10</v>
      </c>
      <c r="C68" s="671">
        <v>20</v>
      </c>
      <c r="D68" s="672">
        <f t="shared" si="11"/>
        <v>200</v>
      </c>
      <c r="E68" s="673">
        <f t="shared" si="4"/>
        <v>100</v>
      </c>
      <c r="F68" s="686">
        <f t="shared" si="13"/>
        <v>1</v>
      </c>
      <c r="G68" s="687">
        <f t="shared" si="6"/>
        <v>20</v>
      </c>
      <c r="H68" s="212"/>
      <c r="I68" s="212"/>
      <c r="S68" s="307"/>
      <c r="T68" s="226">
        <f t="shared" si="2"/>
        <v>65</v>
      </c>
      <c r="U68" s="224">
        <f t="shared" si="14"/>
        <v>0</v>
      </c>
      <c r="V68" s="225">
        <f t="shared" si="15"/>
        <v>1</v>
      </c>
      <c r="W68" s="217"/>
      <c r="X68" s="217"/>
      <c r="Y68" s="217"/>
      <c r="Z68" s="214"/>
      <c r="AA68" s="214"/>
      <c r="AB68" s="214"/>
      <c r="AC68" s="214"/>
    </row>
    <row r="69" spans="2:29" s="213" customFormat="1" ht="9" customHeight="1">
      <c r="H69" s="212"/>
      <c r="I69" s="212"/>
      <c r="S69" s="307">
        <f>INT((T69-0)/6)+1</f>
        <v>12</v>
      </c>
      <c r="T69" s="226">
        <f t="shared" ref="T69:T132" si="16">+T68+1</f>
        <v>66</v>
      </c>
      <c r="U69" s="224">
        <f t="shared" si="14"/>
        <v>1</v>
      </c>
      <c r="V69" s="225">
        <f t="shared" si="15"/>
        <v>1</v>
      </c>
      <c r="W69" s="233">
        <f ca="1">$U69*EWSpacingFt+XOffset+(PanArrayWidthHighEndFt-PanArrayWidthLowEndFt)/2</f>
        <v>30.000006832286932</v>
      </c>
      <c r="X69" s="234">
        <f ca="1">$V69*NSSpacingFt+YOffset+0</f>
        <v>17.999999999999989</v>
      </c>
      <c r="Y69" s="235">
        <f ca="1">+$V69*NSGradeFt+PedHeight+0</f>
        <v>7.401410761154855</v>
      </c>
      <c r="Z69" s="214">
        <f ca="1">+$W69</f>
        <v>30.000006832286932</v>
      </c>
      <c r="AA69" s="214">
        <f ca="1">+$Y69</f>
        <v>7.401410761154855</v>
      </c>
      <c r="AB69" s="214">
        <f ca="1">+$X69</f>
        <v>17.999999999999989</v>
      </c>
      <c r="AC69" s="214">
        <f ca="1">+$W69-XOffset</f>
        <v>30.000006832286932</v>
      </c>
    </row>
    <row r="70" spans="2:29" s="213" customFormat="1" ht="9" customHeight="1">
      <c r="H70" s="212"/>
      <c r="I70" s="212"/>
      <c r="S70" s="307"/>
      <c r="T70" s="226">
        <f t="shared" si="16"/>
        <v>67</v>
      </c>
      <c r="U70" s="224">
        <f t="shared" si="14"/>
        <v>1</v>
      </c>
      <c r="V70" s="225">
        <f t="shared" si="15"/>
        <v>1</v>
      </c>
      <c r="W70" s="236">
        <f ca="1">+$U70*EWSpacingFt+XOffset+PanArrayWidthHighEndFt-(PanArrayWidthHighEndFt-PanArrayWidthLowEndFt)/2</f>
        <v>40.802828354596642</v>
      </c>
      <c r="X70" s="240">
        <f ca="1">$V70*NSSpacingFt+YOffset+0</f>
        <v>17.999999999999989</v>
      </c>
      <c r="Y70" s="244">
        <f ca="1">+$V70*NSGradeFt+PedHeight+0</f>
        <v>7.401410761154855</v>
      </c>
      <c r="Z70" s="214">
        <f ca="1">+$W70</f>
        <v>40.802828354596642</v>
      </c>
      <c r="AA70" s="214">
        <f ca="1">+$Y70</f>
        <v>7.401410761154855</v>
      </c>
      <c r="AB70" s="214">
        <f ca="1">+$X70</f>
        <v>17.999999999999989</v>
      </c>
      <c r="AC70" s="214">
        <f ca="1">+$W70-XOffset</f>
        <v>40.802828354596642</v>
      </c>
    </row>
    <row r="71" spans="2:29" s="213" customFormat="1" ht="9" customHeight="1">
      <c r="H71" s="212"/>
      <c r="I71" s="212"/>
      <c r="S71" s="307"/>
      <c r="T71" s="226">
        <f t="shared" si="16"/>
        <v>68</v>
      </c>
      <c r="U71" s="224">
        <f t="shared" si="14"/>
        <v>1</v>
      </c>
      <c r="V71" s="225">
        <f t="shared" si="15"/>
        <v>1</v>
      </c>
      <c r="W71" s="237">
        <f ca="1">$U71*EWSpacingFt+XOffset+PanArrayWidthHighEndFt</f>
        <v>40.802828354596642</v>
      </c>
      <c r="X71" s="241">
        <f ca="1">$V71*NSSpacingFt+YOffset+PanArrayLenFt*COS(RADIANS(Latitude+DecAng))</f>
        <v>34.439632545931751</v>
      </c>
      <c r="Y71" s="245">
        <f ca="1">+$V71*NSGradeFt+PedHeight+PanArrayLenFt*SIN(RADIANS(Latitude+DecAng))</f>
        <v>7.401410761154855</v>
      </c>
      <c r="Z71" s="214">
        <f ca="1">+$W71</f>
        <v>40.802828354596642</v>
      </c>
      <c r="AA71" s="214">
        <f ca="1">+$Y71</f>
        <v>7.401410761154855</v>
      </c>
      <c r="AB71" s="214">
        <f ca="1">+$X71</f>
        <v>34.439632545931751</v>
      </c>
      <c r="AC71" s="214">
        <f ca="1">+$W71-XOffset</f>
        <v>40.802828354596642</v>
      </c>
    </row>
    <row r="72" spans="2:29" s="213" customFormat="1" ht="9" customHeight="1">
      <c r="H72" s="212"/>
      <c r="I72" s="212"/>
      <c r="S72" s="307"/>
      <c r="T72" s="226">
        <f t="shared" si="16"/>
        <v>69</v>
      </c>
      <c r="U72" s="224">
        <f t="shared" si="14"/>
        <v>1</v>
      </c>
      <c r="V72" s="225">
        <f t="shared" si="15"/>
        <v>1</v>
      </c>
      <c r="W72" s="238">
        <f ca="1">$U72*EWSpacingFt+XOffset+0</f>
        <v>30.000006832286932</v>
      </c>
      <c r="X72" s="242">
        <f ca="1">$V72*NSSpacingFt+YOffset+PanArrayLenFt*COS(RADIANS(Latitude+DecAng))</f>
        <v>34.439632545931751</v>
      </c>
      <c r="Y72" s="246">
        <f ca="1">+$V72*NSGradeFt+PedHeight+PanArrayLenFt*SIN(RADIANS(Latitude+DecAng))</f>
        <v>7.401410761154855</v>
      </c>
      <c r="Z72" s="214">
        <f ca="1">+$W72</f>
        <v>30.000006832286932</v>
      </c>
      <c r="AA72" s="214">
        <f ca="1">+$Y72</f>
        <v>7.401410761154855</v>
      </c>
      <c r="AB72" s="214">
        <f ca="1">+$X72</f>
        <v>34.439632545931751</v>
      </c>
      <c r="AC72" s="214">
        <f ca="1">+$W72-XOffset</f>
        <v>30.000006832286932</v>
      </c>
    </row>
    <row r="73" spans="2:29" s="213" customFormat="1" ht="9" customHeight="1">
      <c r="H73" s="212"/>
      <c r="I73" s="212"/>
      <c r="S73" s="307"/>
      <c r="T73" s="226">
        <f t="shared" si="16"/>
        <v>70</v>
      </c>
      <c r="U73" s="224">
        <f t="shared" si="14"/>
        <v>1</v>
      </c>
      <c r="V73" s="225">
        <f t="shared" si="15"/>
        <v>1</v>
      </c>
      <c r="W73" s="239">
        <f ca="1">$U73*EWSpacingFt+XOffset+(PanArrayWidthHighEndFt-PanArrayWidthLowEndFt)/2</f>
        <v>30.000006832286932</v>
      </c>
      <c r="X73" s="243">
        <f ca="1">$V73*NSSpacingFt+YOffset+0</f>
        <v>17.999999999999989</v>
      </c>
      <c r="Y73" s="247">
        <f ca="1">+$V73*NSGradeFt+PedHeight+0</f>
        <v>7.401410761154855</v>
      </c>
      <c r="Z73" s="214">
        <f ca="1">+$W73</f>
        <v>30.000006832286932</v>
      </c>
      <c r="AA73" s="214">
        <f ca="1">+$Y73</f>
        <v>7.401410761154855</v>
      </c>
      <c r="AB73" s="214">
        <f ca="1">+$X73</f>
        <v>17.999999999999989</v>
      </c>
      <c r="AC73" s="214">
        <f ca="1">+$W73-XOffset</f>
        <v>30.000006832286932</v>
      </c>
    </row>
    <row r="74" spans="2:29" s="213" customFormat="1" ht="9" customHeight="1">
      <c r="H74" s="212"/>
      <c r="I74" s="212"/>
      <c r="S74" s="307"/>
      <c r="T74" s="226">
        <f t="shared" si="16"/>
        <v>71</v>
      </c>
      <c r="U74" s="224">
        <f t="shared" si="14"/>
        <v>1</v>
      </c>
      <c r="V74" s="225">
        <f t="shared" si="15"/>
        <v>1</v>
      </c>
      <c r="W74" s="217"/>
      <c r="X74" s="217"/>
      <c r="Y74" s="217"/>
      <c r="Z74" s="214"/>
      <c r="AA74" s="214"/>
      <c r="AB74" s="214"/>
      <c r="AC74" s="214"/>
    </row>
    <row r="75" spans="2:29" s="213" customFormat="1" ht="9" customHeight="1">
      <c r="H75" s="212"/>
      <c r="I75" s="212"/>
      <c r="S75" s="307">
        <f>INT((T75-0)/6)+1</f>
        <v>13</v>
      </c>
      <c r="T75" s="226">
        <f t="shared" si="16"/>
        <v>72</v>
      </c>
      <c r="U75" s="224">
        <f t="shared" si="14"/>
        <v>0</v>
      </c>
      <c r="V75" s="225">
        <f t="shared" si="15"/>
        <v>2</v>
      </c>
      <c r="W75" s="233">
        <f ca="1">$U75*EWSpacingFt+XOffset+(PanArrayWidthHighEndFt-PanArrayWidthLowEndFt)/2</f>
        <v>0</v>
      </c>
      <c r="X75" s="234">
        <f ca="1">$V75*NSSpacingFt+YOffset+0</f>
        <v>35.999999999999979</v>
      </c>
      <c r="Y75" s="235">
        <f ca="1">+$V75*NSGradeFt+PedHeight+0</f>
        <v>7.401410761154855</v>
      </c>
      <c r="Z75" s="214">
        <f ca="1">+$W75</f>
        <v>0</v>
      </c>
      <c r="AA75" s="214">
        <f ca="1">+$Y75</f>
        <v>7.401410761154855</v>
      </c>
      <c r="AB75" s="214">
        <f ca="1">+$X75</f>
        <v>35.999999999999979</v>
      </c>
      <c r="AC75" s="214">
        <f ca="1">+$W75-XOffset</f>
        <v>0</v>
      </c>
    </row>
    <row r="76" spans="2:29" s="213" customFormat="1" ht="9" customHeight="1">
      <c r="H76" s="212"/>
      <c r="I76" s="212"/>
      <c r="S76" s="307"/>
      <c r="T76" s="226">
        <f t="shared" si="16"/>
        <v>73</v>
      </c>
      <c r="U76" s="224">
        <f t="shared" si="14"/>
        <v>0</v>
      </c>
      <c r="V76" s="225">
        <f t="shared" si="15"/>
        <v>2</v>
      </c>
      <c r="W76" s="236">
        <f ca="1">+$U76*EWSpacingFt+XOffset+PanArrayWidthHighEndFt-(PanArrayWidthHighEndFt-PanArrayWidthLowEndFt)/2</f>
        <v>10.80282152230971</v>
      </c>
      <c r="X76" s="240">
        <f ca="1">$V76*NSSpacingFt+YOffset+0</f>
        <v>35.999999999999979</v>
      </c>
      <c r="Y76" s="244">
        <f ca="1">+$V76*NSGradeFt+PedHeight+0</f>
        <v>7.401410761154855</v>
      </c>
      <c r="Z76" s="214">
        <f ca="1">+$W76</f>
        <v>10.80282152230971</v>
      </c>
      <c r="AA76" s="214">
        <f ca="1">+$Y76</f>
        <v>7.401410761154855</v>
      </c>
      <c r="AB76" s="214">
        <f ca="1">+$X76</f>
        <v>35.999999999999979</v>
      </c>
      <c r="AC76" s="214">
        <f ca="1">+$W76-XOffset</f>
        <v>10.80282152230971</v>
      </c>
    </row>
    <row r="77" spans="2:29" s="213" customFormat="1" ht="9" customHeight="1">
      <c r="H77" s="212"/>
      <c r="I77" s="212"/>
      <c r="S77" s="307"/>
      <c r="T77" s="226">
        <f t="shared" si="16"/>
        <v>74</v>
      </c>
      <c r="U77" s="224">
        <f t="shared" si="14"/>
        <v>0</v>
      </c>
      <c r="V77" s="225">
        <f t="shared" si="15"/>
        <v>2</v>
      </c>
      <c r="W77" s="237">
        <f ca="1">$U77*EWSpacingFt+XOffset+PanArrayWidthHighEndFt</f>
        <v>10.80282152230971</v>
      </c>
      <c r="X77" s="241">
        <f ca="1">$V77*NSSpacingFt+YOffset+PanArrayLenFt*COS(RADIANS(Latitude+DecAng))</f>
        <v>52.439632545931744</v>
      </c>
      <c r="Y77" s="245">
        <f ca="1">+$V77*NSGradeFt+PedHeight+PanArrayLenFt*SIN(RADIANS(Latitude+DecAng))</f>
        <v>7.401410761154855</v>
      </c>
      <c r="Z77" s="214">
        <f ca="1">+$W77</f>
        <v>10.80282152230971</v>
      </c>
      <c r="AA77" s="214">
        <f ca="1">+$Y77</f>
        <v>7.401410761154855</v>
      </c>
      <c r="AB77" s="214">
        <f ca="1">+$X77</f>
        <v>52.439632545931744</v>
      </c>
      <c r="AC77" s="214">
        <f ca="1">+$W77-XOffset</f>
        <v>10.80282152230971</v>
      </c>
    </row>
    <row r="78" spans="2:29" s="213" customFormat="1" ht="9" customHeight="1">
      <c r="H78" s="212"/>
      <c r="I78" s="212"/>
      <c r="S78" s="307"/>
      <c r="T78" s="226">
        <f t="shared" si="16"/>
        <v>75</v>
      </c>
      <c r="U78" s="224">
        <f t="shared" si="14"/>
        <v>0</v>
      </c>
      <c r="V78" s="225">
        <f t="shared" si="15"/>
        <v>2</v>
      </c>
      <c r="W78" s="238">
        <f ca="1">$U78*EWSpacingFt+XOffset+0</f>
        <v>0</v>
      </c>
      <c r="X78" s="242">
        <f ca="1">$V78*NSSpacingFt+YOffset+PanArrayLenFt*COS(RADIANS(Latitude+DecAng))</f>
        <v>52.439632545931744</v>
      </c>
      <c r="Y78" s="246">
        <f ca="1">+$V78*NSGradeFt+PedHeight+PanArrayLenFt*SIN(RADIANS(Latitude+DecAng))</f>
        <v>7.401410761154855</v>
      </c>
      <c r="Z78" s="214">
        <f ca="1">+$W78</f>
        <v>0</v>
      </c>
      <c r="AA78" s="214">
        <f ca="1">+$Y78</f>
        <v>7.401410761154855</v>
      </c>
      <c r="AB78" s="214">
        <f ca="1">+$X78</f>
        <v>52.439632545931744</v>
      </c>
      <c r="AC78" s="214">
        <f ca="1">+$W78-XOffset</f>
        <v>0</v>
      </c>
    </row>
    <row r="79" spans="2:29" s="213" customFormat="1" ht="9" customHeight="1">
      <c r="H79" s="212"/>
      <c r="I79" s="212"/>
      <c r="S79" s="307"/>
      <c r="T79" s="226">
        <f t="shared" si="16"/>
        <v>76</v>
      </c>
      <c r="U79" s="224">
        <f t="shared" si="14"/>
        <v>0</v>
      </c>
      <c r="V79" s="225">
        <f t="shared" si="15"/>
        <v>2</v>
      </c>
      <c r="W79" s="239">
        <f ca="1">$U79*EWSpacingFt+XOffset+(PanArrayWidthHighEndFt-PanArrayWidthLowEndFt)/2</f>
        <v>0</v>
      </c>
      <c r="X79" s="243">
        <f ca="1">$V79*NSSpacingFt+YOffset+0</f>
        <v>35.999999999999979</v>
      </c>
      <c r="Y79" s="247">
        <f ca="1">+$V79*NSGradeFt+PedHeight+0</f>
        <v>7.401410761154855</v>
      </c>
      <c r="Z79" s="214">
        <f ca="1">+$W79</f>
        <v>0</v>
      </c>
      <c r="AA79" s="214">
        <f ca="1">+$Y79</f>
        <v>7.401410761154855</v>
      </c>
      <c r="AB79" s="214">
        <f ca="1">+$X79</f>
        <v>35.999999999999979</v>
      </c>
      <c r="AC79" s="214">
        <f ca="1">+$W79-XOffset</f>
        <v>0</v>
      </c>
    </row>
    <row r="80" spans="2:29" s="213" customFormat="1" ht="9" customHeight="1">
      <c r="H80" s="212"/>
      <c r="I80" s="212"/>
      <c r="S80" s="307"/>
      <c r="T80" s="226">
        <f t="shared" si="16"/>
        <v>77</v>
      </c>
      <c r="U80" s="224">
        <f t="shared" si="14"/>
        <v>0</v>
      </c>
      <c r="V80" s="225">
        <f t="shared" si="15"/>
        <v>2</v>
      </c>
      <c r="W80" s="217"/>
      <c r="X80" s="217"/>
      <c r="Y80" s="217"/>
      <c r="Z80" s="214"/>
      <c r="AA80" s="214"/>
      <c r="AB80" s="214"/>
      <c r="AC80" s="214"/>
    </row>
    <row r="81" spans="8:29" s="213" customFormat="1" ht="9" customHeight="1">
      <c r="H81" s="212"/>
      <c r="I81" s="212"/>
      <c r="S81" s="307">
        <f>INT((T81-0)/6)+1</f>
        <v>14</v>
      </c>
      <c r="T81" s="226">
        <f t="shared" si="16"/>
        <v>78</v>
      </c>
      <c r="U81" s="224">
        <f t="shared" si="14"/>
        <v>1</v>
      </c>
      <c r="V81" s="225">
        <f t="shared" si="15"/>
        <v>2</v>
      </c>
      <c r="W81" s="233">
        <f ca="1">$U81*EWSpacingFt+XOffset+(PanArrayWidthHighEndFt-PanArrayWidthLowEndFt)/2</f>
        <v>30.000006832286932</v>
      </c>
      <c r="X81" s="234">
        <f ca="1">$V81*NSSpacingFt+YOffset+0</f>
        <v>35.999999999999979</v>
      </c>
      <c r="Y81" s="235">
        <f ca="1">+$V81*NSGradeFt+PedHeight+0</f>
        <v>7.401410761154855</v>
      </c>
      <c r="Z81" s="214">
        <f ca="1">+$W81</f>
        <v>30.000006832286932</v>
      </c>
      <c r="AA81" s="214">
        <f ca="1">+$Y81</f>
        <v>7.401410761154855</v>
      </c>
      <c r="AB81" s="214">
        <f ca="1">+$X81</f>
        <v>35.999999999999979</v>
      </c>
      <c r="AC81" s="214">
        <f ca="1">+$W81-XOffset</f>
        <v>30.000006832286932</v>
      </c>
    </row>
    <row r="82" spans="8:29" s="213" customFormat="1" ht="9" customHeight="1">
      <c r="H82" s="212"/>
      <c r="I82" s="212"/>
      <c r="S82" s="307"/>
      <c r="T82" s="226">
        <f t="shared" si="16"/>
        <v>79</v>
      </c>
      <c r="U82" s="224">
        <f t="shared" si="14"/>
        <v>1</v>
      </c>
      <c r="V82" s="225">
        <f t="shared" si="15"/>
        <v>2</v>
      </c>
      <c r="W82" s="236">
        <f ca="1">+$U82*EWSpacingFt+XOffset+PanArrayWidthHighEndFt-(PanArrayWidthHighEndFt-PanArrayWidthLowEndFt)/2</f>
        <v>40.802828354596642</v>
      </c>
      <c r="X82" s="240">
        <f ca="1">$V82*NSSpacingFt+YOffset+0</f>
        <v>35.999999999999979</v>
      </c>
      <c r="Y82" s="244">
        <f ca="1">+$V82*NSGradeFt+PedHeight+0</f>
        <v>7.401410761154855</v>
      </c>
      <c r="Z82" s="214">
        <f ca="1">+$W82</f>
        <v>40.802828354596642</v>
      </c>
      <c r="AA82" s="214">
        <f ca="1">+$Y82</f>
        <v>7.401410761154855</v>
      </c>
      <c r="AB82" s="214">
        <f ca="1">+$X82</f>
        <v>35.999999999999979</v>
      </c>
      <c r="AC82" s="214">
        <f ca="1">+$W82-XOffset</f>
        <v>40.802828354596642</v>
      </c>
    </row>
    <row r="83" spans="8:29" s="213" customFormat="1" ht="9" customHeight="1">
      <c r="H83" s="212"/>
      <c r="I83" s="212"/>
      <c r="S83" s="307"/>
      <c r="T83" s="226">
        <f t="shared" si="16"/>
        <v>80</v>
      </c>
      <c r="U83" s="224">
        <f t="shared" si="14"/>
        <v>1</v>
      </c>
      <c r="V83" s="225">
        <f t="shared" si="15"/>
        <v>2</v>
      </c>
      <c r="W83" s="237">
        <f ca="1">$U83*EWSpacingFt+XOffset+PanArrayWidthHighEndFt</f>
        <v>40.802828354596642</v>
      </c>
      <c r="X83" s="241">
        <f ca="1">$V83*NSSpacingFt+YOffset+PanArrayLenFt*COS(RADIANS(Latitude+DecAng))</f>
        <v>52.439632545931744</v>
      </c>
      <c r="Y83" s="245">
        <f ca="1">+$V83*NSGradeFt+PedHeight+PanArrayLenFt*SIN(RADIANS(Latitude+DecAng))</f>
        <v>7.401410761154855</v>
      </c>
      <c r="Z83" s="214">
        <f ca="1">+$W83</f>
        <v>40.802828354596642</v>
      </c>
      <c r="AA83" s="214">
        <f ca="1">+$Y83</f>
        <v>7.401410761154855</v>
      </c>
      <c r="AB83" s="214">
        <f ca="1">+$X83</f>
        <v>52.439632545931744</v>
      </c>
      <c r="AC83" s="214">
        <f ca="1">+$W83-XOffset</f>
        <v>40.802828354596642</v>
      </c>
    </row>
    <row r="84" spans="8:29" s="213" customFormat="1" ht="9" customHeight="1">
      <c r="H84" s="212"/>
      <c r="I84" s="212"/>
      <c r="S84" s="307"/>
      <c r="T84" s="226">
        <f t="shared" si="16"/>
        <v>81</v>
      </c>
      <c r="U84" s="224">
        <f t="shared" si="14"/>
        <v>1</v>
      </c>
      <c r="V84" s="225">
        <f t="shared" si="15"/>
        <v>2</v>
      </c>
      <c r="W84" s="238">
        <f ca="1">$U84*EWSpacingFt+XOffset+0</f>
        <v>30.000006832286932</v>
      </c>
      <c r="X84" s="242">
        <f ca="1">$V84*NSSpacingFt+YOffset+PanArrayLenFt*COS(RADIANS(Latitude+DecAng))</f>
        <v>52.439632545931744</v>
      </c>
      <c r="Y84" s="246">
        <f ca="1">+$V84*NSGradeFt+PedHeight+PanArrayLenFt*SIN(RADIANS(Latitude+DecAng))</f>
        <v>7.401410761154855</v>
      </c>
      <c r="Z84" s="214">
        <f ca="1">+$W84</f>
        <v>30.000006832286932</v>
      </c>
      <c r="AA84" s="214">
        <f ca="1">+$Y84</f>
        <v>7.401410761154855</v>
      </c>
      <c r="AB84" s="214">
        <f ca="1">+$X84</f>
        <v>52.439632545931744</v>
      </c>
      <c r="AC84" s="214">
        <f ca="1">+$W84-XOffset</f>
        <v>30.000006832286932</v>
      </c>
    </row>
    <row r="85" spans="8:29" s="213" customFormat="1" ht="9" customHeight="1">
      <c r="H85" s="212"/>
      <c r="I85" s="212"/>
      <c r="S85" s="307"/>
      <c r="T85" s="226">
        <f t="shared" si="16"/>
        <v>82</v>
      </c>
      <c r="U85" s="224">
        <f t="shared" si="14"/>
        <v>1</v>
      </c>
      <c r="V85" s="225">
        <f t="shared" si="15"/>
        <v>2</v>
      </c>
      <c r="W85" s="239">
        <f ca="1">$U85*EWSpacingFt+XOffset+(PanArrayWidthHighEndFt-PanArrayWidthLowEndFt)/2</f>
        <v>30.000006832286932</v>
      </c>
      <c r="X85" s="243">
        <f ca="1">$V85*NSSpacingFt+YOffset+0</f>
        <v>35.999999999999979</v>
      </c>
      <c r="Y85" s="247">
        <f ca="1">+$V85*NSGradeFt+PedHeight+0</f>
        <v>7.401410761154855</v>
      </c>
      <c r="Z85" s="214">
        <f ca="1">+$W85</f>
        <v>30.000006832286932</v>
      </c>
      <c r="AA85" s="214">
        <f ca="1">+$Y85</f>
        <v>7.401410761154855</v>
      </c>
      <c r="AB85" s="214">
        <f ca="1">+$X85</f>
        <v>35.999999999999979</v>
      </c>
      <c r="AC85" s="214">
        <f ca="1">+$W85-XOffset</f>
        <v>30.000006832286932</v>
      </c>
    </row>
    <row r="86" spans="8:29" s="213" customFormat="1" ht="9" customHeight="1">
      <c r="H86" s="212"/>
      <c r="I86" s="212"/>
      <c r="S86" s="307"/>
      <c r="T86" s="226">
        <f t="shared" si="16"/>
        <v>83</v>
      </c>
      <c r="U86" s="224">
        <f t="shared" si="14"/>
        <v>1</v>
      </c>
      <c r="V86" s="225">
        <f t="shared" si="15"/>
        <v>2</v>
      </c>
      <c r="W86" s="217"/>
      <c r="X86" s="217"/>
      <c r="Y86" s="217"/>
      <c r="Z86" s="214"/>
      <c r="AA86" s="214"/>
      <c r="AB86" s="214"/>
      <c r="AC86" s="214"/>
    </row>
    <row r="87" spans="8:29" s="213" customFormat="1" ht="9" customHeight="1">
      <c r="H87" s="212"/>
      <c r="I87" s="212"/>
      <c r="S87" s="307">
        <f>INT((T87-0)/6)+1</f>
        <v>15</v>
      </c>
      <c r="T87" s="226">
        <f t="shared" si="16"/>
        <v>84</v>
      </c>
      <c r="U87" s="224">
        <f t="shared" si="14"/>
        <v>0</v>
      </c>
      <c r="V87" s="225">
        <f t="shared" si="15"/>
        <v>3</v>
      </c>
      <c r="W87" s="233">
        <f ca="1">$U87*EWSpacingFt+XOffset+(PanArrayWidthHighEndFt-PanArrayWidthLowEndFt)/2</f>
        <v>0</v>
      </c>
      <c r="X87" s="234">
        <f ca="1">$V87*NSSpacingFt+YOffset+0</f>
        <v>53.999999999999972</v>
      </c>
      <c r="Y87" s="235">
        <f ca="1">+$V87*NSGradeFt+PedHeight+0</f>
        <v>7.401410761154855</v>
      </c>
      <c r="Z87" s="214">
        <f ca="1">+$W87</f>
        <v>0</v>
      </c>
      <c r="AA87" s="214">
        <f ca="1">+$Y87</f>
        <v>7.401410761154855</v>
      </c>
      <c r="AB87" s="214">
        <f ca="1">+$X87</f>
        <v>53.999999999999972</v>
      </c>
      <c r="AC87" s="214">
        <f ca="1">+$W87-XOffset</f>
        <v>0</v>
      </c>
    </row>
    <row r="88" spans="8:29" s="213" customFormat="1" ht="9" customHeight="1">
      <c r="H88" s="212"/>
      <c r="I88" s="212"/>
      <c r="S88" s="307"/>
      <c r="T88" s="226">
        <f t="shared" si="16"/>
        <v>85</v>
      </c>
      <c r="U88" s="224">
        <f t="shared" si="14"/>
        <v>0</v>
      </c>
      <c r="V88" s="225">
        <f t="shared" si="15"/>
        <v>3</v>
      </c>
      <c r="W88" s="236">
        <f ca="1">+$U88*EWSpacingFt+XOffset+PanArrayWidthHighEndFt-(PanArrayWidthHighEndFt-PanArrayWidthLowEndFt)/2</f>
        <v>10.80282152230971</v>
      </c>
      <c r="X88" s="240">
        <f ca="1">$V88*NSSpacingFt+YOffset+0</f>
        <v>53.999999999999972</v>
      </c>
      <c r="Y88" s="244">
        <f ca="1">+$V88*NSGradeFt+PedHeight+0</f>
        <v>7.401410761154855</v>
      </c>
      <c r="Z88" s="214">
        <f ca="1">+$W88</f>
        <v>10.80282152230971</v>
      </c>
      <c r="AA88" s="214">
        <f ca="1">+$Y88</f>
        <v>7.401410761154855</v>
      </c>
      <c r="AB88" s="214">
        <f ca="1">+$X88</f>
        <v>53.999999999999972</v>
      </c>
      <c r="AC88" s="214">
        <f ca="1">+$W88-XOffset</f>
        <v>10.80282152230971</v>
      </c>
    </row>
    <row r="89" spans="8:29" s="213" customFormat="1" ht="9" customHeight="1">
      <c r="H89" s="212"/>
      <c r="I89" s="212"/>
      <c r="S89" s="307"/>
      <c r="T89" s="226">
        <f t="shared" si="16"/>
        <v>86</v>
      </c>
      <c r="U89" s="224">
        <f t="shared" si="14"/>
        <v>0</v>
      </c>
      <c r="V89" s="225">
        <f t="shared" si="15"/>
        <v>3</v>
      </c>
      <c r="W89" s="237">
        <f ca="1">$U89*EWSpacingFt+XOffset+PanArrayWidthHighEndFt</f>
        <v>10.80282152230971</v>
      </c>
      <c r="X89" s="241">
        <f ca="1">$V89*NSSpacingFt+YOffset+PanArrayLenFt*COS(RADIANS(Latitude+DecAng))</f>
        <v>70.43963254593173</v>
      </c>
      <c r="Y89" s="245">
        <f ca="1">+$V89*NSGradeFt+PedHeight+PanArrayLenFt*SIN(RADIANS(Latitude+DecAng))</f>
        <v>7.401410761154855</v>
      </c>
      <c r="Z89" s="214">
        <f ca="1">+$W89</f>
        <v>10.80282152230971</v>
      </c>
      <c r="AA89" s="214">
        <f ca="1">+$Y89</f>
        <v>7.401410761154855</v>
      </c>
      <c r="AB89" s="214">
        <f ca="1">+$X89</f>
        <v>70.43963254593173</v>
      </c>
      <c r="AC89" s="214">
        <f ca="1">+$W89-XOffset</f>
        <v>10.80282152230971</v>
      </c>
    </row>
    <row r="90" spans="8:29" s="213" customFormat="1" ht="9" customHeight="1">
      <c r="H90" s="212"/>
      <c r="I90" s="212"/>
      <c r="S90" s="307"/>
      <c r="T90" s="226">
        <f t="shared" si="16"/>
        <v>87</v>
      </c>
      <c r="U90" s="224">
        <f t="shared" si="14"/>
        <v>0</v>
      </c>
      <c r="V90" s="225">
        <f t="shared" si="15"/>
        <v>3</v>
      </c>
      <c r="W90" s="238">
        <f ca="1">$U90*EWSpacingFt+XOffset+0</f>
        <v>0</v>
      </c>
      <c r="X90" s="242">
        <f ca="1">$V90*NSSpacingFt+YOffset+PanArrayLenFt*COS(RADIANS(Latitude+DecAng))</f>
        <v>70.43963254593173</v>
      </c>
      <c r="Y90" s="246">
        <f ca="1">+$V90*NSGradeFt+PedHeight+PanArrayLenFt*SIN(RADIANS(Latitude+DecAng))</f>
        <v>7.401410761154855</v>
      </c>
      <c r="Z90" s="214">
        <f ca="1">+$W90</f>
        <v>0</v>
      </c>
      <c r="AA90" s="214">
        <f ca="1">+$Y90</f>
        <v>7.401410761154855</v>
      </c>
      <c r="AB90" s="214">
        <f ca="1">+$X90</f>
        <v>70.43963254593173</v>
      </c>
      <c r="AC90" s="214">
        <f ca="1">+$W90-XOffset</f>
        <v>0</v>
      </c>
    </row>
    <row r="91" spans="8:29" s="213" customFormat="1" ht="9" customHeight="1">
      <c r="H91" s="212"/>
      <c r="I91" s="212"/>
      <c r="S91" s="307"/>
      <c r="T91" s="226">
        <f t="shared" si="16"/>
        <v>88</v>
      </c>
      <c r="U91" s="224">
        <f t="shared" si="14"/>
        <v>0</v>
      </c>
      <c r="V91" s="225">
        <f t="shared" si="15"/>
        <v>3</v>
      </c>
      <c r="W91" s="239">
        <f ca="1">$U91*EWSpacingFt+XOffset+(PanArrayWidthHighEndFt-PanArrayWidthLowEndFt)/2</f>
        <v>0</v>
      </c>
      <c r="X91" s="243">
        <f ca="1">$V91*NSSpacingFt+YOffset+0</f>
        <v>53.999999999999972</v>
      </c>
      <c r="Y91" s="247">
        <f ca="1">+$V91*NSGradeFt+PedHeight+0</f>
        <v>7.401410761154855</v>
      </c>
      <c r="Z91" s="214">
        <f ca="1">+$W91</f>
        <v>0</v>
      </c>
      <c r="AA91" s="214">
        <f ca="1">+$Y91</f>
        <v>7.401410761154855</v>
      </c>
      <c r="AB91" s="214">
        <f ca="1">+$X91</f>
        <v>53.999999999999972</v>
      </c>
      <c r="AC91" s="214">
        <f ca="1">+$W91-XOffset</f>
        <v>0</v>
      </c>
    </row>
    <row r="92" spans="8:29" s="213" customFormat="1" ht="9" customHeight="1">
      <c r="H92" s="212"/>
      <c r="I92" s="212"/>
      <c r="S92" s="307"/>
      <c r="T92" s="226">
        <f t="shared" si="16"/>
        <v>89</v>
      </c>
      <c r="U92" s="224">
        <f t="shared" si="14"/>
        <v>0</v>
      </c>
      <c r="V92" s="225">
        <f t="shared" si="15"/>
        <v>3</v>
      </c>
      <c r="W92" s="217"/>
      <c r="X92" s="217"/>
      <c r="Y92" s="217"/>
      <c r="Z92" s="214"/>
      <c r="AA92" s="214"/>
      <c r="AB92" s="214"/>
      <c r="AC92" s="214"/>
    </row>
    <row r="93" spans="8:29" s="213" customFormat="1" ht="9" customHeight="1">
      <c r="H93" s="212"/>
      <c r="I93" s="212"/>
      <c r="S93" s="307">
        <f>INT((T93-0)/6)+1</f>
        <v>16</v>
      </c>
      <c r="T93" s="226">
        <f t="shared" si="16"/>
        <v>90</v>
      </c>
      <c r="U93" s="224">
        <f t="shared" si="14"/>
        <v>1</v>
      </c>
      <c r="V93" s="225">
        <f t="shared" si="15"/>
        <v>3</v>
      </c>
      <c r="W93" s="233">
        <f ca="1">$U93*EWSpacingFt+XOffset+(PanArrayWidthHighEndFt-PanArrayWidthLowEndFt)/2</f>
        <v>30.000006832286932</v>
      </c>
      <c r="X93" s="234">
        <f ca="1">$V93*NSSpacingFt+YOffset+0</f>
        <v>53.999999999999972</v>
      </c>
      <c r="Y93" s="235">
        <f ca="1">+$V93*NSGradeFt+PedHeight+0</f>
        <v>7.401410761154855</v>
      </c>
      <c r="Z93" s="214">
        <f ca="1">+$W93</f>
        <v>30.000006832286932</v>
      </c>
      <c r="AA93" s="214">
        <f ca="1">+$Y93</f>
        <v>7.401410761154855</v>
      </c>
      <c r="AB93" s="214">
        <f ca="1">+$X93</f>
        <v>53.999999999999972</v>
      </c>
      <c r="AC93" s="214">
        <f ca="1">+$W93-XOffset</f>
        <v>30.000006832286932</v>
      </c>
    </row>
    <row r="94" spans="8:29" s="213" customFormat="1" ht="9" customHeight="1">
      <c r="H94" s="212"/>
      <c r="I94" s="212"/>
      <c r="S94" s="307"/>
      <c r="T94" s="226">
        <f t="shared" si="16"/>
        <v>91</v>
      </c>
      <c r="U94" s="224">
        <f t="shared" si="14"/>
        <v>1</v>
      </c>
      <c r="V94" s="225">
        <f t="shared" si="15"/>
        <v>3</v>
      </c>
      <c r="W94" s="236">
        <f ca="1">+$U94*EWSpacingFt+XOffset+PanArrayWidthHighEndFt-(PanArrayWidthHighEndFt-PanArrayWidthLowEndFt)/2</f>
        <v>40.802828354596642</v>
      </c>
      <c r="X94" s="240">
        <f ca="1">$V94*NSSpacingFt+YOffset+0</f>
        <v>53.999999999999972</v>
      </c>
      <c r="Y94" s="244">
        <f ca="1">+$V94*NSGradeFt+PedHeight+0</f>
        <v>7.401410761154855</v>
      </c>
      <c r="Z94" s="214">
        <f ca="1">+$W94</f>
        <v>40.802828354596642</v>
      </c>
      <c r="AA94" s="214">
        <f ca="1">+$Y94</f>
        <v>7.401410761154855</v>
      </c>
      <c r="AB94" s="214">
        <f ca="1">+$X94</f>
        <v>53.999999999999972</v>
      </c>
      <c r="AC94" s="214">
        <f ca="1">+$W94-XOffset</f>
        <v>40.802828354596642</v>
      </c>
    </row>
    <row r="95" spans="8:29" s="213" customFormat="1" ht="9" customHeight="1">
      <c r="H95" s="212"/>
      <c r="I95" s="212"/>
      <c r="S95" s="307"/>
      <c r="T95" s="226">
        <f t="shared" si="16"/>
        <v>92</v>
      </c>
      <c r="U95" s="224">
        <f t="shared" si="14"/>
        <v>1</v>
      </c>
      <c r="V95" s="225">
        <f t="shared" si="15"/>
        <v>3</v>
      </c>
      <c r="W95" s="237">
        <f ca="1">$U95*EWSpacingFt+XOffset+PanArrayWidthHighEndFt</f>
        <v>40.802828354596642</v>
      </c>
      <c r="X95" s="241">
        <f ca="1">$V95*NSSpacingFt+YOffset+PanArrayLenFt*COS(RADIANS(Latitude+DecAng))</f>
        <v>70.43963254593173</v>
      </c>
      <c r="Y95" s="245">
        <f ca="1">+$V95*NSGradeFt+PedHeight+PanArrayLenFt*SIN(RADIANS(Latitude+DecAng))</f>
        <v>7.401410761154855</v>
      </c>
      <c r="Z95" s="214">
        <f ca="1">+$W95</f>
        <v>40.802828354596642</v>
      </c>
      <c r="AA95" s="214">
        <f ca="1">+$Y95</f>
        <v>7.401410761154855</v>
      </c>
      <c r="AB95" s="214">
        <f ca="1">+$X95</f>
        <v>70.43963254593173</v>
      </c>
      <c r="AC95" s="214">
        <f ca="1">+$W95-XOffset</f>
        <v>40.802828354596642</v>
      </c>
    </row>
    <row r="96" spans="8:29" s="213" customFormat="1" ht="9" customHeight="1">
      <c r="H96" s="212"/>
      <c r="I96" s="212"/>
      <c r="S96" s="307"/>
      <c r="T96" s="226">
        <f t="shared" si="16"/>
        <v>93</v>
      </c>
      <c r="U96" s="224">
        <f t="shared" si="14"/>
        <v>1</v>
      </c>
      <c r="V96" s="225">
        <f t="shared" si="15"/>
        <v>3</v>
      </c>
      <c r="W96" s="238">
        <f ca="1">$U96*EWSpacingFt+XOffset+0</f>
        <v>30.000006832286932</v>
      </c>
      <c r="X96" s="242">
        <f ca="1">$V96*NSSpacingFt+YOffset+PanArrayLenFt*COS(RADIANS(Latitude+DecAng))</f>
        <v>70.43963254593173</v>
      </c>
      <c r="Y96" s="246">
        <f ca="1">+$V96*NSGradeFt+PedHeight+PanArrayLenFt*SIN(RADIANS(Latitude+DecAng))</f>
        <v>7.401410761154855</v>
      </c>
      <c r="Z96" s="214">
        <f ca="1">+$W96</f>
        <v>30.000006832286932</v>
      </c>
      <c r="AA96" s="214">
        <f ca="1">+$Y96</f>
        <v>7.401410761154855</v>
      </c>
      <c r="AB96" s="214">
        <f ca="1">+$X96</f>
        <v>70.43963254593173</v>
      </c>
      <c r="AC96" s="214">
        <f ca="1">+$W96-XOffset</f>
        <v>30.000006832286932</v>
      </c>
    </row>
    <row r="97" spans="8:29" s="213" customFormat="1" ht="9" customHeight="1">
      <c r="H97" s="212"/>
      <c r="I97" s="212"/>
      <c r="S97" s="307"/>
      <c r="T97" s="226">
        <f t="shared" si="16"/>
        <v>94</v>
      </c>
      <c r="U97" s="224">
        <f t="shared" si="14"/>
        <v>1</v>
      </c>
      <c r="V97" s="225">
        <f t="shared" si="15"/>
        <v>3</v>
      </c>
      <c r="W97" s="239">
        <f ca="1">$U97*EWSpacingFt+XOffset+(PanArrayWidthHighEndFt-PanArrayWidthLowEndFt)/2</f>
        <v>30.000006832286932</v>
      </c>
      <c r="X97" s="243">
        <f ca="1">$V97*NSSpacingFt+YOffset+0</f>
        <v>53.999999999999972</v>
      </c>
      <c r="Y97" s="247">
        <f ca="1">+$V97*NSGradeFt+PedHeight+0</f>
        <v>7.401410761154855</v>
      </c>
      <c r="Z97" s="214">
        <f ca="1">+$W97</f>
        <v>30.000006832286932</v>
      </c>
      <c r="AA97" s="214">
        <f ca="1">+$Y97</f>
        <v>7.401410761154855</v>
      </c>
      <c r="AB97" s="214">
        <f ca="1">+$X97</f>
        <v>53.999999999999972</v>
      </c>
      <c r="AC97" s="214">
        <f ca="1">+$W97-XOffset</f>
        <v>30.000006832286932</v>
      </c>
    </row>
    <row r="98" spans="8:29" s="213" customFormat="1" ht="9" customHeight="1">
      <c r="H98" s="212"/>
      <c r="I98" s="212"/>
      <c r="S98" s="307"/>
      <c r="T98" s="226">
        <f t="shared" si="16"/>
        <v>95</v>
      </c>
      <c r="U98" s="224">
        <f t="shared" si="14"/>
        <v>1</v>
      </c>
      <c r="V98" s="225">
        <f t="shared" si="15"/>
        <v>3</v>
      </c>
      <c r="W98" s="217"/>
      <c r="X98" s="217"/>
      <c r="Y98" s="217"/>
      <c r="Z98" s="214"/>
      <c r="AA98" s="214"/>
      <c r="AB98" s="214"/>
      <c r="AC98" s="214"/>
    </row>
    <row r="99" spans="8:29" s="213" customFormat="1" ht="9" customHeight="1">
      <c r="H99" s="212"/>
      <c r="I99" s="212"/>
      <c r="S99" s="307">
        <f>INT((T99-0)/6)+1</f>
        <v>17</v>
      </c>
      <c r="T99" s="226">
        <f t="shared" si="16"/>
        <v>96</v>
      </c>
      <c r="U99" s="224">
        <f t="shared" si="14"/>
        <v>0</v>
      </c>
      <c r="V99" s="225">
        <f t="shared" si="15"/>
        <v>0</v>
      </c>
      <c r="W99" s="233">
        <f ca="1">$U99*EWSpacingFt+XOffset+(PanArrayWidthHighEndFt-PanArrayWidthLowEndFt)/2</f>
        <v>0</v>
      </c>
      <c r="X99" s="234">
        <f ca="1">$V99*NSSpacingFt+YOffset+0</f>
        <v>0</v>
      </c>
      <c r="Y99" s="235">
        <f ca="1">+$V99*NSGradeFt+PedHeight+0</f>
        <v>7.401410761154855</v>
      </c>
      <c r="Z99" s="214">
        <f ca="1">+$W99</f>
        <v>0</v>
      </c>
      <c r="AA99" s="214">
        <f ca="1">+$Y99</f>
        <v>7.401410761154855</v>
      </c>
      <c r="AB99" s="214">
        <f ca="1">+$X99</f>
        <v>0</v>
      </c>
      <c r="AC99" s="214">
        <f ca="1">+$W99-XOffset</f>
        <v>0</v>
      </c>
    </row>
    <row r="100" spans="8:29" s="213" customFormat="1" ht="9" customHeight="1">
      <c r="H100" s="212"/>
      <c r="I100" s="212"/>
      <c r="S100" s="307"/>
      <c r="T100" s="226">
        <f t="shared" si="16"/>
        <v>97</v>
      </c>
      <c r="U100" s="224">
        <f t="shared" si="14"/>
        <v>0</v>
      </c>
      <c r="V100" s="225">
        <f t="shared" si="15"/>
        <v>0</v>
      </c>
      <c r="W100" s="236">
        <f ca="1">+$U100*EWSpacingFt+XOffset+PanArrayWidthHighEndFt-(PanArrayWidthHighEndFt-PanArrayWidthLowEndFt)/2</f>
        <v>10.80282152230971</v>
      </c>
      <c r="X100" s="240">
        <f ca="1">$V100*NSSpacingFt+YOffset+0</f>
        <v>0</v>
      </c>
      <c r="Y100" s="244">
        <f ca="1">+$V100*NSGradeFt+PedHeight+0</f>
        <v>7.401410761154855</v>
      </c>
      <c r="Z100" s="214">
        <f ca="1">+$W100</f>
        <v>10.80282152230971</v>
      </c>
      <c r="AA100" s="214">
        <f ca="1">+$Y100</f>
        <v>7.401410761154855</v>
      </c>
      <c r="AB100" s="214">
        <f ca="1">+$X100</f>
        <v>0</v>
      </c>
      <c r="AC100" s="214">
        <f ca="1">+$W100-XOffset</f>
        <v>10.80282152230971</v>
      </c>
    </row>
    <row r="101" spans="8:29" s="213" customFormat="1" ht="9" customHeight="1">
      <c r="H101" s="212"/>
      <c r="I101" s="212"/>
      <c r="S101" s="307"/>
      <c r="T101" s="226">
        <f t="shared" si="16"/>
        <v>98</v>
      </c>
      <c r="U101" s="224">
        <f t="shared" si="14"/>
        <v>0</v>
      </c>
      <c r="V101" s="225">
        <f t="shared" si="15"/>
        <v>0</v>
      </c>
      <c r="W101" s="237">
        <f ca="1">$U101*EWSpacingFt+XOffset+PanArrayWidthHighEndFt</f>
        <v>10.80282152230971</v>
      </c>
      <c r="X101" s="241">
        <f ca="1">$V101*NSSpacingFt+YOffset+PanArrayLenFt*COS(RADIANS(Latitude+DecAng))</f>
        <v>16.439632545931762</v>
      </c>
      <c r="Y101" s="245">
        <f ca="1">+$V101*NSGradeFt+PedHeight+PanArrayLenFt*SIN(RADIANS(Latitude+DecAng))</f>
        <v>7.401410761154855</v>
      </c>
      <c r="Z101" s="214">
        <f ca="1">+$W101</f>
        <v>10.80282152230971</v>
      </c>
      <c r="AA101" s="214">
        <f ca="1">+$Y101</f>
        <v>7.401410761154855</v>
      </c>
      <c r="AB101" s="214">
        <f ca="1">+$X101</f>
        <v>16.439632545931762</v>
      </c>
      <c r="AC101" s="214">
        <f ca="1">+$W101-XOffset</f>
        <v>10.80282152230971</v>
      </c>
    </row>
    <row r="102" spans="8:29" s="213" customFormat="1" ht="9" customHeight="1">
      <c r="H102" s="212"/>
      <c r="I102" s="212"/>
      <c r="S102" s="307"/>
      <c r="T102" s="226">
        <f t="shared" si="16"/>
        <v>99</v>
      </c>
      <c r="U102" s="224">
        <f t="shared" si="14"/>
        <v>0</v>
      </c>
      <c r="V102" s="225">
        <f t="shared" si="15"/>
        <v>0</v>
      </c>
      <c r="W102" s="238">
        <f ca="1">$U102*EWSpacingFt+XOffset+0</f>
        <v>0</v>
      </c>
      <c r="X102" s="242">
        <f ca="1">$V102*NSSpacingFt+YOffset+PanArrayLenFt*COS(RADIANS(Latitude+DecAng))</f>
        <v>16.439632545931762</v>
      </c>
      <c r="Y102" s="246">
        <f ca="1">+$V102*NSGradeFt+PedHeight+PanArrayLenFt*SIN(RADIANS(Latitude+DecAng))</f>
        <v>7.401410761154855</v>
      </c>
      <c r="Z102" s="214">
        <f ca="1">+$W102</f>
        <v>0</v>
      </c>
      <c r="AA102" s="214">
        <f ca="1">+$Y102</f>
        <v>7.401410761154855</v>
      </c>
      <c r="AB102" s="214">
        <f ca="1">+$X102</f>
        <v>16.439632545931762</v>
      </c>
      <c r="AC102" s="214">
        <f ca="1">+$W102-XOffset</f>
        <v>0</v>
      </c>
    </row>
    <row r="103" spans="8:29" s="213" customFormat="1" ht="9" customHeight="1">
      <c r="H103" s="212"/>
      <c r="I103" s="212"/>
      <c r="S103" s="307"/>
      <c r="T103" s="226">
        <f t="shared" si="16"/>
        <v>100</v>
      </c>
      <c r="U103" s="224">
        <f t="shared" si="14"/>
        <v>0</v>
      </c>
      <c r="V103" s="225">
        <f t="shared" si="15"/>
        <v>0</v>
      </c>
      <c r="W103" s="239">
        <f ca="1">$U103*EWSpacingFt+XOffset+(PanArrayWidthHighEndFt-PanArrayWidthLowEndFt)/2</f>
        <v>0</v>
      </c>
      <c r="X103" s="243">
        <f ca="1">$V103*NSSpacingFt+YOffset+0</f>
        <v>0</v>
      </c>
      <c r="Y103" s="247">
        <f ca="1">+$V103*NSGradeFt+PedHeight+0</f>
        <v>7.401410761154855</v>
      </c>
      <c r="Z103" s="214">
        <f ca="1">+$W103</f>
        <v>0</v>
      </c>
      <c r="AA103" s="214">
        <f ca="1">+$Y103</f>
        <v>7.401410761154855</v>
      </c>
      <c r="AB103" s="214">
        <f ca="1">+$X103</f>
        <v>0</v>
      </c>
      <c r="AC103" s="214">
        <f ca="1">+$W103-XOffset</f>
        <v>0</v>
      </c>
    </row>
    <row r="104" spans="8:29" s="213" customFormat="1" ht="9" customHeight="1">
      <c r="H104" s="212"/>
      <c r="I104" s="212"/>
      <c r="S104" s="307"/>
      <c r="T104" s="226">
        <f t="shared" si="16"/>
        <v>101</v>
      </c>
      <c r="U104" s="224">
        <f t="shared" si="14"/>
        <v>0</v>
      </c>
      <c r="V104" s="225">
        <f t="shared" si="15"/>
        <v>0</v>
      </c>
      <c r="W104" s="217"/>
      <c r="X104" s="217"/>
      <c r="Y104" s="217"/>
      <c r="Z104" s="214"/>
      <c r="AA104" s="214"/>
      <c r="AB104" s="214"/>
      <c r="AC104" s="214"/>
    </row>
    <row r="105" spans="8:29" s="213" customFormat="1" ht="9" customHeight="1">
      <c r="H105" s="212"/>
      <c r="I105" s="212"/>
      <c r="S105" s="307">
        <f>INT((T105-0)/6)+1</f>
        <v>18</v>
      </c>
      <c r="T105" s="226">
        <f t="shared" si="16"/>
        <v>102</v>
      </c>
      <c r="U105" s="224">
        <f t="shared" si="14"/>
        <v>1</v>
      </c>
      <c r="V105" s="225">
        <f t="shared" si="15"/>
        <v>0</v>
      </c>
      <c r="W105" s="233">
        <f ca="1">$U105*EWSpacingFt+XOffset+(PanArrayWidthHighEndFt-PanArrayWidthLowEndFt)/2</f>
        <v>30.000006832286932</v>
      </c>
      <c r="X105" s="234">
        <f ca="1">$V105*NSSpacingFt+YOffset+0</f>
        <v>0</v>
      </c>
      <c r="Y105" s="235">
        <f ca="1">+$V105*NSGradeFt+PedHeight+0</f>
        <v>7.401410761154855</v>
      </c>
      <c r="Z105" s="214">
        <f ca="1">+$W105</f>
        <v>30.000006832286932</v>
      </c>
      <c r="AA105" s="214">
        <f ca="1">+$Y105</f>
        <v>7.401410761154855</v>
      </c>
      <c r="AB105" s="214">
        <f ca="1">+$X105</f>
        <v>0</v>
      </c>
      <c r="AC105" s="214">
        <f ca="1">+$W105-XOffset</f>
        <v>30.000006832286932</v>
      </c>
    </row>
    <row r="106" spans="8:29" s="213" customFormat="1" ht="9" customHeight="1">
      <c r="H106" s="212"/>
      <c r="I106" s="212"/>
      <c r="S106" s="307"/>
      <c r="T106" s="226">
        <f t="shared" si="16"/>
        <v>103</v>
      </c>
      <c r="U106" s="224">
        <f t="shared" si="14"/>
        <v>1</v>
      </c>
      <c r="V106" s="225">
        <f t="shared" si="15"/>
        <v>0</v>
      </c>
      <c r="W106" s="236">
        <f ca="1">+$U106*EWSpacingFt+XOffset+PanArrayWidthHighEndFt-(PanArrayWidthHighEndFt-PanArrayWidthLowEndFt)/2</f>
        <v>40.802828354596642</v>
      </c>
      <c r="X106" s="240">
        <f ca="1">$V106*NSSpacingFt+YOffset+0</f>
        <v>0</v>
      </c>
      <c r="Y106" s="244">
        <f ca="1">+$V106*NSGradeFt+PedHeight+0</f>
        <v>7.401410761154855</v>
      </c>
      <c r="Z106" s="214">
        <f ca="1">+$W106</f>
        <v>40.802828354596642</v>
      </c>
      <c r="AA106" s="214">
        <f ca="1">+$Y106</f>
        <v>7.401410761154855</v>
      </c>
      <c r="AB106" s="214">
        <f ca="1">+$X106</f>
        <v>0</v>
      </c>
      <c r="AC106" s="214">
        <f ca="1">+$W106-XOffset</f>
        <v>40.802828354596642</v>
      </c>
    </row>
    <row r="107" spans="8:29" s="213" customFormat="1" ht="9" customHeight="1">
      <c r="H107" s="212"/>
      <c r="I107" s="212"/>
      <c r="S107" s="307"/>
      <c r="T107" s="226">
        <f t="shared" si="16"/>
        <v>104</v>
      </c>
      <c r="U107" s="224">
        <f t="shared" si="14"/>
        <v>1</v>
      </c>
      <c r="V107" s="225">
        <f t="shared" si="15"/>
        <v>0</v>
      </c>
      <c r="W107" s="237">
        <f ca="1">$U107*EWSpacingFt+XOffset+PanArrayWidthHighEndFt</f>
        <v>40.802828354596642</v>
      </c>
      <c r="X107" s="241">
        <f ca="1">$V107*NSSpacingFt+YOffset+PanArrayLenFt*COS(RADIANS(Latitude+DecAng))</f>
        <v>16.439632545931762</v>
      </c>
      <c r="Y107" s="245">
        <f ca="1">+$V107*NSGradeFt+PedHeight+PanArrayLenFt*SIN(RADIANS(Latitude+DecAng))</f>
        <v>7.401410761154855</v>
      </c>
      <c r="Z107" s="214">
        <f ca="1">+$W107</f>
        <v>40.802828354596642</v>
      </c>
      <c r="AA107" s="214">
        <f ca="1">+$Y107</f>
        <v>7.401410761154855</v>
      </c>
      <c r="AB107" s="214">
        <f ca="1">+$X107</f>
        <v>16.439632545931762</v>
      </c>
      <c r="AC107" s="214">
        <f ca="1">+$W107-XOffset</f>
        <v>40.802828354596642</v>
      </c>
    </row>
    <row r="108" spans="8:29" s="213" customFormat="1" ht="9" customHeight="1">
      <c r="H108" s="212"/>
      <c r="I108" s="212"/>
      <c r="S108" s="307"/>
      <c r="T108" s="226">
        <f t="shared" si="16"/>
        <v>105</v>
      </c>
      <c r="U108" s="224">
        <f t="shared" si="14"/>
        <v>1</v>
      </c>
      <c r="V108" s="225">
        <f t="shared" si="15"/>
        <v>0</v>
      </c>
      <c r="W108" s="238">
        <f ca="1">$U108*EWSpacingFt+XOffset+0</f>
        <v>30.000006832286932</v>
      </c>
      <c r="X108" s="242">
        <f ca="1">$V108*NSSpacingFt+YOffset+PanArrayLenFt*COS(RADIANS(Latitude+DecAng))</f>
        <v>16.439632545931762</v>
      </c>
      <c r="Y108" s="246">
        <f ca="1">+$V108*NSGradeFt+PedHeight+PanArrayLenFt*SIN(RADIANS(Latitude+DecAng))</f>
        <v>7.401410761154855</v>
      </c>
      <c r="Z108" s="214">
        <f ca="1">+$W108</f>
        <v>30.000006832286932</v>
      </c>
      <c r="AA108" s="214">
        <f ca="1">+$Y108</f>
        <v>7.401410761154855</v>
      </c>
      <c r="AB108" s="214">
        <f ca="1">+$X108</f>
        <v>16.439632545931762</v>
      </c>
      <c r="AC108" s="214">
        <f ca="1">+$W108-XOffset</f>
        <v>30.000006832286932</v>
      </c>
    </row>
    <row r="109" spans="8:29" s="213" customFormat="1" ht="9" customHeight="1">
      <c r="H109" s="212"/>
      <c r="I109" s="212"/>
      <c r="S109" s="307"/>
      <c r="T109" s="226">
        <f t="shared" si="16"/>
        <v>106</v>
      </c>
      <c r="U109" s="224">
        <f t="shared" si="14"/>
        <v>1</v>
      </c>
      <c r="V109" s="225">
        <f t="shared" si="15"/>
        <v>0</v>
      </c>
      <c r="W109" s="239">
        <f ca="1">$U109*EWSpacingFt+XOffset+(PanArrayWidthHighEndFt-PanArrayWidthLowEndFt)/2</f>
        <v>30.000006832286932</v>
      </c>
      <c r="X109" s="243">
        <f ca="1">$V109*NSSpacingFt+YOffset+0</f>
        <v>0</v>
      </c>
      <c r="Y109" s="247">
        <f ca="1">+$V109*NSGradeFt+PedHeight+0</f>
        <v>7.401410761154855</v>
      </c>
      <c r="Z109" s="214">
        <f ca="1">+$W109</f>
        <v>30.000006832286932</v>
      </c>
      <c r="AA109" s="214">
        <f ca="1">+$Y109</f>
        <v>7.401410761154855</v>
      </c>
      <c r="AB109" s="214">
        <f ca="1">+$X109</f>
        <v>0</v>
      </c>
      <c r="AC109" s="214">
        <f ca="1">+$W109-XOffset</f>
        <v>30.000006832286932</v>
      </c>
    </row>
    <row r="110" spans="8:29" s="213" customFormat="1" ht="9" customHeight="1">
      <c r="H110" s="212"/>
      <c r="I110" s="212"/>
      <c r="S110" s="307"/>
      <c r="T110" s="226">
        <f t="shared" si="16"/>
        <v>107</v>
      </c>
      <c r="U110" s="224">
        <f t="shared" si="14"/>
        <v>1</v>
      </c>
      <c r="V110" s="225">
        <f t="shared" si="15"/>
        <v>0</v>
      </c>
      <c r="W110" s="217"/>
      <c r="X110" s="217"/>
      <c r="Y110" s="217"/>
      <c r="Z110" s="214"/>
      <c r="AA110" s="214"/>
      <c r="AB110" s="214"/>
      <c r="AC110" s="214"/>
    </row>
    <row r="111" spans="8:29" s="213" customFormat="1" ht="9" customHeight="1">
      <c r="H111" s="212"/>
      <c r="I111" s="212"/>
      <c r="S111" s="307">
        <f>INT((T111-0)/6)+1</f>
        <v>19</v>
      </c>
      <c r="T111" s="226">
        <f t="shared" si="16"/>
        <v>108</v>
      </c>
      <c r="U111" s="224">
        <f t="shared" si="14"/>
        <v>0</v>
      </c>
      <c r="V111" s="225">
        <f t="shared" si="15"/>
        <v>1</v>
      </c>
      <c r="W111" s="233">
        <f ca="1">$U111*EWSpacingFt+XOffset+(PanArrayWidthHighEndFt-PanArrayWidthLowEndFt)/2</f>
        <v>0</v>
      </c>
      <c r="X111" s="234">
        <f ca="1">$V111*NSSpacingFt+YOffset+0</f>
        <v>17.999999999999989</v>
      </c>
      <c r="Y111" s="235">
        <f ca="1">+$V111*NSGradeFt+PedHeight+0</f>
        <v>7.401410761154855</v>
      </c>
      <c r="Z111" s="214">
        <f ca="1">+$W111</f>
        <v>0</v>
      </c>
      <c r="AA111" s="214">
        <f ca="1">+$Y111</f>
        <v>7.401410761154855</v>
      </c>
      <c r="AB111" s="214">
        <f ca="1">+$X111</f>
        <v>17.999999999999989</v>
      </c>
      <c r="AC111" s="214">
        <f ca="1">+$W111-XOffset</f>
        <v>0</v>
      </c>
    </row>
    <row r="112" spans="8:29" s="213" customFormat="1" ht="9" customHeight="1">
      <c r="H112" s="212"/>
      <c r="I112" s="212"/>
      <c r="S112" s="307"/>
      <c r="T112" s="226">
        <f t="shared" si="16"/>
        <v>109</v>
      </c>
      <c r="U112" s="224">
        <f t="shared" si="14"/>
        <v>0</v>
      </c>
      <c r="V112" s="225">
        <f t="shared" si="15"/>
        <v>1</v>
      </c>
      <c r="W112" s="236">
        <f ca="1">+$U112*EWSpacingFt+XOffset+PanArrayWidthHighEndFt-(PanArrayWidthHighEndFt-PanArrayWidthLowEndFt)/2</f>
        <v>10.80282152230971</v>
      </c>
      <c r="X112" s="240">
        <f ca="1">$V112*NSSpacingFt+YOffset+0</f>
        <v>17.999999999999989</v>
      </c>
      <c r="Y112" s="244">
        <f ca="1">+$V112*NSGradeFt+PedHeight+0</f>
        <v>7.401410761154855</v>
      </c>
      <c r="Z112" s="214">
        <f ca="1">+$W112</f>
        <v>10.80282152230971</v>
      </c>
      <c r="AA112" s="214">
        <f ca="1">+$Y112</f>
        <v>7.401410761154855</v>
      </c>
      <c r="AB112" s="214">
        <f ca="1">+$X112</f>
        <v>17.999999999999989</v>
      </c>
      <c r="AC112" s="214">
        <f ca="1">+$W112-XOffset</f>
        <v>10.80282152230971</v>
      </c>
    </row>
    <row r="113" spans="8:29" s="213" customFormat="1" ht="9" customHeight="1">
      <c r="H113" s="212"/>
      <c r="I113" s="212"/>
      <c r="S113" s="307"/>
      <c r="T113" s="226">
        <f t="shared" si="16"/>
        <v>110</v>
      </c>
      <c r="U113" s="224">
        <f t="shared" si="14"/>
        <v>0</v>
      </c>
      <c r="V113" s="225">
        <f t="shared" si="15"/>
        <v>1</v>
      </c>
      <c r="W113" s="237">
        <f ca="1">$U113*EWSpacingFt+XOffset+PanArrayWidthHighEndFt</f>
        <v>10.80282152230971</v>
      </c>
      <c r="X113" s="241">
        <f ca="1">$V113*NSSpacingFt+YOffset+PanArrayLenFt*COS(RADIANS(Latitude+DecAng))</f>
        <v>34.439632545931751</v>
      </c>
      <c r="Y113" s="245">
        <f ca="1">+$V113*NSGradeFt+PedHeight+PanArrayLenFt*SIN(RADIANS(Latitude+DecAng))</f>
        <v>7.401410761154855</v>
      </c>
      <c r="Z113" s="214">
        <f ca="1">+$W113</f>
        <v>10.80282152230971</v>
      </c>
      <c r="AA113" s="214">
        <f ca="1">+$Y113</f>
        <v>7.401410761154855</v>
      </c>
      <c r="AB113" s="214">
        <f ca="1">+$X113</f>
        <v>34.439632545931751</v>
      </c>
      <c r="AC113" s="214">
        <f ca="1">+$W113-XOffset</f>
        <v>10.80282152230971</v>
      </c>
    </row>
    <row r="114" spans="8:29" s="213" customFormat="1" ht="9" customHeight="1">
      <c r="H114" s="212"/>
      <c r="I114" s="212"/>
      <c r="S114" s="307"/>
      <c r="T114" s="226">
        <f t="shared" si="16"/>
        <v>111</v>
      </c>
      <c r="U114" s="224">
        <f t="shared" si="14"/>
        <v>0</v>
      </c>
      <c r="V114" s="225">
        <f t="shared" si="15"/>
        <v>1</v>
      </c>
      <c r="W114" s="238">
        <f ca="1">$U114*EWSpacingFt+XOffset+0</f>
        <v>0</v>
      </c>
      <c r="X114" s="242">
        <f ca="1">$V114*NSSpacingFt+YOffset+PanArrayLenFt*COS(RADIANS(Latitude+DecAng))</f>
        <v>34.439632545931751</v>
      </c>
      <c r="Y114" s="246">
        <f ca="1">+$V114*NSGradeFt+PedHeight+PanArrayLenFt*SIN(RADIANS(Latitude+DecAng))</f>
        <v>7.401410761154855</v>
      </c>
      <c r="Z114" s="214">
        <f ca="1">+$W114</f>
        <v>0</v>
      </c>
      <c r="AA114" s="214">
        <f ca="1">+$Y114</f>
        <v>7.401410761154855</v>
      </c>
      <c r="AB114" s="214">
        <f ca="1">+$X114</f>
        <v>34.439632545931751</v>
      </c>
      <c r="AC114" s="214">
        <f ca="1">+$W114-XOffset</f>
        <v>0</v>
      </c>
    </row>
    <row r="115" spans="8:29" s="213" customFormat="1" ht="9" customHeight="1">
      <c r="H115" s="212"/>
      <c r="I115" s="212"/>
      <c r="S115" s="307"/>
      <c r="T115" s="226">
        <f t="shared" si="16"/>
        <v>112</v>
      </c>
      <c r="U115" s="224">
        <f t="shared" si="14"/>
        <v>0</v>
      </c>
      <c r="V115" s="225">
        <f t="shared" si="15"/>
        <v>1</v>
      </c>
      <c r="W115" s="239">
        <f ca="1">$U115*EWSpacingFt+XOffset+(PanArrayWidthHighEndFt-PanArrayWidthLowEndFt)/2</f>
        <v>0</v>
      </c>
      <c r="X115" s="243">
        <f ca="1">$V115*NSSpacingFt+YOffset+0</f>
        <v>17.999999999999989</v>
      </c>
      <c r="Y115" s="247">
        <f ca="1">+$V115*NSGradeFt+PedHeight+0</f>
        <v>7.401410761154855</v>
      </c>
      <c r="Z115" s="214">
        <f ca="1">+$W115</f>
        <v>0</v>
      </c>
      <c r="AA115" s="214">
        <f ca="1">+$Y115</f>
        <v>7.401410761154855</v>
      </c>
      <c r="AB115" s="214">
        <f ca="1">+$X115</f>
        <v>17.999999999999989</v>
      </c>
      <c r="AC115" s="214">
        <f ca="1">+$W115-XOffset</f>
        <v>0</v>
      </c>
    </row>
    <row r="116" spans="8:29" s="213" customFormat="1" ht="9" customHeight="1">
      <c r="H116" s="212"/>
      <c r="I116" s="212"/>
      <c r="S116" s="307"/>
      <c r="T116" s="226">
        <f t="shared" si="16"/>
        <v>113</v>
      </c>
      <c r="U116" s="224">
        <f t="shared" si="14"/>
        <v>0</v>
      </c>
      <c r="V116" s="225">
        <f t="shared" si="15"/>
        <v>1</v>
      </c>
      <c r="W116" s="217"/>
      <c r="X116" s="217"/>
      <c r="Y116" s="217"/>
      <c r="Z116" s="214"/>
      <c r="AA116" s="214"/>
      <c r="AB116" s="214"/>
      <c r="AC116" s="214"/>
    </row>
    <row r="117" spans="8:29" s="213" customFormat="1" ht="9" customHeight="1">
      <c r="H117" s="212"/>
      <c r="I117" s="212"/>
      <c r="S117" s="307">
        <f>INT((T117-0)/6)+1</f>
        <v>20</v>
      </c>
      <c r="T117" s="226">
        <f t="shared" si="16"/>
        <v>114</v>
      </c>
      <c r="U117" s="224">
        <f t="shared" si="14"/>
        <v>1</v>
      </c>
      <c r="V117" s="225">
        <f t="shared" si="15"/>
        <v>1</v>
      </c>
      <c r="W117" s="233">
        <f ca="1">$U117*EWSpacingFt+XOffset+(PanArrayWidthHighEndFt-PanArrayWidthLowEndFt)/2</f>
        <v>30.000006832286932</v>
      </c>
      <c r="X117" s="234">
        <f ca="1">$V117*NSSpacingFt+YOffset+0</f>
        <v>17.999999999999989</v>
      </c>
      <c r="Y117" s="235">
        <f ca="1">+$V117*NSGradeFt+PedHeight+0</f>
        <v>7.401410761154855</v>
      </c>
      <c r="Z117" s="214">
        <f ca="1">+$W117</f>
        <v>30.000006832286932</v>
      </c>
      <c r="AA117" s="214">
        <f ca="1">+$Y117</f>
        <v>7.401410761154855</v>
      </c>
      <c r="AB117" s="214">
        <f ca="1">+$X117</f>
        <v>17.999999999999989</v>
      </c>
      <c r="AC117" s="214">
        <f ca="1">+$W117-XOffset</f>
        <v>30.000006832286932</v>
      </c>
    </row>
    <row r="118" spans="8:29" s="213" customFormat="1" ht="9" customHeight="1">
      <c r="H118" s="212"/>
      <c r="I118" s="212"/>
      <c r="S118" s="307"/>
      <c r="T118" s="226">
        <f t="shared" si="16"/>
        <v>115</v>
      </c>
      <c r="U118" s="224">
        <f t="shared" si="14"/>
        <v>1</v>
      </c>
      <c r="V118" s="225">
        <f t="shared" si="15"/>
        <v>1</v>
      </c>
      <c r="W118" s="236">
        <f ca="1">+$U118*EWSpacingFt+XOffset+PanArrayWidthHighEndFt-(PanArrayWidthHighEndFt-PanArrayWidthLowEndFt)/2</f>
        <v>40.802828354596642</v>
      </c>
      <c r="X118" s="240">
        <f ca="1">$V118*NSSpacingFt+YOffset+0</f>
        <v>17.999999999999989</v>
      </c>
      <c r="Y118" s="244">
        <f ca="1">+$V118*NSGradeFt+PedHeight+0</f>
        <v>7.401410761154855</v>
      </c>
      <c r="Z118" s="214">
        <f ca="1">+$W118</f>
        <v>40.802828354596642</v>
      </c>
      <c r="AA118" s="214">
        <f ca="1">+$Y118</f>
        <v>7.401410761154855</v>
      </c>
      <c r="AB118" s="214">
        <f ca="1">+$X118</f>
        <v>17.999999999999989</v>
      </c>
      <c r="AC118" s="214">
        <f ca="1">+$W118-XOffset</f>
        <v>40.802828354596642</v>
      </c>
    </row>
    <row r="119" spans="8:29" s="213" customFormat="1" ht="9" customHeight="1">
      <c r="H119" s="212"/>
      <c r="I119" s="212"/>
      <c r="S119" s="307"/>
      <c r="T119" s="226">
        <f t="shared" si="16"/>
        <v>116</v>
      </c>
      <c r="U119" s="224">
        <f t="shared" si="14"/>
        <v>1</v>
      </c>
      <c r="V119" s="225">
        <f t="shared" si="15"/>
        <v>1</v>
      </c>
      <c r="W119" s="237">
        <f ca="1">$U119*EWSpacingFt+XOffset+PanArrayWidthHighEndFt</f>
        <v>40.802828354596642</v>
      </c>
      <c r="X119" s="241">
        <f ca="1">$V119*NSSpacingFt+YOffset+PanArrayLenFt*COS(RADIANS(Latitude+DecAng))</f>
        <v>34.439632545931751</v>
      </c>
      <c r="Y119" s="245">
        <f ca="1">+$V119*NSGradeFt+PedHeight+PanArrayLenFt*SIN(RADIANS(Latitude+DecAng))</f>
        <v>7.401410761154855</v>
      </c>
      <c r="Z119" s="214">
        <f ca="1">+$W119</f>
        <v>40.802828354596642</v>
      </c>
      <c r="AA119" s="214">
        <f ca="1">+$Y119</f>
        <v>7.401410761154855</v>
      </c>
      <c r="AB119" s="214">
        <f ca="1">+$X119</f>
        <v>34.439632545931751</v>
      </c>
      <c r="AC119" s="214">
        <f ca="1">+$W119-XOffset</f>
        <v>40.802828354596642</v>
      </c>
    </row>
    <row r="120" spans="8:29" s="213" customFormat="1" ht="9" customHeight="1">
      <c r="H120" s="212"/>
      <c r="I120" s="212"/>
      <c r="S120" s="307"/>
      <c r="T120" s="226">
        <f t="shared" si="16"/>
        <v>117</v>
      </c>
      <c r="U120" s="224">
        <f t="shared" si="14"/>
        <v>1</v>
      </c>
      <c r="V120" s="225">
        <f t="shared" si="15"/>
        <v>1</v>
      </c>
      <c r="W120" s="238">
        <f ca="1">$U120*EWSpacingFt+XOffset+0</f>
        <v>30.000006832286932</v>
      </c>
      <c r="X120" s="242">
        <f ca="1">$V120*NSSpacingFt+YOffset+PanArrayLenFt*COS(RADIANS(Latitude+DecAng))</f>
        <v>34.439632545931751</v>
      </c>
      <c r="Y120" s="246">
        <f ca="1">+$V120*NSGradeFt+PedHeight+PanArrayLenFt*SIN(RADIANS(Latitude+DecAng))</f>
        <v>7.401410761154855</v>
      </c>
      <c r="Z120" s="214">
        <f ca="1">+$W120</f>
        <v>30.000006832286932</v>
      </c>
      <c r="AA120" s="214">
        <f ca="1">+$Y120</f>
        <v>7.401410761154855</v>
      </c>
      <c r="AB120" s="214">
        <f ca="1">+$X120</f>
        <v>34.439632545931751</v>
      </c>
      <c r="AC120" s="214">
        <f ca="1">+$W120-XOffset</f>
        <v>30.000006832286932</v>
      </c>
    </row>
    <row r="121" spans="8:29" s="213" customFormat="1" ht="9" customHeight="1">
      <c r="H121" s="212"/>
      <c r="I121" s="212"/>
      <c r="S121" s="307"/>
      <c r="T121" s="226">
        <f t="shared" si="16"/>
        <v>118</v>
      </c>
      <c r="U121" s="224">
        <f t="shared" si="14"/>
        <v>1</v>
      </c>
      <c r="V121" s="225">
        <f t="shared" si="15"/>
        <v>1</v>
      </c>
      <c r="W121" s="239">
        <f ca="1">$U121*EWSpacingFt+XOffset+(PanArrayWidthHighEndFt-PanArrayWidthLowEndFt)/2</f>
        <v>30.000006832286932</v>
      </c>
      <c r="X121" s="243">
        <f ca="1">$V121*NSSpacingFt+YOffset+0</f>
        <v>17.999999999999989</v>
      </c>
      <c r="Y121" s="247">
        <f ca="1">+$V121*NSGradeFt+PedHeight+0</f>
        <v>7.401410761154855</v>
      </c>
      <c r="Z121" s="214">
        <f ca="1">+$W121</f>
        <v>30.000006832286932</v>
      </c>
      <c r="AA121" s="214">
        <f ca="1">+$Y121</f>
        <v>7.401410761154855</v>
      </c>
      <c r="AB121" s="214">
        <f ca="1">+$X121</f>
        <v>17.999999999999989</v>
      </c>
      <c r="AC121" s="214">
        <f ca="1">+$W121-XOffset</f>
        <v>30.000006832286932</v>
      </c>
    </row>
    <row r="122" spans="8:29" s="213" customFormat="1" ht="9" customHeight="1">
      <c r="H122" s="212"/>
      <c r="I122" s="212"/>
      <c r="S122" s="307"/>
      <c r="T122" s="226">
        <f t="shared" si="16"/>
        <v>119</v>
      </c>
      <c r="U122" s="224">
        <f t="shared" si="14"/>
        <v>1</v>
      </c>
      <c r="V122" s="225">
        <f t="shared" si="15"/>
        <v>1</v>
      </c>
      <c r="W122" s="217"/>
      <c r="X122" s="217"/>
      <c r="Y122" s="217"/>
      <c r="Z122" s="214"/>
      <c r="AA122" s="214"/>
      <c r="AB122" s="214"/>
      <c r="AC122" s="214"/>
    </row>
    <row r="123" spans="8:29" s="213" customFormat="1" ht="9" customHeight="1">
      <c r="H123" s="212"/>
      <c r="I123" s="212"/>
      <c r="S123" s="307">
        <f>INT((T123-0)/6)+1</f>
        <v>21</v>
      </c>
      <c r="T123" s="226">
        <f t="shared" si="16"/>
        <v>120</v>
      </c>
      <c r="U123" s="224">
        <f t="shared" si="14"/>
        <v>0</v>
      </c>
      <c r="V123" s="225">
        <f t="shared" si="15"/>
        <v>2</v>
      </c>
      <c r="W123" s="233">
        <f ca="1">$U123*EWSpacingFt+XOffset+(PanArrayWidthHighEndFt-PanArrayWidthLowEndFt)/2</f>
        <v>0</v>
      </c>
      <c r="X123" s="234">
        <f ca="1">$V123*NSSpacingFt+YOffset+0</f>
        <v>35.999999999999979</v>
      </c>
      <c r="Y123" s="235">
        <f ca="1">+$V123*NSGradeFt+PedHeight+0</f>
        <v>7.401410761154855</v>
      </c>
      <c r="Z123" s="214">
        <f ca="1">+$W123</f>
        <v>0</v>
      </c>
      <c r="AA123" s="214">
        <f ca="1">+$Y123</f>
        <v>7.401410761154855</v>
      </c>
      <c r="AB123" s="214">
        <f ca="1">+$X123</f>
        <v>35.999999999999979</v>
      </c>
      <c r="AC123" s="214">
        <f ca="1">+$W123-XOffset</f>
        <v>0</v>
      </c>
    </row>
    <row r="124" spans="8:29" s="213" customFormat="1" ht="9" customHeight="1">
      <c r="H124" s="212"/>
      <c r="I124" s="212"/>
      <c r="S124" s="307"/>
      <c r="T124" s="226">
        <f t="shared" si="16"/>
        <v>121</v>
      </c>
      <c r="U124" s="224">
        <f t="shared" si="14"/>
        <v>0</v>
      </c>
      <c r="V124" s="225">
        <f t="shared" si="15"/>
        <v>2</v>
      </c>
      <c r="W124" s="236">
        <f ca="1">+$U124*EWSpacingFt+XOffset+PanArrayWidthHighEndFt-(PanArrayWidthHighEndFt-PanArrayWidthLowEndFt)/2</f>
        <v>10.80282152230971</v>
      </c>
      <c r="X124" s="240">
        <f ca="1">$V124*NSSpacingFt+YOffset+0</f>
        <v>35.999999999999979</v>
      </c>
      <c r="Y124" s="244">
        <f ca="1">+$V124*NSGradeFt+PedHeight+0</f>
        <v>7.401410761154855</v>
      </c>
      <c r="Z124" s="214">
        <f ca="1">+$W124</f>
        <v>10.80282152230971</v>
      </c>
      <c r="AA124" s="214">
        <f ca="1">+$Y124</f>
        <v>7.401410761154855</v>
      </c>
      <c r="AB124" s="214">
        <f ca="1">+$X124</f>
        <v>35.999999999999979</v>
      </c>
      <c r="AC124" s="214">
        <f ca="1">+$W124-XOffset</f>
        <v>10.80282152230971</v>
      </c>
    </row>
    <row r="125" spans="8:29" s="213" customFormat="1" ht="9" customHeight="1">
      <c r="H125" s="212"/>
      <c r="I125" s="212"/>
      <c r="S125" s="307"/>
      <c r="T125" s="226">
        <f t="shared" si="16"/>
        <v>122</v>
      </c>
      <c r="U125" s="224">
        <f t="shared" si="14"/>
        <v>0</v>
      </c>
      <c r="V125" s="225">
        <f t="shared" si="15"/>
        <v>2</v>
      </c>
      <c r="W125" s="237">
        <f ca="1">$U125*EWSpacingFt+XOffset+PanArrayWidthHighEndFt</f>
        <v>10.80282152230971</v>
      </c>
      <c r="X125" s="241">
        <f ca="1">$V125*NSSpacingFt+YOffset+PanArrayLenFt*COS(RADIANS(Latitude+DecAng))</f>
        <v>52.439632545931744</v>
      </c>
      <c r="Y125" s="245">
        <f ca="1">+$V125*NSGradeFt+PedHeight+PanArrayLenFt*SIN(RADIANS(Latitude+DecAng))</f>
        <v>7.401410761154855</v>
      </c>
      <c r="Z125" s="214">
        <f ca="1">+$W125</f>
        <v>10.80282152230971</v>
      </c>
      <c r="AA125" s="214">
        <f ca="1">+$Y125</f>
        <v>7.401410761154855</v>
      </c>
      <c r="AB125" s="214">
        <f ca="1">+$X125</f>
        <v>52.439632545931744</v>
      </c>
      <c r="AC125" s="214">
        <f ca="1">+$W125-XOffset</f>
        <v>10.80282152230971</v>
      </c>
    </row>
    <row r="126" spans="8:29" s="213" customFormat="1" ht="9" customHeight="1">
      <c r="H126" s="212"/>
      <c r="I126" s="212"/>
      <c r="S126" s="307"/>
      <c r="T126" s="226">
        <f t="shared" si="16"/>
        <v>123</v>
      </c>
      <c r="U126" s="224">
        <f t="shared" si="14"/>
        <v>0</v>
      </c>
      <c r="V126" s="225">
        <f t="shared" si="15"/>
        <v>2</v>
      </c>
      <c r="W126" s="238">
        <f ca="1">$U126*EWSpacingFt+XOffset+0</f>
        <v>0</v>
      </c>
      <c r="X126" s="242">
        <f ca="1">$V126*NSSpacingFt+YOffset+PanArrayLenFt*COS(RADIANS(Latitude+DecAng))</f>
        <v>52.439632545931744</v>
      </c>
      <c r="Y126" s="246">
        <f ca="1">+$V126*NSGradeFt+PedHeight+PanArrayLenFt*SIN(RADIANS(Latitude+DecAng))</f>
        <v>7.401410761154855</v>
      </c>
      <c r="Z126" s="214">
        <f ca="1">+$W126</f>
        <v>0</v>
      </c>
      <c r="AA126" s="214">
        <f ca="1">+$Y126</f>
        <v>7.401410761154855</v>
      </c>
      <c r="AB126" s="214">
        <f ca="1">+$X126</f>
        <v>52.439632545931744</v>
      </c>
      <c r="AC126" s="214">
        <f ca="1">+$W126-XOffset</f>
        <v>0</v>
      </c>
    </row>
    <row r="127" spans="8:29" s="213" customFormat="1" ht="9" customHeight="1">
      <c r="H127" s="212"/>
      <c r="I127" s="212"/>
      <c r="S127" s="307"/>
      <c r="T127" s="226">
        <f t="shared" si="16"/>
        <v>124</v>
      </c>
      <c r="U127" s="224">
        <f t="shared" si="14"/>
        <v>0</v>
      </c>
      <c r="V127" s="225">
        <f t="shared" si="15"/>
        <v>2</v>
      </c>
      <c r="W127" s="239">
        <f ca="1">$U127*EWSpacingFt+XOffset+(PanArrayWidthHighEndFt-PanArrayWidthLowEndFt)/2</f>
        <v>0</v>
      </c>
      <c r="X127" s="243">
        <f ca="1">$V127*NSSpacingFt+YOffset+0</f>
        <v>35.999999999999979</v>
      </c>
      <c r="Y127" s="247">
        <f ca="1">+$V127*NSGradeFt+PedHeight+0</f>
        <v>7.401410761154855</v>
      </c>
      <c r="Z127" s="214">
        <f ca="1">+$W127</f>
        <v>0</v>
      </c>
      <c r="AA127" s="214">
        <f ca="1">+$Y127</f>
        <v>7.401410761154855</v>
      </c>
      <c r="AB127" s="214">
        <f ca="1">+$X127</f>
        <v>35.999999999999979</v>
      </c>
      <c r="AC127" s="214">
        <f ca="1">+$W127-XOffset</f>
        <v>0</v>
      </c>
    </row>
    <row r="128" spans="8:29" s="213" customFormat="1" ht="9" customHeight="1">
      <c r="H128" s="212"/>
      <c r="I128" s="212"/>
      <c r="S128" s="307"/>
      <c r="T128" s="226">
        <f t="shared" si="16"/>
        <v>125</v>
      </c>
      <c r="U128" s="224">
        <f t="shared" si="14"/>
        <v>0</v>
      </c>
      <c r="V128" s="225">
        <f t="shared" si="15"/>
        <v>2</v>
      </c>
      <c r="W128" s="217"/>
      <c r="X128" s="217"/>
      <c r="Y128" s="217"/>
      <c r="Z128" s="214"/>
      <c r="AA128" s="214"/>
      <c r="AB128" s="214"/>
      <c r="AC128" s="214"/>
    </row>
    <row r="129" spans="8:29" s="213" customFormat="1" ht="9" customHeight="1">
      <c r="H129" s="212"/>
      <c r="I129" s="212"/>
      <c r="S129" s="307">
        <f>INT((T129-0)/6)+1</f>
        <v>22</v>
      </c>
      <c r="T129" s="226">
        <f t="shared" si="16"/>
        <v>126</v>
      </c>
      <c r="U129" s="224">
        <f t="shared" si="14"/>
        <v>1</v>
      </c>
      <c r="V129" s="225">
        <f t="shared" si="15"/>
        <v>2</v>
      </c>
      <c r="W129" s="233">
        <f ca="1">$U129*EWSpacingFt+XOffset+(PanArrayWidthHighEndFt-PanArrayWidthLowEndFt)/2</f>
        <v>30.000006832286932</v>
      </c>
      <c r="X129" s="234">
        <f ca="1">$V129*NSSpacingFt+YOffset+0</f>
        <v>35.999999999999979</v>
      </c>
      <c r="Y129" s="235">
        <f ca="1">+$V129*NSGradeFt+PedHeight+0</f>
        <v>7.401410761154855</v>
      </c>
      <c r="Z129" s="214">
        <f ca="1">+$W129</f>
        <v>30.000006832286932</v>
      </c>
      <c r="AA129" s="214">
        <f ca="1">+$Y129</f>
        <v>7.401410761154855</v>
      </c>
      <c r="AB129" s="214">
        <f ca="1">+$X129</f>
        <v>35.999999999999979</v>
      </c>
      <c r="AC129" s="214">
        <f ca="1">+$W129-XOffset</f>
        <v>30.000006832286932</v>
      </c>
    </row>
    <row r="130" spans="8:29" s="213" customFormat="1" ht="9" customHeight="1">
      <c r="H130" s="212"/>
      <c r="I130" s="212"/>
      <c r="S130" s="307"/>
      <c r="T130" s="226">
        <f t="shared" si="16"/>
        <v>127</v>
      </c>
      <c r="U130" s="224">
        <f t="shared" si="14"/>
        <v>1</v>
      </c>
      <c r="V130" s="225">
        <f t="shared" si="15"/>
        <v>2</v>
      </c>
      <c r="W130" s="236">
        <f ca="1">+$U130*EWSpacingFt+XOffset+PanArrayWidthHighEndFt-(PanArrayWidthHighEndFt-PanArrayWidthLowEndFt)/2</f>
        <v>40.802828354596642</v>
      </c>
      <c r="X130" s="240">
        <f ca="1">$V130*NSSpacingFt+YOffset+0</f>
        <v>35.999999999999979</v>
      </c>
      <c r="Y130" s="244">
        <f ca="1">+$V130*NSGradeFt+PedHeight+0</f>
        <v>7.401410761154855</v>
      </c>
      <c r="Z130" s="214">
        <f ca="1">+$W130</f>
        <v>40.802828354596642</v>
      </c>
      <c r="AA130" s="214">
        <f ca="1">+$Y130</f>
        <v>7.401410761154855</v>
      </c>
      <c r="AB130" s="214">
        <f ca="1">+$X130</f>
        <v>35.999999999999979</v>
      </c>
      <c r="AC130" s="214">
        <f ca="1">+$W130-XOffset</f>
        <v>40.802828354596642</v>
      </c>
    </row>
    <row r="131" spans="8:29" s="213" customFormat="1" ht="9" customHeight="1">
      <c r="H131" s="212"/>
      <c r="I131" s="212"/>
      <c r="S131" s="307"/>
      <c r="T131" s="226">
        <f t="shared" si="16"/>
        <v>128</v>
      </c>
      <c r="U131" s="224">
        <f t="shared" ref="U131:U194" si="17">+MOD(INT(T131/6),ColumnsOfMounts)</f>
        <v>1</v>
      </c>
      <c r="V131" s="225">
        <f t="shared" ref="V131:V194" si="18">+MOD(INT(T131/6/ColumnsOfMounts),RowsOfMounts)</f>
        <v>2</v>
      </c>
      <c r="W131" s="237">
        <f ca="1">$U131*EWSpacingFt+XOffset+PanArrayWidthHighEndFt</f>
        <v>40.802828354596642</v>
      </c>
      <c r="X131" s="241">
        <f ca="1">$V131*NSSpacingFt+YOffset+PanArrayLenFt*COS(RADIANS(Latitude+DecAng))</f>
        <v>52.439632545931744</v>
      </c>
      <c r="Y131" s="245">
        <f ca="1">+$V131*NSGradeFt+PedHeight+PanArrayLenFt*SIN(RADIANS(Latitude+DecAng))</f>
        <v>7.401410761154855</v>
      </c>
      <c r="Z131" s="214">
        <f ca="1">+$W131</f>
        <v>40.802828354596642</v>
      </c>
      <c r="AA131" s="214">
        <f ca="1">+$Y131</f>
        <v>7.401410761154855</v>
      </c>
      <c r="AB131" s="214">
        <f ca="1">+$X131</f>
        <v>52.439632545931744</v>
      </c>
      <c r="AC131" s="214">
        <f ca="1">+$W131-XOffset</f>
        <v>40.802828354596642</v>
      </c>
    </row>
    <row r="132" spans="8:29" s="213" customFormat="1" ht="9" customHeight="1">
      <c r="H132" s="212"/>
      <c r="I132" s="212"/>
      <c r="S132" s="307"/>
      <c r="T132" s="226">
        <f t="shared" si="16"/>
        <v>129</v>
      </c>
      <c r="U132" s="224">
        <f t="shared" si="17"/>
        <v>1</v>
      </c>
      <c r="V132" s="225">
        <f t="shared" si="18"/>
        <v>2</v>
      </c>
      <c r="W132" s="238">
        <f ca="1">$U132*EWSpacingFt+XOffset+0</f>
        <v>30.000006832286932</v>
      </c>
      <c r="X132" s="242">
        <f ca="1">$V132*NSSpacingFt+YOffset+PanArrayLenFt*COS(RADIANS(Latitude+DecAng))</f>
        <v>52.439632545931744</v>
      </c>
      <c r="Y132" s="246">
        <f ca="1">+$V132*NSGradeFt+PedHeight+PanArrayLenFt*SIN(RADIANS(Latitude+DecAng))</f>
        <v>7.401410761154855</v>
      </c>
      <c r="Z132" s="214">
        <f ca="1">+$W132</f>
        <v>30.000006832286932</v>
      </c>
      <c r="AA132" s="214">
        <f ca="1">+$Y132</f>
        <v>7.401410761154855</v>
      </c>
      <c r="AB132" s="214">
        <f ca="1">+$X132</f>
        <v>52.439632545931744</v>
      </c>
      <c r="AC132" s="214">
        <f ca="1">+$W132-XOffset</f>
        <v>30.000006832286932</v>
      </c>
    </row>
    <row r="133" spans="8:29" s="213" customFormat="1" ht="9" customHeight="1">
      <c r="H133" s="212"/>
      <c r="I133" s="212"/>
      <c r="S133" s="307"/>
      <c r="T133" s="226">
        <f t="shared" ref="T133:T196" si="19">+T132+1</f>
        <v>130</v>
      </c>
      <c r="U133" s="224">
        <f t="shared" si="17"/>
        <v>1</v>
      </c>
      <c r="V133" s="225">
        <f t="shared" si="18"/>
        <v>2</v>
      </c>
      <c r="W133" s="239">
        <f ca="1">$U133*EWSpacingFt+XOffset+(PanArrayWidthHighEndFt-PanArrayWidthLowEndFt)/2</f>
        <v>30.000006832286932</v>
      </c>
      <c r="X133" s="243">
        <f ca="1">$V133*NSSpacingFt+YOffset+0</f>
        <v>35.999999999999979</v>
      </c>
      <c r="Y133" s="247">
        <f ca="1">+$V133*NSGradeFt+PedHeight+0</f>
        <v>7.401410761154855</v>
      </c>
      <c r="Z133" s="214">
        <f ca="1">+$W133</f>
        <v>30.000006832286932</v>
      </c>
      <c r="AA133" s="214">
        <f ca="1">+$Y133</f>
        <v>7.401410761154855</v>
      </c>
      <c r="AB133" s="214">
        <f ca="1">+$X133</f>
        <v>35.999999999999979</v>
      </c>
      <c r="AC133" s="214">
        <f ca="1">+$W133-XOffset</f>
        <v>30.000006832286932</v>
      </c>
    </row>
    <row r="134" spans="8:29" s="213" customFormat="1" ht="9" customHeight="1">
      <c r="H134" s="212"/>
      <c r="I134" s="212"/>
      <c r="S134" s="307"/>
      <c r="T134" s="226">
        <f t="shared" si="19"/>
        <v>131</v>
      </c>
      <c r="U134" s="224">
        <f t="shared" si="17"/>
        <v>1</v>
      </c>
      <c r="V134" s="225">
        <f t="shared" si="18"/>
        <v>2</v>
      </c>
      <c r="W134" s="217"/>
      <c r="X134" s="217"/>
      <c r="Y134" s="217"/>
      <c r="Z134" s="214"/>
      <c r="AA134" s="214"/>
      <c r="AB134" s="214"/>
      <c r="AC134" s="214"/>
    </row>
    <row r="135" spans="8:29" s="213" customFormat="1" ht="9" customHeight="1">
      <c r="H135" s="212"/>
      <c r="I135" s="212"/>
      <c r="S135" s="307">
        <f>INT((T135-0)/6)+1</f>
        <v>23</v>
      </c>
      <c r="T135" s="226">
        <f t="shared" si="19"/>
        <v>132</v>
      </c>
      <c r="U135" s="224">
        <f t="shared" si="17"/>
        <v>0</v>
      </c>
      <c r="V135" s="225">
        <f t="shared" si="18"/>
        <v>3</v>
      </c>
      <c r="W135" s="233">
        <f ca="1">$U135*EWSpacingFt+XOffset+(PanArrayWidthHighEndFt-PanArrayWidthLowEndFt)/2</f>
        <v>0</v>
      </c>
      <c r="X135" s="234">
        <f ca="1">$V135*NSSpacingFt+YOffset+0</f>
        <v>53.999999999999972</v>
      </c>
      <c r="Y135" s="235">
        <f ca="1">+$V135*NSGradeFt+PedHeight+0</f>
        <v>7.401410761154855</v>
      </c>
      <c r="Z135" s="214">
        <f ca="1">+$W135</f>
        <v>0</v>
      </c>
      <c r="AA135" s="214">
        <f ca="1">+$Y135</f>
        <v>7.401410761154855</v>
      </c>
      <c r="AB135" s="214">
        <f ca="1">+$X135</f>
        <v>53.999999999999972</v>
      </c>
      <c r="AC135" s="214">
        <f ca="1">+$W135-XOffset</f>
        <v>0</v>
      </c>
    </row>
    <row r="136" spans="8:29" s="213" customFormat="1" ht="9" customHeight="1">
      <c r="H136" s="212"/>
      <c r="I136" s="212"/>
      <c r="S136" s="307"/>
      <c r="T136" s="226">
        <f t="shared" si="19"/>
        <v>133</v>
      </c>
      <c r="U136" s="224">
        <f t="shared" si="17"/>
        <v>0</v>
      </c>
      <c r="V136" s="225">
        <f t="shared" si="18"/>
        <v>3</v>
      </c>
      <c r="W136" s="236">
        <f ca="1">+$U136*EWSpacingFt+XOffset+PanArrayWidthHighEndFt-(PanArrayWidthHighEndFt-PanArrayWidthLowEndFt)/2</f>
        <v>10.80282152230971</v>
      </c>
      <c r="X136" s="240">
        <f ca="1">$V136*NSSpacingFt+YOffset+0</f>
        <v>53.999999999999972</v>
      </c>
      <c r="Y136" s="244">
        <f ca="1">+$V136*NSGradeFt+PedHeight+0</f>
        <v>7.401410761154855</v>
      </c>
      <c r="Z136" s="214">
        <f ca="1">+$W136</f>
        <v>10.80282152230971</v>
      </c>
      <c r="AA136" s="214">
        <f ca="1">+$Y136</f>
        <v>7.401410761154855</v>
      </c>
      <c r="AB136" s="214">
        <f ca="1">+$X136</f>
        <v>53.999999999999972</v>
      </c>
      <c r="AC136" s="214">
        <f ca="1">+$W136-XOffset</f>
        <v>10.80282152230971</v>
      </c>
    </row>
    <row r="137" spans="8:29" s="213" customFormat="1" ht="9" customHeight="1">
      <c r="H137" s="212"/>
      <c r="I137" s="212"/>
      <c r="S137" s="307"/>
      <c r="T137" s="226">
        <f t="shared" si="19"/>
        <v>134</v>
      </c>
      <c r="U137" s="224">
        <f t="shared" si="17"/>
        <v>0</v>
      </c>
      <c r="V137" s="225">
        <f t="shared" si="18"/>
        <v>3</v>
      </c>
      <c r="W137" s="237">
        <f ca="1">$U137*EWSpacingFt+XOffset+PanArrayWidthHighEndFt</f>
        <v>10.80282152230971</v>
      </c>
      <c r="X137" s="241">
        <f ca="1">$V137*NSSpacingFt+YOffset+PanArrayLenFt*COS(RADIANS(Latitude+DecAng))</f>
        <v>70.43963254593173</v>
      </c>
      <c r="Y137" s="245">
        <f ca="1">+$V137*NSGradeFt+PedHeight+PanArrayLenFt*SIN(RADIANS(Latitude+DecAng))</f>
        <v>7.401410761154855</v>
      </c>
      <c r="Z137" s="214">
        <f ca="1">+$W137</f>
        <v>10.80282152230971</v>
      </c>
      <c r="AA137" s="214">
        <f ca="1">+$Y137</f>
        <v>7.401410761154855</v>
      </c>
      <c r="AB137" s="214">
        <f ca="1">+$X137</f>
        <v>70.43963254593173</v>
      </c>
      <c r="AC137" s="214">
        <f ca="1">+$W137-XOffset</f>
        <v>10.80282152230971</v>
      </c>
    </row>
    <row r="138" spans="8:29" s="213" customFormat="1" ht="9" customHeight="1">
      <c r="H138" s="212"/>
      <c r="I138" s="212"/>
      <c r="S138" s="307"/>
      <c r="T138" s="226">
        <f t="shared" si="19"/>
        <v>135</v>
      </c>
      <c r="U138" s="224">
        <f t="shared" si="17"/>
        <v>0</v>
      </c>
      <c r="V138" s="225">
        <f t="shared" si="18"/>
        <v>3</v>
      </c>
      <c r="W138" s="238">
        <f ca="1">$U138*EWSpacingFt+XOffset+0</f>
        <v>0</v>
      </c>
      <c r="X138" s="242">
        <f ca="1">$V138*NSSpacingFt+YOffset+PanArrayLenFt*COS(RADIANS(Latitude+DecAng))</f>
        <v>70.43963254593173</v>
      </c>
      <c r="Y138" s="246">
        <f ca="1">+$V138*NSGradeFt+PedHeight+PanArrayLenFt*SIN(RADIANS(Latitude+DecAng))</f>
        <v>7.401410761154855</v>
      </c>
      <c r="Z138" s="214">
        <f ca="1">+$W138</f>
        <v>0</v>
      </c>
      <c r="AA138" s="214">
        <f ca="1">+$Y138</f>
        <v>7.401410761154855</v>
      </c>
      <c r="AB138" s="214">
        <f ca="1">+$X138</f>
        <v>70.43963254593173</v>
      </c>
      <c r="AC138" s="214">
        <f ca="1">+$W138-XOffset</f>
        <v>0</v>
      </c>
    </row>
    <row r="139" spans="8:29" s="213" customFormat="1" ht="9" customHeight="1">
      <c r="H139" s="212"/>
      <c r="I139" s="212"/>
      <c r="S139" s="307"/>
      <c r="T139" s="226">
        <f t="shared" si="19"/>
        <v>136</v>
      </c>
      <c r="U139" s="224">
        <f t="shared" si="17"/>
        <v>0</v>
      </c>
      <c r="V139" s="225">
        <f t="shared" si="18"/>
        <v>3</v>
      </c>
      <c r="W139" s="239">
        <f ca="1">$U139*EWSpacingFt+XOffset+(PanArrayWidthHighEndFt-PanArrayWidthLowEndFt)/2</f>
        <v>0</v>
      </c>
      <c r="X139" s="243">
        <f ca="1">$V139*NSSpacingFt+YOffset+0</f>
        <v>53.999999999999972</v>
      </c>
      <c r="Y139" s="247">
        <f ca="1">+$V139*NSGradeFt+PedHeight+0</f>
        <v>7.401410761154855</v>
      </c>
      <c r="Z139" s="214">
        <f ca="1">+$W139</f>
        <v>0</v>
      </c>
      <c r="AA139" s="214">
        <f ca="1">+$Y139</f>
        <v>7.401410761154855</v>
      </c>
      <c r="AB139" s="214">
        <f ca="1">+$X139</f>
        <v>53.999999999999972</v>
      </c>
      <c r="AC139" s="214">
        <f ca="1">+$W139-XOffset</f>
        <v>0</v>
      </c>
    </row>
    <row r="140" spans="8:29" s="213" customFormat="1" ht="9" customHeight="1">
      <c r="H140" s="212"/>
      <c r="I140" s="212"/>
      <c r="S140" s="307"/>
      <c r="T140" s="226">
        <f t="shared" si="19"/>
        <v>137</v>
      </c>
      <c r="U140" s="224">
        <f t="shared" si="17"/>
        <v>0</v>
      </c>
      <c r="V140" s="225">
        <f t="shared" si="18"/>
        <v>3</v>
      </c>
      <c r="W140" s="217"/>
      <c r="X140" s="217"/>
      <c r="Y140" s="217"/>
      <c r="Z140" s="214"/>
      <c r="AA140" s="214"/>
      <c r="AB140" s="214"/>
      <c r="AC140" s="214"/>
    </row>
    <row r="141" spans="8:29" s="213" customFormat="1" ht="9" customHeight="1">
      <c r="H141" s="212"/>
      <c r="I141" s="212"/>
      <c r="S141" s="307">
        <f>INT((T141-0)/6)+1</f>
        <v>24</v>
      </c>
      <c r="T141" s="226">
        <f t="shared" si="19"/>
        <v>138</v>
      </c>
      <c r="U141" s="224">
        <f t="shared" si="17"/>
        <v>1</v>
      </c>
      <c r="V141" s="225">
        <f t="shared" si="18"/>
        <v>3</v>
      </c>
      <c r="W141" s="233">
        <f ca="1">$U141*EWSpacingFt+XOffset+(PanArrayWidthHighEndFt-PanArrayWidthLowEndFt)/2</f>
        <v>30.000006832286932</v>
      </c>
      <c r="X141" s="234">
        <f ca="1">$V141*NSSpacingFt+YOffset+0</f>
        <v>53.999999999999972</v>
      </c>
      <c r="Y141" s="235">
        <f ca="1">+$V141*NSGradeFt+PedHeight+0</f>
        <v>7.401410761154855</v>
      </c>
      <c r="Z141" s="214">
        <f ca="1">+$W141</f>
        <v>30.000006832286932</v>
      </c>
      <c r="AA141" s="214">
        <f ca="1">+$Y141</f>
        <v>7.401410761154855</v>
      </c>
      <c r="AB141" s="214">
        <f ca="1">+$X141</f>
        <v>53.999999999999972</v>
      </c>
      <c r="AC141" s="214">
        <f ca="1">+$W141-XOffset</f>
        <v>30.000006832286932</v>
      </c>
    </row>
    <row r="142" spans="8:29" s="213" customFormat="1" ht="9" customHeight="1">
      <c r="H142" s="212"/>
      <c r="I142" s="212"/>
      <c r="S142" s="307"/>
      <c r="T142" s="226">
        <f t="shared" si="19"/>
        <v>139</v>
      </c>
      <c r="U142" s="224">
        <f t="shared" si="17"/>
        <v>1</v>
      </c>
      <c r="V142" s="225">
        <f t="shared" si="18"/>
        <v>3</v>
      </c>
      <c r="W142" s="236">
        <f ca="1">+$U142*EWSpacingFt+XOffset+PanArrayWidthHighEndFt-(PanArrayWidthHighEndFt-PanArrayWidthLowEndFt)/2</f>
        <v>40.802828354596642</v>
      </c>
      <c r="X142" s="240">
        <f ca="1">$V142*NSSpacingFt+YOffset+0</f>
        <v>53.999999999999972</v>
      </c>
      <c r="Y142" s="244">
        <f ca="1">+$V142*NSGradeFt+PedHeight+0</f>
        <v>7.401410761154855</v>
      </c>
      <c r="Z142" s="214">
        <f ca="1">+$W142</f>
        <v>40.802828354596642</v>
      </c>
      <c r="AA142" s="214">
        <f ca="1">+$Y142</f>
        <v>7.401410761154855</v>
      </c>
      <c r="AB142" s="214">
        <f ca="1">+$X142</f>
        <v>53.999999999999972</v>
      </c>
      <c r="AC142" s="214">
        <f ca="1">+$W142-XOffset</f>
        <v>40.802828354596642</v>
      </c>
    </row>
    <row r="143" spans="8:29" s="213" customFormat="1" ht="9" customHeight="1">
      <c r="H143" s="212"/>
      <c r="I143" s="212"/>
      <c r="S143" s="307"/>
      <c r="T143" s="226">
        <f t="shared" si="19"/>
        <v>140</v>
      </c>
      <c r="U143" s="224">
        <f t="shared" si="17"/>
        <v>1</v>
      </c>
      <c r="V143" s="225">
        <f t="shared" si="18"/>
        <v>3</v>
      </c>
      <c r="W143" s="237">
        <f ca="1">$U143*EWSpacingFt+XOffset+PanArrayWidthHighEndFt</f>
        <v>40.802828354596642</v>
      </c>
      <c r="X143" s="241">
        <f ca="1">$V143*NSSpacingFt+YOffset+PanArrayLenFt*COS(RADIANS(Latitude+DecAng))</f>
        <v>70.43963254593173</v>
      </c>
      <c r="Y143" s="245">
        <f ca="1">+$V143*NSGradeFt+PedHeight+PanArrayLenFt*SIN(RADIANS(Latitude+DecAng))</f>
        <v>7.401410761154855</v>
      </c>
      <c r="Z143" s="214">
        <f ca="1">+$W143</f>
        <v>40.802828354596642</v>
      </c>
      <c r="AA143" s="214">
        <f ca="1">+$Y143</f>
        <v>7.401410761154855</v>
      </c>
      <c r="AB143" s="214">
        <f ca="1">+$X143</f>
        <v>70.43963254593173</v>
      </c>
      <c r="AC143" s="214">
        <f ca="1">+$W143-XOffset</f>
        <v>40.802828354596642</v>
      </c>
    </row>
    <row r="144" spans="8:29" s="213" customFormat="1" ht="9" customHeight="1">
      <c r="H144" s="212"/>
      <c r="I144" s="212"/>
      <c r="S144" s="307"/>
      <c r="T144" s="226">
        <f t="shared" si="19"/>
        <v>141</v>
      </c>
      <c r="U144" s="224">
        <f t="shared" si="17"/>
        <v>1</v>
      </c>
      <c r="V144" s="225">
        <f t="shared" si="18"/>
        <v>3</v>
      </c>
      <c r="W144" s="238">
        <f ca="1">$U144*EWSpacingFt+XOffset+0</f>
        <v>30.000006832286932</v>
      </c>
      <c r="X144" s="242">
        <f ca="1">$V144*NSSpacingFt+YOffset+PanArrayLenFt*COS(RADIANS(Latitude+DecAng))</f>
        <v>70.43963254593173</v>
      </c>
      <c r="Y144" s="246">
        <f ca="1">+$V144*NSGradeFt+PedHeight+PanArrayLenFt*SIN(RADIANS(Latitude+DecAng))</f>
        <v>7.401410761154855</v>
      </c>
      <c r="Z144" s="214">
        <f ca="1">+$W144</f>
        <v>30.000006832286932</v>
      </c>
      <c r="AA144" s="214">
        <f ca="1">+$Y144</f>
        <v>7.401410761154855</v>
      </c>
      <c r="AB144" s="214">
        <f ca="1">+$X144</f>
        <v>70.43963254593173</v>
      </c>
      <c r="AC144" s="214">
        <f ca="1">+$W144-XOffset</f>
        <v>30.000006832286932</v>
      </c>
    </row>
    <row r="145" spans="8:29" s="213" customFormat="1" ht="9" customHeight="1">
      <c r="H145" s="212"/>
      <c r="I145" s="212"/>
      <c r="S145" s="307"/>
      <c r="T145" s="226">
        <f t="shared" si="19"/>
        <v>142</v>
      </c>
      <c r="U145" s="224">
        <f t="shared" si="17"/>
        <v>1</v>
      </c>
      <c r="V145" s="225">
        <f t="shared" si="18"/>
        <v>3</v>
      </c>
      <c r="W145" s="239">
        <f ca="1">$U145*EWSpacingFt+XOffset+(PanArrayWidthHighEndFt-PanArrayWidthLowEndFt)/2</f>
        <v>30.000006832286932</v>
      </c>
      <c r="X145" s="243">
        <f ca="1">$V145*NSSpacingFt+YOffset+0</f>
        <v>53.999999999999972</v>
      </c>
      <c r="Y145" s="247">
        <f ca="1">+$V145*NSGradeFt+PedHeight+0</f>
        <v>7.401410761154855</v>
      </c>
      <c r="Z145" s="214">
        <f ca="1">+$W145</f>
        <v>30.000006832286932</v>
      </c>
      <c r="AA145" s="214">
        <f ca="1">+$Y145</f>
        <v>7.401410761154855</v>
      </c>
      <c r="AB145" s="214">
        <f ca="1">+$X145</f>
        <v>53.999999999999972</v>
      </c>
      <c r="AC145" s="214">
        <f ca="1">+$W145-XOffset</f>
        <v>30.000006832286932</v>
      </c>
    </row>
    <row r="146" spans="8:29" s="213" customFormat="1" ht="9" customHeight="1">
      <c r="H146" s="212"/>
      <c r="I146" s="212"/>
      <c r="S146" s="307"/>
      <c r="T146" s="226">
        <f t="shared" si="19"/>
        <v>143</v>
      </c>
      <c r="U146" s="224">
        <f t="shared" si="17"/>
        <v>1</v>
      </c>
      <c r="V146" s="225">
        <f t="shared" si="18"/>
        <v>3</v>
      </c>
      <c r="W146" s="217"/>
      <c r="X146" s="217"/>
      <c r="Y146" s="217"/>
      <c r="Z146" s="214"/>
      <c r="AA146" s="214"/>
      <c r="AB146" s="214"/>
      <c r="AC146" s="214"/>
    </row>
    <row r="147" spans="8:29" s="213" customFormat="1" ht="9" customHeight="1">
      <c r="H147" s="212"/>
      <c r="I147" s="212"/>
      <c r="S147" s="307">
        <f>INT((T147-0)/6)+1</f>
        <v>25</v>
      </c>
      <c r="T147" s="226">
        <f t="shared" si="19"/>
        <v>144</v>
      </c>
      <c r="U147" s="224">
        <f t="shared" si="17"/>
        <v>0</v>
      </c>
      <c r="V147" s="225">
        <f t="shared" si="18"/>
        <v>0</v>
      </c>
      <c r="W147" s="233">
        <f ca="1">$U147*EWSpacingFt+XOffset+(PanArrayWidthHighEndFt-PanArrayWidthLowEndFt)/2</f>
        <v>0</v>
      </c>
      <c r="X147" s="234">
        <f ca="1">$V147*NSSpacingFt+YOffset+0</f>
        <v>0</v>
      </c>
      <c r="Y147" s="235">
        <f ca="1">+$V147*NSGradeFt+PedHeight+0</f>
        <v>7.401410761154855</v>
      </c>
      <c r="Z147" s="214">
        <f ca="1">+$W147</f>
        <v>0</v>
      </c>
      <c r="AA147" s="214">
        <f ca="1">+$Y147</f>
        <v>7.401410761154855</v>
      </c>
      <c r="AB147" s="214">
        <f ca="1">+$X147</f>
        <v>0</v>
      </c>
      <c r="AC147" s="214">
        <f ca="1">+$W147-XOffset</f>
        <v>0</v>
      </c>
    </row>
    <row r="148" spans="8:29" s="213" customFormat="1" ht="9" customHeight="1">
      <c r="H148" s="212"/>
      <c r="I148" s="212"/>
      <c r="S148" s="307"/>
      <c r="T148" s="226">
        <f t="shared" si="19"/>
        <v>145</v>
      </c>
      <c r="U148" s="224">
        <f t="shared" si="17"/>
        <v>0</v>
      </c>
      <c r="V148" s="225">
        <f t="shared" si="18"/>
        <v>0</v>
      </c>
      <c r="W148" s="236">
        <f ca="1">+$U148*EWSpacingFt+XOffset+PanArrayWidthHighEndFt-(PanArrayWidthHighEndFt-PanArrayWidthLowEndFt)/2</f>
        <v>10.80282152230971</v>
      </c>
      <c r="X148" s="240">
        <f ca="1">$V148*NSSpacingFt+YOffset+0</f>
        <v>0</v>
      </c>
      <c r="Y148" s="244">
        <f ca="1">+$V148*NSGradeFt+PedHeight+0</f>
        <v>7.401410761154855</v>
      </c>
      <c r="Z148" s="214">
        <f ca="1">+$W148</f>
        <v>10.80282152230971</v>
      </c>
      <c r="AA148" s="214">
        <f ca="1">+$Y148</f>
        <v>7.401410761154855</v>
      </c>
      <c r="AB148" s="214">
        <f ca="1">+$X148</f>
        <v>0</v>
      </c>
      <c r="AC148" s="214">
        <f ca="1">+$W148-XOffset</f>
        <v>10.80282152230971</v>
      </c>
    </row>
    <row r="149" spans="8:29" s="213" customFormat="1" ht="9" customHeight="1">
      <c r="H149" s="212"/>
      <c r="I149" s="212"/>
      <c r="S149" s="307"/>
      <c r="T149" s="226">
        <f t="shared" si="19"/>
        <v>146</v>
      </c>
      <c r="U149" s="224">
        <f t="shared" si="17"/>
        <v>0</v>
      </c>
      <c r="V149" s="225">
        <f t="shared" si="18"/>
        <v>0</v>
      </c>
      <c r="W149" s="237">
        <f ca="1">$U149*EWSpacingFt+XOffset+PanArrayWidthHighEndFt</f>
        <v>10.80282152230971</v>
      </c>
      <c r="X149" s="241">
        <f ca="1">$V149*NSSpacingFt+YOffset+PanArrayLenFt*COS(RADIANS(Latitude+DecAng))</f>
        <v>16.439632545931762</v>
      </c>
      <c r="Y149" s="245">
        <f ca="1">+$V149*NSGradeFt+PedHeight+PanArrayLenFt*SIN(RADIANS(Latitude+DecAng))</f>
        <v>7.401410761154855</v>
      </c>
      <c r="Z149" s="214">
        <f ca="1">+$W149</f>
        <v>10.80282152230971</v>
      </c>
      <c r="AA149" s="214">
        <f ca="1">+$Y149</f>
        <v>7.401410761154855</v>
      </c>
      <c r="AB149" s="214">
        <f ca="1">+$X149</f>
        <v>16.439632545931762</v>
      </c>
      <c r="AC149" s="214">
        <f ca="1">+$W149-XOffset</f>
        <v>10.80282152230971</v>
      </c>
    </row>
    <row r="150" spans="8:29" s="213" customFormat="1" ht="9" customHeight="1">
      <c r="H150" s="212"/>
      <c r="I150" s="212"/>
      <c r="S150" s="307"/>
      <c r="T150" s="226">
        <f t="shared" si="19"/>
        <v>147</v>
      </c>
      <c r="U150" s="224">
        <f t="shared" si="17"/>
        <v>0</v>
      </c>
      <c r="V150" s="225">
        <f t="shared" si="18"/>
        <v>0</v>
      </c>
      <c r="W150" s="238">
        <f ca="1">$U150*EWSpacingFt+XOffset+0</f>
        <v>0</v>
      </c>
      <c r="X150" s="242">
        <f ca="1">$V150*NSSpacingFt+YOffset+PanArrayLenFt*COS(RADIANS(Latitude+DecAng))</f>
        <v>16.439632545931762</v>
      </c>
      <c r="Y150" s="246">
        <f ca="1">+$V150*NSGradeFt+PedHeight+PanArrayLenFt*SIN(RADIANS(Latitude+DecAng))</f>
        <v>7.401410761154855</v>
      </c>
      <c r="Z150" s="214">
        <f ca="1">+$W150</f>
        <v>0</v>
      </c>
      <c r="AA150" s="214">
        <f ca="1">+$Y150</f>
        <v>7.401410761154855</v>
      </c>
      <c r="AB150" s="214">
        <f ca="1">+$X150</f>
        <v>16.439632545931762</v>
      </c>
      <c r="AC150" s="214">
        <f ca="1">+$W150-XOffset</f>
        <v>0</v>
      </c>
    </row>
    <row r="151" spans="8:29" s="213" customFormat="1" ht="9" customHeight="1">
      <c r="H151" s="212"/>
      <c r="I151" s="212"/>
      <c r="S151" s="307"/>
      <c r="T151" s="226">
        <f t="shared" si="19"/>
        <v>148</v>
      </c>
      <c r="U151" s="224">
        <f t="shared" si="17"/>
        <v>0</v>
      </c>
      <c r="V151" s="225">
        <f t="shared" si="18"/>
        <v>0</v>
      </c>
      <c r="W151" s="239">
        <f ca="1">$U151*EWSpacingFt+XOffset+(PanArrayWidthHighEndFt-PanArrayWidthLowEndFt)/2</f>
        <v>0</v>
      </c>
      <c r="X151" s="243">
        <f ca="1">$V151*NSSpacingFt+YOffset+0</f>
        <v>0</v>
      </c>
      <c r="Y151" s="247">
        <f ca="1">+$V151*NSGradeFt+PedHeight+0</f>
        <v>7.401410761154855</v>
      </c>
      <c r="Z151" s="214">
        <f ca="1">+$W151</f>
        <v>0</v>
      </c>
      <c r="AA151" s="214">
        <f ca="1">+$Y151</f>
        <v>7.401410761154855</v>
      </c>
      <c r="AB151" s="214">
        <f ca="1">+$X151</f>
        <v>0</v>
      </c>
      <c r="AC151" s="214">
        <f ca="1">+$W151-XOffset</f>
        <v>0</v>
      </c>
    </row>
    <row r="152" spans="8:29" s="213" customFormat="1" ht="9" customHeight="1">
      <c r="H152" s="212"/>
      <c r="I152" s="212"/>
      <c r="S152" s="307"/>
      <c r="T152" s="226">
        <f t="shared" si="19"/>
        <v>149</v>
      </c>
      <c r="U152" s="224">
        <f t="shared" si="17"/>
        <v>0</v>
      </c>
      <c r="V152" s="225">
        <f t="shared" si="18"/>
        <v>0</v>
      </c>
      <c r="W152" s="217"/>
      <c r="X152" s="217"/>
      <c r="Y152" s="217"/>
      <c r="Z152" s="214"/>
      <c r="AA152" s="214"/>
      <c r="AB152" s="214"/>
      <c r="AC152" s="214"/>
    </row>
    <row r="153" spans="8:29" s="213" customFormat="1" ht="9" customHeight="1">
      <c r="H153" s="212"/>
      <c r="I153" s="212"/>
      <c r="S153" s="307">
        <f>INT((T153-0)/6)+1</f>
        <v>26</v>
      </c>
      <c r="T153" s="226">
        <f t="shared" si="19"/>
        <v>150</v>
      </c>
      <c r="U153" s="224">
        <f t="shared" si="17"/>
        <v>1</v>
      </c>
      <c r="V153" s="225">
        <f t="shared" si="18"/>
        <v>0</v>
      </c>
      <c r="W153" s="233">
        <f ca="1">$U153*EWSpacingFt+XOffset+(PanArrayWidthHighEndFt-PanArrayWidthLowEndFt)/2</f>
        <v>30.000006832286932</v>
      </c>
      <c r="X153" s="234">
        <f ca="1">$V153*NSSpacingFt+YOffset+0</f>
        <v>0</v>
      </c>
      <c r="Y153" s="235">
        <f ca="1">+$V153*NSGradeFt+PedHeight+0</f>
        <v>7.401410761154855</v>
      </c>
      <c r="Z153" s="214">
        <f ca="1">+$W153</f>
        <v>30.000006832286932</v>
      </c>
      <c r="AA153" s="214">
        <f ca="1">+$Y153</f>
        <v>7.401410761154855</v>
      </c>
      <c r="AB153" s="214">
        <f ca="1">+$X153</f>
        <v>0</v>
      </c>
      <c r="AC153" s="214">
        <f ca="1">+$W153-XOffset</f>
        <v>30.000006832286932</v>
      </c>
    </row>
    <row r="154" spans="8:29" s="213" customFormat="1" ht="9" customHeight="1">
      <c r="H154" s="212"/>
      <c r="I154" s="212"/>
      <c r="S154" s="307"/>
      <c r="T154" s="226">
        <f t="shared" si="19"/>
        <v>151</v>
      </c>
      <c r="U154" s="224">
        <f t="shared" si="17"/>
        <v>1</v>
      </c>
      <c r="V154" s="225">
        <f t="shared" si="18"/>
        <v>0</v>
      </c>
      <c r="W154" s="236">
        <f ca="1">+$U154*EWSpacingFt+XOffset+PanArrayWidthHighEndFt-(PanArrayWidthHighEndFt-PanArrayWidthLowEndFt)/2</f>
        <v>40.802828354596642</v>
      </c>
      <c r="X154" s="240">
        <f ca="1">$V154*NSSpacingFt+YOffset+0</f>
        <v>0</v>
      </c>
      <c r="Y154" s="244">
        <f ca="1">+$V154*NSGradeFt+PedHeight+0</f>
        <v>7.401410761154855</v>
      </c>
      <c r="Z154" s="214">
        <f ca="1">+$W154</f>
        <v>40.802828354596642</v>
      </c>
      <c r="AA154" s="214">
        <f ca="1">+$Y154</f>
        <v>7.401410761154855</v>
      </c>
      <c r="AB154" s="214">
        <f ca="1">+$X154</f>
        <v>0</v>
      </c>
      <c r="AC154" s="214">
        <f ca="1">+$W154-XOffset</f>
        <v>40.802828354596642</v>
      </c>
    </row>
    <row r="155" spans="8:29" s="213" customFormat="1" ht="9" customHeight="1">
      <c r="H155" s="212"/>
      <c r="I155" s="212"/>
      <c r="S155" s="307"/>
      <c r="T155" s="226">
        <f t="shared" si="19"/>
        <v>152</v>
      </c>
      <c r="U155" s="224">
        <f t="shared" si="17"/>
        <v>1</v>
      </c>
      <c r="V155" s="225">
        <f t="shared" si="18"/>
        <v>0</v>
      </c>
      <c r="W155" s="237">
        <f ca="1">$U155*EWSpacingFt+XOffset+PanArrayWidthHighEndFt</f>
        <v>40.802828354596642</v>
      </c>
      <c r="X155" s="241">
        <f ca="1">$V155*NSSpacingFt+YOffset+PanArrayLenFt*COS(RADIANS(Latitude+DecAng))</f>
        <v>16.439632545931762</v>
      </c>
      <c r="Y155" s="245">
        <f ca="1">+$V155*NSGradeFt+PedHeight+PanArrayLenFt*SIN(RADIANS(Latitude+DecAng))</f>
        <v>7.401410761154855</v>
      </c>
      <c r="Z155" s="214">
        <f ca="1">+$W155</f>
        <v>40.802828354596642</v>
      </c>
      <c r="AA155" s="214">
        <f ca="1">+$Y155</f>
        <v>7.401410761154855</v>
      </c>
      <c r="AB155" s="214">
        <f ca="1">+$X155</f>
        <v>16.439632545931762</v>
      </c>
      <c r="AC155" s="214">
        <f ca="1">+$W155-XOffset</f>
        <v>40.802828354596642</v>
      </c>
    </row>
    <row r="156" spans="8:29" s="213" customFormat="1" ht="9" customHeight="1">
      <c r="H156" s="212"/>
      <c r="I156" s="212"/>
      <c r="S156" s="307"/>
      <c r="T156" s="226">
        <f t="shared" si="19"/>
        <v>153</v>
      </c>
      <c r="U156" s="224">
        <f t="shared" si="17"/>
        <v>1</v>
      </c>
      <c r="V156" s="225">
        <f t="shared" si="18"/>
        <v>0</v>
      </c>
      <c r="W156" s="238">
        <f ca="1">$U156*EWSpacingFt+XOffset+0</f>
        <v>30.000006832286932</v>
      </c>
      <c r="X156" s="242">
        <f ca="1">$V156*NSSpacingFt+YOffset+PanArrayLenFt*COS(RADIANS(Latitude+DecAng))</f>
        <v>16.439632545931762</v>
      </c>
      <c r="Y156" s="246">
        <f ca="1">+$V156*NSGradeFt+PedHeight+PanArrayLenFt*SIN(RADIANS(Latitude+DecAng))</f>
        <v>7.401410761154855</v>
      </c>
      <c r="Z156" s="214">
        <f ca="1">+$W156</f>
        <v>30.000006832286932</v>
      </c>
      <c r="AA156" s="214">
        <f ca="1">+$Y156</f>
        <v>7.401410761154855</v>
      </c>
      <c r="AB156" s="214">
        <f ca="1">+$X156</f>
        <v>16.439632545931762</v>
      </c>
      <c r="AC156" s="214">
        <f ca="1">+$W156-XOffset</f>
        <v>30.000006832286932</v>
      </c>
    </row>
    <row r="157" spans="8:29" s="213" customFormat="1" ht="9" customHeight="1">
      <c r="H157" s="212"/>
      <c r="I157" s="212"/>
      <c r="S157" s="307"/>
      <c r="T157" s="226">
        <f t="shared" si="19"/>
        <v>154</v>
      </c>
      <c r="U157" s="224">
        <f t="shared" si="17"/>
        <v>1</v>
      </c>
      <c r="V157" s="225">
        <f t="shared" si="18"/>
        <v>0</v>
      </c>
      <c r="W157" s="239">
        <f ca="1">$U157*EWSpacingFt+XOffset+(PanArrayWidthHighEndFt-PanArrayWidthLowEndFt)/2</f>
        <v>30.000006832286932</v>
      </c>
      <c r="X157" s="243">
        <f ca="1">$V157*NSSpacingFt+YOffset+0</f>
        <v>0</v>
      </c>
      <c r="Y157" s="247">
        <f ca="1">+$V157*NSGradeFt+PedHeight+0</f>
        <v>7.401410761154855</v>
      </c>
      <c r="Z157" s="214">
        <f ca="1">+$W157</f>
        <v>30.000006832286932</v>
      </c>
      <c r="AA157" s="214">
        <f ca="1">+$Y157</f>
        <v>7.401410761154855</v>
      </c>
      <c r="AB157" s="214">
        <f ca="1">+$X157</f>
        <v>0</v>
      </c>
      <c r="AC157" s="214">
        <f ca="1">+$W157-XOffset</f>
        <v>30.000006832286932</v>
      </c>
    </row>
    <row r="158" spans="8:29" s="213" customFormat="1" ht="9" customHeight="1">
      <c r="H158" s="212"/>
      <c r="I158" s="212"/>
      <c r="S158" s="307"/>
      <c r="T158" s="226">
        <f t="shared" si="19"/>
        <v>155</v>
      </c>
      <c r="U158" s="224">
        <f t="shared" si="17"/>
        <v>1</v>
      </c>
      <c r="V158" s="225">
        <f t="shared" si="18"/>
        <v>0</v>
      </c>
      <c r="W158" s="217"/>
      <c r="X158" s="217"/>
      <c r="Y158" s="217"/>
      <c r="Z158" s="214"/>
      <c r="AA158" s="214"/>
      <c r="AB158" s="214"/>
      <c r="AC158" s="214"/>
    </row>
    <row r="159" spans="8:29" s="213" customFormat="1" ht="9" customHeight="1">
      <c r="H159" s="212"/>
      <c r="I159" s="212"/>
      <c r="S159" s="307">
        <f>INT((T159-0)/6)+1</f>
        <v>27</v>
      </c>
      <c r="T159" s="226">
        <f t="shared" si="19"/>
        <v>156</v>
      </c>
      <c r="U159" s="224">
        <f t="shared" si="17"/>
        <v>0</v>
      </c>
      <c r="V159" s="225">
        <f t="shared" si="18"/>
        <v>1</v>
      </c>
      <c r="W159" s="233">
        <f ca="1">$U159*EWSpacingFt+XOffset+(PanArrayWidthHighEndFt-PanArrayWidthLowEndFt)/2</f>
        <v>0</v>
      </c>
      <c r="X159" s="234">
        <f ca="1">$V159*NSSpacingFt+YOffset+0</f>
        <v>17.999999999999989</v>
      </c>
      <c r="Y159" s="235">
        <f ca="1">+$V159*NSGradeFt+PedHeight+0</f>
        <v>7.401410761154855</v>
      </c>
      <c r="Z159" s="214">
        <f ca="1">+$W159</f>
        <v>0</v>
      </c>
      <c r="AA159" s="214">
        <f ca="1">+$Y159</f>
        <v>7.401410761154855</v>
      </c>
      <c r="AB159" s="214">
        <f ca="1">+$X159</f>
        <v>17.999999999999989</v>
      </c>
      <c r="AC159" s="214">
        <f ca="1">+$W159-XOffset</f>
        <v>0</v>
      </c>
    </row>
    <row r="160" spans="8:29" s="213" customFormat="1" ht="9" customHeight="1">
      <c r="H160" s="212"/>
      <c r="I160" s="212"/>
      <c r="S160" s="307"/>
      <c r="T160" s="226">
        <f t="shared" si="19"/>
        <v>157</v>
      </c>
      <c r="U160" s="224">
        <f t="shared" si="17"/>
        <v>0</v>
      </c>
      <c r="V160" s="225">
        <f t="shared" si="18"/>
        <v>1</v>
      </c>
      <c r="W160" s="236">
        <f ca="1">+$U160*EWSpacingFt+XOffset+PanArrayWidthHighEndFt-(PanArrayWidthHighEndFt-PanArrayWidthLowEndFt)/2</f>
        <v>10.80282152230971</v>
      </c>
      <c r="X160" s="240">
        <f ca="1">$V160*NSSpacingFt+YOffset+0</f>
        <v>17.999999999999989</v>
      </c>
      <c r="Y160" s="244">
        <f ca="1">+$V160*NSGradeFt+PedHeight+0</f>
        <v>7.401410761154855</v>
      </c>
      <c r="Z160" s="214">
        <f ca="1">+$W160</f>
        <v>10.80282152230971</v>
      </c>
      <c r="AA160" s="214">
        <f ca="1">+$Y160</f>
        <v>7.401410761154855</v>
      </c>
      <c r="AB160" s="214">
        <f ca="1">+$X160</f>
        <v>17.999999999999989</v>
      </c>
      <c r="AC160" s="214">
        <f ca="1">+$W160-XOffset</f>
        <v>10.80282152230971</v>
      </c>
    </row>
    <row r="161" spans="8:29" s="213" customFormat="1" ht="9" customHeight="1">
      <c r="H161" s="212"/>
      <c r="I161" s="212"/>
      <c r="S161" s="307"/>
      <c r="T161" s="226">
        <f t="shared" si="19"/>
        <v>158</v>
      </c>
      <c r="U161" s="224">
        <f t="shared" si="17"/>
        <v>0</v>
      </c>
      <c r="V161" s="225">
        <f t="shared" si="18"/>
        <v>1</v>
      </c>
      <c r="W161" s="237">
        <f ca="1">$U161*EWSpacingFt+XOffset+PanArrayWidthHighEndFt</f>
        <v>10.80282152230971</v>
      </c>
      <c r="X161" s="241">
        <f ca="1">$V161*NSSpacingFt+YOffset+PanArrayLenFt*COS(RADIANS(Latitude+DecAng))</f>
        <v>34.439632545931751</v>
      </c>
      <c r="Y161" s="245">
        <f ca="1">+$V161*NSGradeFt+PedHeight+PanArrayLenFt*SIN(RADIANS(Latitude+DecAng))</f>
        <v>7.401410761154855</v>
      </c>
      <c r="Z161" s="214">
        <f ca="1">+$W161</f>
        <v>10.80282152230971</v>
      </c>
      <c r="AA161" s="214">
        <f ca="1">+$Y161</f>
        <v>7.401410761154855</v>
      </c>
      <c r="AB161" s="214">
        <f ca="1">+$X161</f>
        <v>34.439632545931751</v>
      </c>
      <c r="AC161" s="214">
        <f ca="1">+$W161-XOffset</f>
        <v>10.80282152230971</v>
      </c>
    </row>
    <row r="162" spans="8:29" s="213" customFormat="1" ht="9" customHeight="1">
      <c r="H162" s="212"/>
      <c r="I162" s="212"/>
      <c r="S162" s="307"/>
      <c r="T162" s="226">
        <f t="shared" si="19"/>
        <v>159</v>
      </c>
      <c r="U162" s="224">
        <f t="shared" si="17"/>
        <v>0</v>
      </c>
      <c r="V162" s="225">
        <f t="shared" si="18"/>
        <v>1</v>
      </c>
      <c r="W162" s="238">
        <f ca="1">$U162*EWSpacingFt+XOffset+0</f>
        <v>0</v>
      </c>
      <c r="X162" s="242">
        <f ca="1">$V162*NSSpacingFt+YOffset+PanArrayLenFt*COS(RADIANS(Latitude+DecAng))</f>
        <v>34.439632545931751</v>
      </c>
      <c r="Y162" s="246">
        <f ca="1">+$V162*NSGradeFt+PedHeight+PanArrayLenFt*SIN(RADIANS(Latitude+DecAng))</f>
        <v>7.401410761154855</v>
      </c>
      <c r="Z162" s="214">
        <f ca="1">+$W162</f>
        <v>0</v>
      </c>
      <c r="AA162" s="214">
        <f ca="1">+$Y162</f>
        <v>7.401410761154855</v>
      </c>
      <c r="AB162" s="214">
        <f ca="1">+$X162</f>
        <v>34.439632545931751</v>
      </c>
      <c r="AC162" s="214">
        <f ca="1">+$W162-XOffset</f>
        <v>0</v>
      </c>
    </row>
    <row r="163" spans="8:29" s="213" customFormat="1" ht="9" customHeight="1">
      <c r="H163" s="212"/>
      <c r="I163" s="212"/>
      <c r="S163" s="307"/>
      <c r="T163" s="226">
        <f t="shared" si="19"/>
        <v>160</v>
      </c>
      <c r="U163" s="224">
        <f t="shared" si="17"/>
        <v>0</v>
      </c>
      <c r="V163" s="225">
        <f t="shared" si="18"/>
        <v>1</v>
      </c>
      <c r="W163" s="239">
        <f ca="1">$U163*EWSpacingFt+XOffset+(PanArrayWidthHighEndFt-PanArrayWidthLowEndFt)/2</f>
        <v>0</v>
      </c>
      <c r="X163" s="243">
        <f ca="1">$V163*NSSpacingFt+YOffset+0</f>
        <v>17.999999999999989</v>
      </c>
      <c r="Y163" s="247">
        <f ca="1">+$V163*NSGradeFt+PedHeight+0</f>
        <v>7.401410761154855</v>
      </c>
      <c r="Z163" s="214">
        <f ca="1">+$W163</f>
        <v>0</v>
      </c>
      <c r="AA163" s="214">
        <f ca="1">+$Y163</f>
        <v>7.401410761154855</v>
      </c>
      <c r="AB163" s="214">
        <f ca="1">+$X163</f>
        <v>17.999999999999989</v>
      </c>
      <c r="AC163" s="214">
        <f ca="1">+$W163-XOffset</f>
        <v>0</v>
      </c>
    </row>
    <row r="164" spans="8:29" s="213" customFormat="1" ht="9" customHeight="1">
      <c r="H164" s="212"/>
      <c r="I164" s="212"/>
      <c r="S164" s="307"/>
      <c r="T164" s="226">
        <f t="shared" si="19"/>
        <v>161</v>
      </c>
      <c r="U164" s="224">
        <f t="shared" si="17"/>
        <v>0</v>
      </c>
      <c r="V164" s="225">
        <f t="shared" si="18"/>
        <v>1</v>
      </c>
      <c r="W164" s="217"/>
      <c r="X164" s="217"/>
      <c r="Y164" s="217"/>
      <c r="Z164" s="214"/>
      <c r="AA164" s="214"/>
      <c r="AB164" s="214"/>
      <c r="AC164" s="214"/>
    </row>
    <row r="165" spans="8:29" s="213" customFormat="1" ht="9" customHeight="1">
      <c r="H165" s="212"/>
      <c r="I165" s="212"/>
      <c r="S165" s="307">
        <f>INT((T165-0)/6)+1</f>
        <v>28</v>
      </c>
      <c r="T165" s="226">
        <f t="shared" si="19"/>
        <v>162</v>
      </c>
      <c r="U165" s="224">
        <f t="shared" si="17"/>
        <v>1</v>
      </c>
      <c r="V165" s="225">
        <f t="shared" si="18"/>
        <v>1</v>
      </c>
      <c r="W165" s="233">
        <f ca="1">$U165*EWSpacingFt+XOffset+(PanArrayWidthHighEndFt-PanArrayWidthLowEndFt)/2</f>
        <v>30.000006832286932</v>
      </c>
      <c r="X165" s="234">
        <f ca="1">$V165*NSSpacingFt+YOffset+0</f>
        <v>17.999999999999989</v>
      </c>
      <c r="Y165" s="235">
        <f ca="1">+$V165*NSGradeFt+PedHeight+0</f>
        <v>7.401410761154855</v>
      </c>
      <c r="Z165" s="214">
        <f ca="1">+$W165</f>
        <v>30.000006832286932</v>
      </c>
      <c r="AA165" s="214">
        <f ca="1">+$Y165</f>
        <v>7.401410761154855</v>
      </c>
      <c r="AB165" s="214">
        <f ca="1">+$X165</f>
        <v>17.999999999999989</v>
      </c>
      <c r="AC165" s="214">
        <f ca="1">+$W165-XOffset</f>
        <v>30.000006832286932</v>
      </c>
    </row>
    <row r="166" spans="8:29" s="213" customFormat="1" ht="9" customHeight="1">
      <c r="H166" s="212"/>
      <c r="I166" s="212"/>
      <c r="S166" s="307"/>
      <c r="T166" s="226">
        <f t="shared" si="19"/>
        <v>163</v>
      </c>
      <c r="U166" s="224">
        <f t="shared" si="17"/>
        <v>1</v>
      </c>
      <c r="V166" s="225">
        <f t="shared" si="18"/>
        <v>1</v>
      </c>
      <c r="W166" s="236">
        <f ca="1">+$U166*EWSpacingFt+XOffset+PanArrayWidthHighEndFt-(PanArrayWidthHighEndFt-PanArrayWidthLowEndFt)/2</f>
        <v>40.802828354596642</v>
      </c>
      <c r="X166" s="240">
        <f ca="1">$V166*NSSpacingFt+YOffset+0</f>
        <v>17.999999999999989</v>
      </c>
      <c r="Y166" s="244">
        <f ca="1">+$V166*NSGradeFt+PedHeight+0</f>
        <v>7.401410761154855</v>
      </c>
      <c r="Z166" s="214">
        <f ca="1">+$W166</f>
        <v>40.802828354596642</v>
      </c>
      <c r="AA166" s="214">
        <f ca="1">+$Y166</f>
        <v>7.401410761154855</v>
      </c>
      <c r="AB166" s="214">
        <f ca="1">+$X166</f>
        <v>17.999999999999989</v>
      </c>
      <c r="AC166" s="214">
        <f ca="1">+$W166-XOffset</f>
        <v>40.802828354596642</v>
      </c>
    </row>
    <row r="167" spans="8:29" s="213" customFormat="1" ht="9" customHeight="1">
      <c r="H167" s="212"/>
      <c r="I167" s="212"/>
      <c r="S167" s="307"/>
      <c r="T167" s="226">
        <f t="shared" si="19"/>
        <v>164</v>
      </c>
      <c r="U167" s="224">
        <f t="shared" si="17"/>
        <v>1</v>
      </c>
      <c r="V167" s="225">
        <f t="shared" si="18"/>
        <v>1</v>
      </c>
      <c r="W167" s="237">
        <f ca="1">$U167*EWSpacingFt+XOffset+PanArrayWidthHighEndFt</f>
        <v>40.802828354596642</v>
      </c>
      <c r="X167" s="241">
        <f ca="1">$V167*NSSpacingFt+YOffset+PanArrayLenFt*COS(RADIANS(Latitude+DecAng))</f>
        <v>34.439632545931751</v>
      </c>
      <c r="Y167" s="245">
        <f ca="1">+$V167*NSGradeFt+PedHeight+PanArrayLenFt*SIN(RADIANS(Latitude+DecAng))</f>
        <v>7.401410761154855</v>
      </c>
      <c r="Z167" s="214">
        <f ca="1">+$W167</f>
        <v>40.802828354596642</v>
      </c>
      <c r="AA167" s="214">
        <f ca="1">+$Y167</f>
        <v>7.401410761154855</v>
      </c>
      <c r="AB167" s="214">
        <f ca="1">+$X167</f>
        <v>34.439632545931751</v>
      </c>
      <c r="AC167" s="214">
        <f ca="1">+$W167-XOffset</f>
        <v>40.802828354596642</v>
      </c>
    </row>
    <row r="168" spans="8:29" s="213" customFormat="1" ht="9" customHeight="1">
      <c r="H168" s="212"/>
      <c r="I168" s="212"/>
      <c r="S168" s="307"/>
      <c r="T168" s="226">
        <f t="shared" si="19"/>
        <v>165</v>
      </c>
      <c r="U168" s="224">
        <f t="shared" si="17"/>
        <v>1</v>
      </c>
      <c r="V168" s="225">
        <f t="shared" si="18"/>
        <v>1</v>
      </c>
      <c r="W168" s="238">
        <f ca="1">$U168*EWSpacingFt+XOffset+0</f>
        <v>30.000006832286932</v>
      </c>
      <c r="X168" s="242">
        <f ca="1">$V168*NSSpacingFt+YOffset+PanArrayLenFt*COS(RADIANS(Latitude+DecAng))</f>
        <v>34.439632545931751</v>
      </c>
      <c r="Y168" s="246">
        <f ca="1">+$V168*NSGradeFt+PedHeight+PanArrayLenFt*SIN(RADIANS(Latitude+DecAng))</f>
        <v>7.401410761154855</v>
      </c>
      <c r="Z168" s="214">
        <f ca="1">+$W168</f>
        <v>30.000006832286932</v>
      </c>
      <c r="AA168" s="214">
        <f ca="1">+$Y168</f>
        <v>7.401410761154855</v>
      </c>
      <c r="AB168" s="214">
        <f ca="1">+$X168</f>
        <v>34.439632545931751</v>
      </c>
      <c r="AC168" s="214">
        <f ca="1">+$W168-XOffset</f>
        <v>30.000006832286932</v>
      </c>
    </row>
    <row r="169" spans="8:29" s="213" customFormat="1" ht="9" customHeight="1">
      <c r="H169" s="212"/>
      <c r="I169" s="212"/>
      <c r="S169" s="307"/>
      <c r="T169" s="226">
        <f t="shared" si="19"/>
        <v>166</v>
      </c>
      <c r="U169" s="224">
        <f t="shared" si="17"/>
        <v>1</v>
      </c>
      <c r="V169" s="225">
        <f t="shared" si="18"/>
        <v>1</v>
      </c>
      <c r="W169" s="239">
        <f ca="1">$U169*EWSpacingFt+XOffset+(PanArrayWidthHighEndFt-PanArrayWidthLowEndFt)/2</f>
        <v>30.000006832286932</v>
      </c>
      <c r="X169" s="243">
        <f ca="1">$V169*NSSpacingFt+YOffset+0</f>
        <v>17.999999999999989</v>
      </c>
      <c r="Y169" s="247">
        <f ca="1">+$V169*NSGradeFt+PedHeight+0</f>
        <v>7.401410761154855</v>
      </c>
      <c r="Z169" s="214">
        <f ca="1">+$W169</f>
        <v>30.000006832286932</v>
      </c>
      <c r="AA169" s="214">
        <f ca="1">+$Y169</f>
        <v>7.401410761154855</v>
      </c>
      <c r="AB169" s="214">
        <f ca="1">+$X169</f>
        <v>17.999999999999989</v>
      </c>
      <c r="AC169" s="214">
        <f ca="1">+$W169-XOffset</f>
        <v>30.000006832286932</v>
      </c>
    </row>
    <row r="170" spans="8:29" s="213" customFormat="1" ht="9" customHeight="1">
      <c r="H170" s="212"/>
      <c r="I170" s="212"/>
      <c r="S170" s="307"/>
      <c r="T170" s="226">
        <f t="shared" si="19"/>
        <v>167</v>
      </c>
      <c r="U170" s="224">
        <f t="shared" si="17"/>
        <v>1</v>
      </c>
      <c r="V170" s="225">
        <f t="shared" si="18"/>
        <v>1</v>
      </c>
      <c r="W170" s="217"/>
      <c r="X170" s="217"/>
      <c r="Y170" s="217"/>
      <c r="Z170" s="214"/>
      <c r="AA170" s="214"/>
      <c r="AB170" s="214"/>
      <c r="AC170" s="214"/>
    </row>
    <row r="171" spans="8:29" s="213" customFormat="1" ht="9" customHeight="1">
      <c r="H171" s="212"/>
      <c r="I171" s="212"/>
      <c r="S171" s="307">
        <f>INT((T171-0)/6)+1</f>
        <v>29</v>
      </c>
      <c r="T171" s="226">
        <f t="shared" si="19"/>
        <v>168</v>
      </c>
      <c r="U171" s="224">
        <f t="shared" si="17"/>
        <v>0</v>
      </c>
      <c r="V171" s="225">
        <f t="shared" si="18"/>
        <v>2</v>
      </c>
      <c r="W171" s="233">
        <f ca="1">$U171*EWSpacingFt+XOffset+(PanArrayWidthHighEndFt-PanArrayWidthLowEndFt)/2</f>
        <v>0</v>
      </c>
      <c r="X171" s="234">
        <f ca="1">$V171*NSSpacingFt+YOffset+0</f>
        <v>35.999999999999979</v>
      </c>
      <c r="Y171" s="235">
        <f ca="1">+$V171*NSGradeFt+PedHeight+0</f>
        <v>7.401410761154855</v>
      </c>
      <c r="Z171" s="214">
        <f ca="1">+$W171</f>
        <v>0</v>
      </c>
      <c r="AA171" s="214">
        <f ca="1">+$Y171</f>
        <v>7.401410761154855</v>
      </c>
      <c r="AB171" s="214">
        <f ca="1">+$X171</f>
        <v>35.999999999999979</v>
      </c>
      <c r="AC171" s="214">
        <f ca="1">+$W171-XOffset</f>
        <v>0</v>
      </c>
    </row>
    <row r="172" spans="8:29" s="213" customFormat="1" ht="9" customHeight="1">
      <c r="H172" s="212"/>
      <c r="I172" s="212"/>
      <c r="S172" s="307"/>
      <c r="T172" s="226">
        <f t="shared" si="19"/>
        <v>169</v>
      </c>
      <c r="U172" s="224">
        <f t="shared" si="17"/>
        <v>0</v>
      </c>
      <c r="V172" s="225">
        <f t="shared" si="18"/>
        <v>2</v>
      </c>
      <c r="W172" s="236">
        <f ca="1">+$U172*EWSpacingFt+XOffset+PanArrayWidthHighEndFt-(PanArrayWidthHighEndFt-PanArrayWidthLowEndFt)/2</f>
        <v>10.80282152230971</v>
      </c>
      <c r="X172" s="240">
        <f ca="1">$V172*NSSpacingFt+YOffset+0</f>
        <v>35.999999999999979</v>
      </c>
      <c r="Y172" s="244">
        <f ca="1">+$V172*NSGradeFt+PedHeight+0</f>
        <v>7.401410761154855</v>
      </c>
      <c r="Z172" s="214">
        <f ca="1">+$W172</f>
        <v>10.80282152230971</v>
      </c>
      <c r="AA172" s="214">
        <f ca="1">+$Y172</f>
        <v>7.401410761154855</v>
      </c>
      <c r="AB172" s="214">
        <f ca="1">+$X172</f>
        <v>35.999999999999979</v>
      </c>
      <c r="AC172" s="214">
        <f ca="1">+$W172-XOffset</f>
        <v>10.80282152230971</v>
      </c>
    </row>
    <row r="173" spans="8:29" s="213" customFormat="1" ht="9" customHeight="1">
      <c r="H173" s="212"/>
      <c r="I173" s="212"/>
      <c r="S173" s="307"/>
      <c r="T173" s="226">
        <f t="shared" si="19"/>
        <v>170</v>
      </c>
      <c r="U173" s="224">
        <f t="shared" si="17"/>
        <v>0</v>
      </c>
      <c r="V173" s="225">
        <f t="shared" si="18"/>
        <v>2</v>
      </c>
      <c r="W173" s="237">
        <f ca="1">$U173*EWSpacingFt+XOffset+PanArrayWidthHighEndFt</f>
        <v>10.80282152230971</v>
      </c>
      <c r="X173" s="241">
        <f ca="1">$V173*NSSpacingFt+YOffset+PanArrayLenFt*COS(RADIANS(Latitude+DecAng))</f>
        <v>52.439632545931744</v>
      </c>
      <c r="Y173" s="245">
        <f ca="1">+$V173*NSGradeFt+PedHeight+PanArrayLenFt*SIN(RADIANS(Latitude+DecAng))</f>
        <v>7.401410761154855</v>
      </c>
      <c r="Z173" s="214">
        <f ca="1">+$W173</f>
        <v>10.80282152230971</v>
      </c>
      <c r="AA173" s="214">
        <f ca="1">+$Y173</f>
        <v>7.401410761154855</v>
      </c>
      <c r="AB173" s="214">
        <f ca="1">+$X173</f>
        <v>52.439632545931744</v>
      </c>
      <c r="AC173" s="214">
        <f ca="1">+$W173-XOffset</f>
        <v>10.80282152230971</v>
      </c>
    </row>
    <row r="174" spans="8:29" s="213" customFormat="1" ht="9" customHeight="1">
      <c r="H174" s="212"/>
      <c r="I174" s="212"/>
      <c r="S174" s="307"/>
      <c r="T174" s="226">
        <f t="shared" si="19"/>
        <v>171</v>
      </c>
      <c r="U174" s="224">
        <f t="shared" si="17"/>
        <v>0</v>
      </c>
      <c r="V174" s="225">
        <f t="shared" si="18"/>
        <v>2</v>
      </c>
      <c r="W174" s="238">
        <f ca="1">$U174*EWSpacingFt+XOffset+0</f>
        <v>0</v>
      </c>
      <c r="X174" s="242">
        <f ca="1">$V174*NSSpacingFt+YOffset+PanArrayLenFt*COS(RADIANS(Latitude+DecAng))</f>
        <v>52.439632545931744</v>
      </c>
      <c r="Y174" s="246">
        <f ca="1">+$V174*NSGradeFt+PedHeight+PanArrayLenFt*SIN(RADIANS(Latitude+DecAng))</f>
        <v>7.401410761154855</v>
      </c>
      <c r="Z174" s="214">
        <f ca="1">+$W174</f>
        <v>0</v>
      </c>
      <c r="AA174" s="214">
        <f ca="1">+$Y174</f>
        <v>7.401410761154855</v>
      </c>
      <c r="AB174" s="214">
        <f ca="1">+$X174</f>
        <v>52.439632545931744</v>
      </c>
      <c r="AC174" s="214">
        <f ca="1">+$W174-XOffset</f>
        <v>0</v>
      </c>
    </row>
    <row r="175" spans="8:29" s="213" customFormat="1" ht="9" customHeight="1">
      <c r="H175" s="212"/>
      <c r="I175" s="212"/>
      <c r="S175" s="307"/>
      <c r="T175" s="226">
        <f t="shared" si="19"/>
        <v>172</v>
      </c>
      <c r="U175" s="224">
        <f t="shared" si="17"/>
        <v>0</v>
      </c>
      <c r="V175" s="225">
        <f t="shared" si="18"/>
        <v>2</v>
      </c>
      <c r="W175" s="239">
        <f ca="1">$U175*EWSpacingFt+XOffset+(PanArrayWidthHighEndFt-PanArrayWidthLowEndFt)/2</f>
        <v>0</v>
      </c>
      <c r="X175" s="243">
        <f ca="1">$V175*NSSpacingFt+YOffset+0</f>
        <v>35.999999999999979</v>
      </c>
      <c r="Y175" s="247">
        <f ca="1">+$V175*NSGradeFt+PedHeight+0</f>
        <v>7.401410761154855</v>
      </c>
      <c r="Z175" s="214">
        <f ca="1">+$W175</f>
        <v>0</v>
      </c>
      <c r="AA175" s="214">
        <f ca="1">+$Y175</f>
        <v>7.401410761154855</v>
      </c>
      <c r="AB175" s="214">
        <f ca="1">+$X175</f>
        <v>35.999999999999979</v>
      </c>
      <c r="AC175" s="214">
        <f ca="1">+$W175-XOffset</f>
        <v>0</v>
      </c>
    </row>
    <row r="176" spans="8:29" s="213" customFormat="1" ht="9" customHeight="1">
      <c r="H176" s="212"/>
      <c r="I176" s="212"/>
      <c r="S176" s="307"/>
      <c r="T176" s="226">
        <f t="shared" si="19"/>
        <v>173</v>
      </c>
      <c r="U176" s="224">
        <f t="shared" si="17"/>
        <v>0</v>
      </c>
      <c r="V176" s="225">
        <f t="shared" si="18"/>
        <v>2</v>
      </c>
      <c r="W176" s="217"/>
      <c r="X176" s="217"/>
      <c r="Y176" s="217"/>
      <c r="Z176" s="214"/>
      <c r="AA176" s="214"/>
      <c r="AB176" s="214"/>
      <c r="AC176" s="214"/>
    </row>
    <row r="177" spans="8:29" s="213" customFormat="1" ht="9" customHeight="1">
      <c r="H177" s="212"/>
      <c r="I177" s="212"/>
      <c r="S177" s="307">
        <f>INT((T177-0)/6)+1</f>
        <v>30</v>
      </c>
      <c r="T177" s="226">
        <f t="shared" si="19"/>
        <v>174</v>
      </c>
      <c r="U177" s="224">
        <f t="shared" si="17"/>
        <v>1</v>
      </c>
      <c r="V177" s="225">
        <f t="shared" si="18"/>
        <v>2</v>
      </c>
      <c r="W177" s="233">
        <f ca="1">$U177*EWSpacingFt+XOffset+(PanArrayWidthHighEndFt-PanArrayWidthLowEndFt)/2</f>
        <v>30.000006832286932</v>
      </c>
      <c r="X177" s="234">
        <f ca="1">$V177*NSSpacingFt+YOffset+0</f>
        <v>35.999999999999979</v>
      </c>
      <c r="Y177" s="235">
        <f ca="1">+$V177*NSGradeFt+PedHeight+0</f>
        <v>7.401410761154855</v>
      </c>
      <c r="Z177" s="214">
        <f ca="1">+$W177</f>
        <v>30.000006832286932</v>
      </c>
      <c r="AA177" s="214">
        <f ca="1">+$Y177</f>
        <v>7.401410761154855</v>
      </c>
      <c r="AB177" s="214">
        <f ca="1">+$X177</f>
        <v>35.999999999999979</v>
      </c>
      <c r="AC177" s="214">
        <f ca="1">+$W177-XOffset</f>
        <v>30.000006832286932</v>
      </c>
    </row>
    <row r="178" spans="8:29" s="213" customFormat="1" ht="9" customHeight="1">
      <c r="H178" s="212"/>
      <c r="I178" s="212"/>
      <c r="S178" s="307"/>
      <c r="T178" s="226">
        <f t="shared" si="19"/>
        <v>175</v>
      </c>
      <c r="U178" s="224">
        <f t="shared" si="17"/>
        <v>1</v>
      </c>
      <c r="V178" s="225">
        <f t="shared" si="18"/>
        <v>2</v>
      </c>
      <c r="W178" s="236">
        <f ca="1">+$U178*EWSpacingFt+XOffset+PanArrayWidthHighEndFt-(PanArrayWidthHighEndFt-PanArrayWidthLowEndFt)/2</f>
        <v>40.802828354596642</v>
      </c>
      <c r="X178" s="240">
        <f ca="1">$V178*NSSpacingFt+YOffset+0</f>
        <v>35.999999999999979</v>
      </c>
      <c r="Y178" s="244">
        <f ca="1">+$V178*NSGradeFt+PedHeight+0</f>
        <v>7.401410761154855</v>
      </c>
      <c r="Z178" s="214">
        <f ca="1">+$W178</f>
        <v>40.802828354596642</v>
      </c>
      <c r="AA178" s="214">
        <f ca="1">+$Y178</f>
        <v>7.401410761154855</v>
      </c>
      <c r="AB178" s="214">
        <f ca="1">+$X178</f>
        <v>35.999999999999979</v>
      </c>
      <c r="AC178" s="214">
        <f ca="1">+$W178-XOffset</f>
        <v>40.802828354596642</v>
      </c>
    </row>
    <row r="179" spans="8:29" s="213" customFormat="1" ht="9" customHeight="1">
      <c r="H179" s="212"/>
      <c r="I179" s="212"/>
      <c r="S179" s="307"/>
      <c r="T179" s="226">
        <f t="shared" si="19"/>
        <v>176</v>
      </c>
      <c r="U179" s="224">
        <f t="shared" si="17"/>
        <v>1</v>
      </c>
      <c r="V179" s="225">
        <f t="shared" si="18"/>
        <v>2</v>
      </c>
      <c r="W179" s="237">
        <f ca="1">$U179*EWSpacingFt+XOffset+PanArrayWidthHighEndFt</f>
        <v>40.802828354596642</v>
      </c>
      <c r="X179" s="241">
        <f ca="1">$V179*NSSpacingFt+YOffset+PanArrayLenFt*COS(RADIANS(Latitude+DecAng))</f>
        <v>52.439632545931744</v>
      </c>
      <c r="Y179" s="245">
        <f ca="1">+$V179*NSGradeFt+PedHeight+PanArrayLenFt*SIN(RADIANS(Latitude+DecAng))</f>
        <v>7.401410761154855</v>
      </c>
      <c r="Z179" s="214">
        <f ca="1">+$W179</f>
        <v>40.802828354596642</v>
      </c>
      <c r="AA179" s="214">
        <f ca="1">+$Y179</f>
        <v>7.401410761154855</v>
      </c>
      <c r="AB179" s="214">
        <f ca="1">+$X179</f>
        <v>52.439632545931744</v>
      </c>
      <c r="AC179" s="214">
        <f ca="1">+$W179-XOffset</f>
        <v>40.802828354596642</v>
      </c>
    </row>
    <row r="180" spans="8:29" s="213" customFormat="1" ht="9" customHeight="1">
      <c r="H180" s="212"/>
      <c r="I180" s="212"/>
      <c r="S180" s="307"/>
      <c r="T180" s="226">
        <f t="shared" si="19"/>
        <v>177</v>
      </c>
      <c r="U180" s="224">
        <f t="shared" si="17"/>
        <v>1</v>
      </c>
      <c r="V180" s="225">
        <f t="shared" si="18"/>
        <v>2</v>
      </c>
      <c r="W180" s="238">
        <f ca="1">$U180*EWSpacingFt+XOffset+0</f>
        <v>30.000006832286932</v>
      </c>
      <c r="X180" s="242">
        <f ca="1">$V180*NSSpacingFt+YOffset+PanArrayLenFt*COS(RADIANS(Latitude+DecAng))</f>
        <v>52.439632545931744</v>
      </c>
      <c r="Y180" s="246">
        <f ca="1">+$V180*NSGradeFt+PedHeight+PanArrayLenFt*SIN(RADIANS(Latitude+DecAng))</f>
        <v>7.401410761154855</v>
      </c>
      <c r="Z180" s="214">
        <f ca="1">+$W180</f>
        <v>30.000006832286932</v>
      </c>
      <c r="AA180" s="214">
        <f ca="1">+$Y180</f>
        <v>7.401410761154855</v>
      </c>
      <c r="AB180" s="214">
        <f ca="1">+$X180</f>
        <v>52.439632545931744</v>
      </c>
      <c r="AC180" s="214">
        <f ca="1">+$W180-XOffset</f>
        <v>30.000006832286932</v>
      </c>
    </row>
    <row r="181" spans="8:29" s="213" customFormat="1" ht="9" customHeight="1">
      <c r="H181" s="212"/>
      <c r="I181" s="212"/>
      <c r="S181" s="307"/>
      <c r="T181" s="226">
        <f t="shared" si="19"/>
        <v>178</v>
      </c>
      <c r="U181" s="224">
        <f t="shared" si="17"/>
        <v>1</v>
      </c>
      <c r="V181" s="225">
        <f t="shared" si="18"/>
        <v>2</v>
      </c>
      <c r="W181" s="239">
        <f ca="1">$U181*EWSpacingFt+XOffset+(PanArrayWidthHighEndFt-PanArrayWidthLowEndFt)/2</f>
        <v>30.000006832286932</v>
      </c>
      <c r="X181" s="243">
        <f ca="1">$V181*NSSpacingFt+YOffset+0</f>
        <v>35.999999999999979</v>
      </c>
      <c r="Y181" s="247">
        <f ca="1">+$V181*NSGradeFt+PedHeight+0</f>
        <v>7.401410761154855</v>
      </c>
      <c r="Z181" s="214">
        <f ca="1">+$W181</f>
        <v>30.000006832286932</v>
      </c>
      <c r="AA181" s="214">
        <f ca="1">+$Y181</f>
        <v>7.401410761154855</v>
      </c>
      <c r="AB181" s="214">
        <f ca="1">+$X181</f>
        <v>35.999999999999979</v>
      </c>
      <c r="AC181" s="214">
        <f ca="1">+$W181-XOffset</f>
        <v>30.000006832286932</v>
      </c>
    </row>
    <row r="182" spans="8:29" s="213" customFormat="1" ht="9" customHeight="1">
      <c r="H182" s="212"/>
      <c r="I182" s="212"/>
      <c r="S182" s="307"/>
      <c r="T182" s="226">
        <f t="shared" si="19"/>
        <v>179</v>
      </c>
      <c r="U182" s="224">
        <f t="shared" si="17"/>
        <v>1</v>
      </c>
      <c r="V182" s="225">
        <f t="shared" si="18"/>
        <v>2</v>
      </c>
      <c r="W182" s="217"/>
      <c r="X182" s="217"/>
      <c r="Y182" s="217"/>
      <c r="Z182" s="214"/>
      <c r="AA182" s="214"/>
      <c r="AB182" s="214"/>
      <c r="AC182" s="214"/>
    </row>
    <row r="183" spans="8:29" s="213" customFormat="1" ht="9" customHeight="1">
      <c r="H183" s="212"/>
      <c r="I183" s="212"/>
      <c r="S183" s="307">
        <f>INT((T183-0)/6)+1</f>
        <v>31</v>
      </c>
      <c r="T183" s="226">
        <f t="shared" si="19"/>
        <v>180</v>
      </c>
      <c r="U183" s="224">
        <f t="shared" si="17"/>
        <v>0</v>
      </c>
      <c r="V183" s="225">
        <f t="shared" si="18"/>
        <v>3</v>
      </c>
      <c r="W183" s="233">
        <f ca="1">$U183*EWSpacingFt+XOffset+(PanArrayWidthHighEndFt-PanArrayWidthLowEndFt)/2</f>
        <v>0</v>
      </c>
      <c r="X183" s="234">
        <f ca="1">$V183*NSSpacingFt+YOffset+0</f>
        <v>53.999999999999972</v>
      </c>
      <c r="Y183" s="235">
        <f ca="1">+$V183*NSGradeFt+PedHeight+0</f>
        <v>7.401410761154855</v>
      </c>
      <c r="Z183" s="214">
        <f ca="1">+$W183</f>
        <v>0</v>
      </c>
      <c r="AA183" s="214">
        <f ca="1">+$Y183</f>
        <v>7.401410761154855</v>
      </c>
      <c r="AB183" s="214">
        <f ca="1">+$X183</f>
        <v>53.999999999999972</v>
      </c>
      <c r="AC183" s="214">
        <f ca="1">+$W183-XOffset</f>
        <v>0</v>
      </c>
    </row>
    <row r="184" spans="8:29" s="213" customFormat="1" ht="9" customHeight="1">
      <c r="H184" s="212"/>
      <c r="I184" s="212"/>
      <c r="S184" s="307"/>
      <c r="T184" s="226">
        <f t="shared" si="19"/>
        <v>181</v>
      </c>
      <c r="U184" s="224">
        <f t="shared" si="17"/>
        <v>0</v>
      </c>
      <c r="V184" s="225">
        <f t="shared" si="18"/>
        <v>3</v>
      </c>
      <c r="W184" s="236">
        <f ca="1">+$U184*EWSpacingFt+XOffset+PanArrayWidthHighEndFt-(PanArrayWidthHighEndFt-PanArrayWidthLowEndFt)/2</f>
        <v>10.80282152230971</v>
      </c>
      <c r="X184" s="240">
        <f ca="1">$V184*NSSpacingFt+YOffset+0</f>
        <v>53.999999999999972</v>
      </c>
      <c r="Y184" s="244">
        <f ca="1">+$V184*NSGradeFt+PedHeight+0</f>
        <v>7.401410761154855</v>
      </c>
      <c r="Z184" s="214">
        <f ca="1">+$W184</f>
        <v>10.80282152230971</v>
      </c>
      <c r="AA184" s="214">
        <f ca="1">+$Y184</f>
        <v>7.401410761154855</v>
      </c>
      <c r="AB184" s="214">
        <f ca="1">+$X184</f>
        <v>53.999999999999972</v>
      </c>
      <c r="AC184" s="214">
        <f ca="1">+$W184-XOffset</f>
        <v>10.80282152230971</v>
      </c>
    </row>
    <row r="185" spans="8:29" s="213" customFormat="1" ht="9" customHeight="1">
      <c r="H185" s="212"/>
      <c r="I185" s="212"/>
      <c r="S185" s="307"/>
      <c r="T185" s="226">
        <f t="shared" si="19"/>
        <v>182</v>
      </c>
      <c r="U185" s="224">
        <f t="shared" si="17"/>
        <v>0</v>
      </c>
      <c r="V185" s="225">
        <f t="shared" si="18"/>
        <v>3</v>
      </c>
      <c r="W185" s="237">
        <f ca="1">$U185*EWSpacingFt+XOffset+PanArrayWidthHighEndFt</f>
        <v>10.80282152230971</v>
      </c>
      <c r="X185" s="241">
        <f ca="1">$V185*NSSpacingFt+YOffset+PanArrayLenFt*COS(RADIANS(Latitude+DecAng))</f>
        <v>70.43963254593173</v>
      </c>
      <c r="Y185" s="245">
        <f ca="1">+$V185*NSGradeFt+PedHeight+PanArrayLenFt*SIN(RADIANS(Latitude+DecAng))</f>
        <v>7.401410761154855</v>
      </c>
      <c r="Z185" s="214">
        <f ca="1">+$W185</f>
        <v>10.80282152230971</v>
      </c>
      <c r="AA185" s="214">
        <f ca="1">+$Y185</f>
        <v>7.401410761154855</v>
      </c>
      <c r="AB185" s="214">
        <f ca="1">+$X185</f>
        <v>70.43963254593173</v>
      </c>
      <c r="AC185" s="214">
        <f ca="1">+$W185-XOffset</f>
        <v>10.80282152230971</v>
      </c>
    </row>
    <row r="186" spans="8:29" s="213" customFormat="1" ht="9" customHeight="1">
      <c r="H186" s="212"/>
      <c r="I186" s="212"/>
      <c r="S186" s="307"/>
      <c r="T186" s="226">
        <f t="shared" si="19"/>
        <v>183</v>
      </c>
      <c r="U186" s="224">
        <f t="shared" si="17"/>
        <v>0</v>
      </c>
      <c r="V186" s="225">
        <f t="shared" si="18"/>
        <v>3</v>
      </c>
      <c r="W186" s="238">
        <f ca="1">$U186*EWSpacingFt+XOffset+0</f>
        <v>0</v>
      </c>
      <c r="X186" s="242">
        <f ca="1">$V186*NSSpacingFt+YOffset+PanArrayLenFt*COS(RADIANS(Latitude+DecAng))</f>
        <v>70.43963254593173</v>
      </c>
      <c r="Y186" s="246">
        <f ca="1">+$V186*NSGradeFt+PedHeight+PanArrayLenFt*SIN(RADIANS(Latitude+DecAng))</f>
        <v>7.401410761154855</v>
      </c>
      <c r="Z186" s="214">
        <f ca="1">+$W186</f>
        <v>0</v>
      </c>
      <c r="AA186" s="214">
        <f ca="1">+$Y186</f>
        <v>7.401410761154855</v>
      </c>
      <c r="AB186" s="214">
        <f ca="1">+$X186</f>
        <v>70.43963254593173</v>
      </c>
      <c r="AC186" s="214">
        <f ca="1">+$W186-XOffset</f>
        <v>0</v>
      </c>
    </row>
    <row r="187" spans="8:29" s="213" customFormat="1" ht="9" customHeight="1">
      <c r="H187" s="212"/>
      <c r="I187" s="212"/>
      <c r="S187" s="307"/>
      <c r="T187" s="226">
        <f t="shared" si="19"/>
        <v>184</v>
      </c>
      <c r="U187" s="224">
        <f t="shared" si="17"/>
        <v>0</v>
      </c>
      <c r="V187" s="225">
        <f t="shared" si="18"/>
        <v>3</v>
      </c>
      <c r="W187" s="239">
        <f ca="1">$U187*EWSpacingFt+XOffset+(PanArrayWidthHighEndFt-PanArrayWidthLowEndFt)/2</f>
        <v>0</v>
      </c>
      <c r="X187" s="243">
        <f ca="1">$V187*NSSpacingFt+YOffset+0</f>
        <v>53.999999999999972</v>
      </c>
      <c r="Y187" s="247">
        <f ca="1">+$V187*NSGradeFt+PedHeight+0</f>
        <v>7.401410761154855</v>
      </c>
      <c r="Z187" s="214">
        <f ca="1">+$W187</f>
        <v>0</v>
      </c>
      <c r="AA187" s="214">
        <f ca="1">+$Y187</f>
        <v>7.401410761154855</v>
      </c>
      <c r="AB187" s="214">
        <f ca="1">+$X187</f>
        <v>53.999999999999972</v>
      </c>
      <c r="AC187" s="214">
        <f ca="1">+$W187-XOffset</f>
        <v>0</v>
      </c>
    </row>
    <row r="188" spans="8:29" s="213" customFormat="1" ht="9" customHeight="1">
      <c r="H188" s="212"/>
      <c r="I188" s="212"/>
      <c r="S188" s="307"/>
      <c r="T188" s="226">
        <f t="shared" si="19"/>
        <v>185</v>
      </c>
      <c r="U188" s="224">
        <f t="shared" si="17"/>
        <v>0</v>
      </c>
      <c r="V188" s="225">
        <f t="shared" si="18"/>
        <v>3</v>
      </c>
      <c r="W188" s="217"/>
      <c r="X188" s="217"/>
      <c r="Y188" s="217"/>
      <c r="Z188" s="214"/>
      <c r="AA188" s="214"/>
      <c r="AB188" s="214"/>
      <c r="AC188" s="214"/>
    </row>
    <row r="189" spans="8:29" s="213" customFormat="1" ht="9" customHeight="1">
      <c r="H189" s="212"/>
      <c r="I189" s="212"/>
      <c r="S189" s="307">
        <f>INT((T189-0)/6)+1</f>
        <v>32</v>
      </c>
      <c r="T189" s="226">
        <f t="shared" si="19"/>
        <v>186</v>
      </c>
      <c r="U189" s="224">
        <f t="shared" si="17"/>
        <v>1</v>
      </c>
      <c r="V189" s="225">
        <f t="shared" si="18"/>
        <v>3</v>
      </c>
      <c r="W189" s="233">
        <f ca="1">$U189*EWSpacingFt+XOffset+(PanArrayWidthHighEndFt-PanArrayWidthLowEndFt)/2</f>
        <v>30.000006832286932</v>
      </c>
      <c r="X189" s="234">
        <f ca="1">$V189*NSSpacingFt+YOffset+0</f>
        <v>53.999999999999972</v>
      </c>
      <c r="Y189" s="235">
        <f ca="1">+$V189*NSGradeFt+PedHeight+0</f>
        <v>7.401410761154855</v>
      </c>
      <c r="Z189" s="214">
        <f ca="1">+$W189</f>
        <v>30.000006832286932</v>
      </c>
      <c r="AA189" s="214">
        <f ca="1">+$Y189</f>
        <v>7.401410761154855</v>
      </c>
      <c r="AB189" s="214">
        <f ca="1">+$X189</f>
        <v>53.999999999999972</v>
      </c>
      <c r="AC189" s="214">
        <f ca="1">+$W189-XOffset</f>
        <v>30.000006832286932</v>
      </c>
    </row>
    <row r="190" spans="8:29" s="213" customFormat="1" ht="9" customHeight="1">
      <c r="H190" s="212"/>
      <c r="I190" s="212"/>
      <c r="S190" s="307"/>
      <c r="T190" s="226">
        <f t="shared" si="19"/>
        <v>187</v>
      </c>
      <c r="U190" s="224">
        <f t="shared" si="17"/>
        <v>1</v>
      </c>
      <c r="V190" s="225">
        <f t="shared" si="18"/>
        <v>3</v>
      </c>
      <c r="W190" s="236">
        <f ca="1">+$U190*EWSpacingFt+XOffset+PanArrayWidthHighEndFt-(PanArrayWidthHighEndFt-PanArrayWidthLowEndFt)/2</f>
        <v>40.802828354596642</v>
      </c>
      <c r="X190" s="240">
        <f ca="1">$V190*NSSpacingFt+YOffset+0</f>
        <v>53.999999999999972</v>
      </c>
      <c r="Y190" s="244">
        <f ca="1">+$V190*NSGradeFt+PedHeight+0</f>
        <v>7.401410761154855</v>
      </c>
      <c r="Z190" s="214">
        <f ca="1">+$W190</f>
        <v>40.802828354596642</v>
      </c>
      <c r="AA190" s="214">
        <f ca="1">+$Y190</f>
        <v>7.401410761154855</v>
      </c>
      <c r="AB190" s="214">
        <f ca="1">+$X190</f>
        <v>53.999999999999972</v>
      </c>
      <c r="AC190" s="214">
        <f ca="1">+$W190-XOffset</f>
        <v>40.802828354596642</v>
      </c>
    </row>
    <row r="191" spans="8:29" s="213" customFormat="1" ht="9" customHeight="1">
      <c r="H191" s="212"/>
      <c r="I191" s="212"/>
      <c r="S191" s="307"/>
      <c r="T191" s="226">
        <f t="shared" si="19"/>
        <v>188</v>
      </c>
      <c r="U191" s="224">
        <f t="shared" si="17"/>
        <v>1</v>
      </c>
      <c r="V191" s="225">
        <f t="shared" si="18"/>
        <v>3</v>
      </c>
      <c r="W191" s="237">
        <f ca="1">$U191*EWSpacingFt+XOffset+PanArrayWidthHighEndFt</f>
        <v>40.802828354596642</v>
      </c>
      <c r="X191" s="241">
        <f ca="1">$V191*NSSpacingFt+YOffset+PanArrayLenFt*COS(RADIANS(Latitude+DecAng))</f>
        <v>70.43963254593173</v>
      </c>
      <c r="Y191" s="245">
        <f ca="1">+$V191*NSGradeFt+PedHeight+PanArrayLenFt*SIN(RADIANS(Latitude+DecAng))</f>
        <v>7.401410761154855</v>
      </c>
      <c r="Z191" s="214">
        <f ca="1">+$W191</f>
        <v>40.802828354596642</v>
      </c>
      <c r="AA191" s="214">
        <f ca="1">+$Y191</f>
        <v>7.401410761154855</v>
      </c>
      <c r="AB191" s="214">
        <f ca="1">+$X191</f>
        <v>70.43963254593173</v>
      </c>
      <c r="AC191" s="214">
        <f ca="1">+$W191-XOffset</f>
        <v>40.802828354596642</v>
      </c>
    </row>
    <row r="192" spans="8:29" s="213" customFormat="1" ht="9" customHeight="1">
      <c r="H192" s="212"/>
      <c r="I192" s="212"/>
      <c r="S192" s="307"/>
      <c r="T192" s="226">
        <f t="shared" si="19"/>
        <v>189</v>
      </c>
      <c r="U192" s="224">
        <f t="shared" si="17"/>
        <v>1</v>
      </c>
      <c r="V192" s="225">
        <f t="shared" si="18"/>
        <v>3</v>
      </c>
      <c r="W192" s="238">
        <f ca="1">$U192*EWSpacingFt+XOffset+0</f>
        <v>30.000006832286932</v>
      </c>
      <c r="X192" s="242">
        <f ca="1">$V192*NSSpacingFt+YOffset+PanArrayLenFt*COS(RADIANS(Latitude+DecAng))</f>
        <v>70.43963254593173</v>
      </c>
      <c r="Y192" s="246">
        <f ca="1">+$V192*NSGradeFt+PedHeight+PanArrayLenFt*SIN(RADIANS(Latitude+DecAng))</f>
        <v>7.401410761154855</v>
      </c>
      <c r="Z192" s="214">
        <f ca="1">+$W192</f>
        <v>30.000006832286932</v>
      </c>
      <c r="AA192" s="214">
        <f ca="1">+$Y192</f>
        <v>7.401410761154855</v>
      </c>
      <c r="AB192" s="214">
        <f ca="1">+$X192</f>
        <v>70.43963254593173</v>
      </c>
      <c r="AC192" s="214">
        <f ca="1">+$W192-XOffset</f>
        <v>30.000006832286932</v>
      </c>
    </row>
    <row r="193" spans="8:29" s="213" customFormat="1" ht="9" customHeight="1">
      <c r="H193" s="212"/>
      <c r="I193" s="212"/>
      <c r="S193" s="307"/>
      <c r="T193" s="226">
        <f t="shared" si="19"/>
        <v>190</v>
      </c>
      <c r="U193" s="224">
        <f t="shared" si="17"/>
        <v>1</v>
      </c>
      <c r="V193" s="225">
        <f t="shared" si="18"/>
        <v>3</v>
      </c>
      <c r="W193" s="239">
        <f ca="1">$U193*EWSpacingFt+XOffset+(PanArrayWidthHighEndFt-PanArrayWidthLowEndFt)/2</f>
        <v>30.000006832286932</v>
      </c>
      <c r="X193" s="243">
        <f ca="1">$V193*NSSpacingFt+YOffset+0</f>
        <v>53.999999999999972</v>
      </c>
      <c r="Y193" s="247">
        <f ca="1">+$V193*NSGradeFt+PedHeight+0</f>
        <v>7.401410761154855</v>
      </c>
      <c r="Z193" s="214">
        <f ca="1">+$W193</f>
        <v>30.000006832286932</v>
      </c>
      <c r="AA193" s="214">
        <f ca="1">+$Y193</f>
        <v>7.401410761154855</v>
      </c>
      <c r="AB193" s="214">
        <f ca="1">+$X193</f>
        <v>53.999999999999972</v>
      </c>
      <c r="AC193" s="214">
        <f ca="1">+$W193-XOffset</f>
        <v>30.000006832286932</v>
      </c>
    </row>
    <row r="194" spans="8:29" s="213" customFormat="1" ht="9" customHeight="1">
      <c r="H194" s="212"/>
      <c r="I194" s="212"/>
      <c r="S194" s="307"/>
      <c r="T194" s="226">
        <f t="shared" si="19"/>
        <v>191</v>
      </c>
      <c r="U194" s="224">
        <f t="shared" si="17"/>
        <v>1</v>
      </c>
      <c r="V194" s="225">
        <f t="shared" si="18"/>
        <v>3</v>
      </c>
      <c r="W194" s="217"/>
      <c r="X194" s="217"/>
      <c r="Y194" s="217"/>
      <c r="Z194" s="214"/>
      <c r="AA194" s="214"/>
      <c r="AB194" s="214"/>
      <c r="AC194" s="214"/>
    </row>
    <row r="195" spans="8:29" s="213" customFormat="1" ht="9" customHeight="1">
      <c r="H195" s="212"/>
      <c r="I195" s="212"/>
      <c r="S195" s="307">
        <f>INT((T195-0)/6)+1</f>
        <v>33</v>
      </c>
      <c r="T195" s="226">
        <f t="shared" si="19"/>
        <v>192</v>
      </c>
      <c r="U195" s="224">
        <f t="shared" ref="U195:U258" si="20">+MOD(INT(T195/6),ColumnsOfMounts)</f>
        <v>0</v>
      </c>
      <c r="V195" s="225">
        <f t="shared" ref="V195:V258" si="21">+MOD(INT(T195/6/ColumnsOfMounts),RowsOfMounts)</f>
        <v>0</v>
      </c>
      <c r="W195" s="233">
        <f ca="1">$U195*EWSpacingFt+XOffset+(PanArrayWidthHighEndFt-PanArrayWidthLowEndFt)/2</f>
        <v>0</v>
      </c>
      <c r="X195" s="234">
        <f ca="1">$V195*NSSpacingFt+YOffset+0</f>
        <v>0</v>
      </c>
      <c r="Y195" s="235">
        <f ca="1">+$V195*NSGradeFt+PedHeight+0</f>
        <v>7.401410761154855</v>
      </c>
      <c r="Z195" s="214">
        <f ca="1">+$W195</f>
        <v>0</v>
      </c>
      <c r="AA195" s="214">
        <f ca="1">+$Y195</f>
        <v>7.401410761154855</v>
      </c>
      <c r="AB195" s="214">
        <f ca="1">+$X195</f>
        <v>0</v>
      </c>
      <c r="AC195" s="214">
        <f ca="1">+$W195-XOffset</f>
        <v>0</v>
      </c>
    </row>
    <row r="196" spans="8:29" s="213" customFormat="1" ht="9" customHeight="1">
      <c r="H196" s="212"/>
      <c r="I196" s="212"/>
      <c r="S196" s="307"/>
      <c r="T196" s="226">
        <f t="shared" si="19"/>
        <v>193</v>
      </c>
      <c r="U196" s="224">
        <f t="shared" si="20"/>
        <v>0</v>
      </c>
      <c r="V196" s="225">
        <f t="shared" si="21"/>
        <v>0</v>
      </c>
      <c r="W196" s="236">
        <f ca="1">+$U196*EWSpacingFt+XOffset+PanArrayWidthHighEndFt-(PanArrayWidthHighEndFt-PanArrayWidthLowEndFt)/2</f>
        <v>10.80282152230971</v>
      </c>
      <c r="X196" s="240">
        <f ca="1">$V196*NSSpacingFt+YOffset+0</f>
        <v>0</v>
      </c>
      <c r="Y196" s="244">
        <f ca="1">+$V196*NSGradeFt+PedHeight+0</f>
        <v>7.401410761154855</v>
      </c>
      <c r="Z196" s="214">
        <f ca="1">+$W196</f>
        <v>10.80282152230971</v>
      </c>
      <c r="AA196" s="214">
        <f ca="1">+$Y196</f>
        <v>7.401410761154855</v>
      </c>
      <c r="AB196" s="214">
        <f ca="1">+$X196</f>
        <v>0</v>
      </c>
      <c r="AC196" s="214">
        <f ca="1">+$W196-XOffset</f>
        <v>10.80282152230971</v>
      </c>
    </row>
    <row r="197" spans="8:29" s="213" customFormat="1" ht="9" customHeight="1">
      <c r="H197" s="212"/>
      <c r="I197" s="212"/>
      <c r="S197" s="307"/>
      <c r="T197" s="226">
        <f t="shared" ref="T197:T260" si="22">+T196+1</f>
        <v>194</v>
      </c>
      <c r="U197" s="224">
        <f t="shared" si="20"/>
        <v>0</v>
      </c>
      <c r="V197" s="225">
        <f t="shared" si="21"/>
        <v>0</v>
      </c>
      <c r="W197" s="237">
        <f ca="1">$U197*EWSpacingFt+XOffset+PanArrayWidthHighEndFt</f>
        <v>10.80282152230971</v>
      </c>
      <c r="X197" s="241">
        <f ca="1">$V197*NSSpacingFt+YOffset+PanArrayLenFt*COS(RADIANS(Latitude+DecAng))</f>
        <v>16.439632545931762</v>
      </c>
      <c r="Y197" s="245">
        <f ca="1">+$V197*NSGradeFt+PedHeight+PanArrayLenFt*SIN(RADIANS(Latitude+DecAng))</f>
        <v>7.401410761154855</v>
      </c>
      <c r="Z197" s="214">
        <f ca="1">+$W197</f>
        <v>10.80282152230971</v>
      </c>
      <c r="AA197" s="214">
        <f ca="1">+$Y197</f>
        <v>7.401410761154855</v>
      </c>
      <c r="AB197" s="214">
        <f ca="1">+$X197</f>
        <v>16.439632545931762</v>
      </c>
      <c r="AC197" s="214">
        <f ca="1">+$W197-XOffset</f>
        <v>10.80282152230971</v>
      </c>
    </row>
    <row r="198" spans="8:29" s="213" customFormat="1" ht="9" customHeight="1">
      <c r="H198" s="212"/>
      <c r="I198" s="212"/>
      <c r="S198" s="307"/>
      <c r="T198" s="226">
        <f t="shared" si="22"/>
        <v>195</v>
      </c>
      <c r="U198" s="224">
        <f t="shared" si="20"/>
        <v>0</v>
      </c>
      <c r="V198" s="225">
        <f t="shared" si="21"/>
        <v>0</v>
      </c>
      <c r="W198" s="238">
        <f ca="1">$U198*EWSpacingFt+XOffset+0</f>
        <v>0</v>
      </c>
      <c r="X198" s="242">
        <f ca="1">$V198*NSSpacingFt+YOffset+PanArrayLenFt*COS(RADIANS(Latitude+DecAng))</f>
        <v>16.439632545931762</v>
      </c>
      <c r="Y198" s="246">
        <f ca="1">+$V198*NSGradeFt+PedHeight+PanArrayLenFt*SIN(RADIANS(Latitude+DecAng))</f>
        <v>7.401410761154855</v>
      </c>
      <c r="Z198" s="214">
        <f ca="1">+$W198</f>
        <v>0</v>
      </c>
      <c r="AA198" s="214">
        <f ca="1">+$Y198</f>
        <v>7.401410761154855</v>
      </c>
      <c r="AB198" s="214">
        <f ca="1">+$X198</f>
        <v>16.439632545931762</v>
      </c>
      <c r="AC198" s="214">
        <f ca="1">+$W198-XOffset</f>
        <v>0</v>
      </c>
    </row>
    <row r="199" spans="8:29" s="213" customFormat="1" ht="9" customHeight="1">
      <c r="H199" s="212"/>
      <c r="I199" s="212"/>
      <c r="S199" s="307"/>
      <c r="T199" s="226">
        <f t="shared" si="22"/>
        <v>196</v>
      </c>
      <c r="U199" s="224">
        <f t="shared" si="20"/>
        <v>0</v>
      </c>
      <c r="V199" s="225">
        <f t="shared" si="21"/>
        <v>0</v>
      </c>
      <c r="W199" s="239">
        <f ca="1">$U199*EWSpacingFt+XOffset+(PanArrayWidthHighEndFt-PanArrayWidthLowEndFt)/2</f>
        <v>0</v>
      </c>
      <c r="X199" s="243">
        <f ca="1">$V199*NSSpacingFt+YOffset+0</f>
        <v>0</v>
      </c>
      <c r="Y199" s="247">
        <f ca="1">+$V199*NSGradeFt+PedHeight+0</f>
        <v>7.401410761154855</v>
      </c>
      <c r="Z199" s="214">
        <f ca="1">+$W199</f>
        <v>0</v>
      </c>
      <c r="AA199" s="214">
        <f ca="1">+$Y199</f>
        <v>7.401410761154855</v>
      </c>
      <c r="AB199" s="214">
        <f ca="1">+$X199</f>
        <v>0</v>
      </c>
      <c r="AC199" s="214">
        <f ca="1">+$W199-XOffset</f>
        <v>0</v>
      </c>
    </row>
    <row r="200" spans="8:29" s="213" customFormat="1" ht="9" customHeight="1">
      <c r="H200" s="212"/>
      <c r="I200" s="212"/>
      <c r="S200" s="307"/>
      <c r="T200" s="226">
        <f t="shared" si="22"/>
        <v>197</v>
      </c>
      <c r="U200" s="224">
        <f t="shared" si="20"/>
        <v>0</v>
      </c>
      <c r="V200" s="225">
        <f t="shared" si="21"/>
        <v>0</v>
      </c>
      <c r="W200" s="217"/>
      <c r="X200" s="217"/>
      <c r="Y200" s="217"/>
      <c r="Z200" s="214"/>
      <c r="AA200" s="214"/>
      <c r="AB200" s="214"/>
      <c r="AC200" s="214"/>
    </row>
    <row r="201" spans="8:29" s="213" customFormat="1" ht="9" customHeight="1">
      <c r="H201" s="212"/>
      <c r="I201" s="212"/>
      <c r="S201" s="307">
        <f>INT((T201-0)/6)+1</f>
        <v>34</v>
      </c>
      <c r="T201" s="226">
        <f t="shared" si="22"/>
        <v>198</v>
      </c>
      <c r="U201" s="224">
        <f t="shared" si="20"/>
        <v>1</v>
      </c>
      <c r="V201" s="225">
        <f t="shared" si="21"/>
        <v>0</v>
      </c>
      <c r="W201" s="233">
        <f ca="1">$U201*EWSpacingFt+XOffset+(PanArrayWidthHighEndFt-PanArrayWidthLowEndFt)/2</f>
        <v>30.000006832286932</v>
      </c>
      <c r="X201" s="234">
        <f ca="1">$V201*NSSpacingFt+YOffset+0</f>
        <v>0</v>
      </c>
      <c r="Y201" s="235">
        <f ca="1">+$V201*NSGradeFt+PedHeight+0</f>
        <v>7.401410761154855</v>
      </c>
      <c r="Z201" s="214">
        <f ca="1">+$W201</f>
        <v>30.000006832286932</v>
      </c>
      <c r="AA201" s="214">
        <f ca="1">+$Y201</f>
        <v>7.401410761154855</v>
      </c>
      <c r="AB201" s="214">
        <f ca="1">+$X201</f>
        <v>0</v>
      </c>
      <c r="AC201" s="214">
        <f ca="1">+$W201-XOffset</f>
        <v>30.000006832286932</v>
      </c>
    </row>
    <row r="202" spans="8:29" s="213" customFormat="1" ht="9" customHeight="1">
      <c r="H202" s="212"/>
      <c r="I202" s="212"/>
      <c r="S202" s="307"/>
      <c r="T202" s="226">
        <f t="shared" si="22"/>
        <v>199</v>
      </c>
      <c r="U202" s="224">
        <f t="shared" si="20"/>
        <v>1</v>
      </c>
      <c r="V202" s="225">
        <f t="shared" si="21"/>
        <v>0</v>
      </c>
      <c r="W202" s="236">
        <f ca="1">+$U202*EWSpacingFt+XOffset+PanArrayWidthHighEndFt-(PanArrayWidthHighEndFt-PanArrayWidthLowEndFt)/2</f>
        <v>40.802828354596642</v>
      </c>
      <c r="X202" s="240">
        <f ca="1">$V202*NSSpacingFt+YOffset+0</f>
        <v>0</v>
      </c>
      <c r="Y202" s="244">
        <f ca="1">+$V202*NSGradeFt+PedHeight+0</f>
        <v>7.401410761154855</v>
      </c>
      <c r="Z202" s="214">
        <f ca="1">+$W202</f>
        <v>40.802828354596642</v>
      </c>
      <c r="AA202" s="214">
        <f ca="1">+$Y202</f>
        <v>7.401410761154855</v>
      </c>
      <c r="AB202" s="214">
        <f ca="1">+$X202</f>
        <v>0</v>
      </c>
      <c r="AC202" s="214">
        <f ca="1">+$W202-XOffset</f>
        <v>40.802828354596642</v>
      </c>
    </row>
    <row r="203" spans="8:29" s="213" customFormat="1" ht="9" customHeight="1">
      <c r="H203" s="212"/>
      <c r="I203" s="212"/>
      <c r="S203" s="307"/>
      <c r="T203" s="226">
        <f t="shared" si="22"/>
        <v>200</v>
      </c>
      <c r="U203" s="224">
        <f t="shared" si="20"/>
        <v>1</v>
      </c>
      <c r="V203" s="225">
        <f t="shared" si="21"/>
        <v>0</v>
      </c>
      <c r="W203" s="237">
        <f ca="1">$U203*EWSpacingFt+XOffset+PanArrayWidthHighEndFt</f>
        <v>40.802828354596642</v>
      </c>
      <c r="X203" s="241">
        <f ca="1">$V203*NSSpacingFt+YOffset+PanArrayLenFt*COS(RADIANS(Latitude+DecAng))</f>
        <v>16.439632545931762</v>
      </c>
      <c r="Y203" s="245">
        <f ca="1">+$V203*NSGradeFt+PedHeight+PanArrayLenFt*SIN(RADIANS(Latitude+DecAng))</f>
        <v>7.401410761154855</v>
      </c>
      <c r="Z203" s="214">
        <f ca="1">+$W203</f>
        <v>40.802828354596642</v>
      </c>
      <c r="AA203" s="214">
        <f ca="1">+$Y203</f>
        <v>7.401410761154855</v>
      </c>
      <c r="AB203" s="214">
        <f ca="1">+$X203</f>
        <v>16.439632545931762</v>
      </c>
      <c r="AC203" s="214">
        <f ca="1">+$W203-XOffset</f>
        <v>40.802828354596642</v>
      </c>
    </row>
    <row r="204" spans="8:29" s="213" customFormat="1" ht="9" customHeight="1">
      <c r="H204" s="212"/>
      <c r="I204" s="212"/>
      <c r="S204" s="307"/>
      <c r="T204" s="226">
        <f t="shared" si="22"/>
        <v>201</v>
      </c>
      <c r="U204" s="224">
        <f t="shared" si="20"/>
        <v>1</v>
      </c>
      <c r="V204" s="225">
        <f t="shared" si="21"/>
        <v>0</v>
      </c>
      <c r="W204" s="238">
        <f ca="1">$U204*EWSpacingFt+XOffset+0</f>
        <v>30.000006832286932</v>
      </c>
      <c r="X204" s="242">
        <f ca="1">$V204*NSSpacingFt+YOffset+PanArrayLenFt*COS(RADIANS(Latitude+DecAng))</f>
        <v>16.439632545931762</v>
      </c>
      <c r="Y204" s="246">
        <f ca="1">+$V204*NSGradeFt+PedHeight+PanArrayLenFt*SIN(RADIANS(Latitude+DecAng))</f>
        <v>7.401410761154855</v>
      </c>
      <c r="Z204" s="214">
        <f ca="1">+$W204</f>
        <v>30.000006832286932</v>
      </c>
      <c r="AA204" s="214">
        <f ca="1">+$Y204</f>
        <v>7.401410761154855</v>
      </c>
      <c r="AB204" s="214">
        <f ca="1">+$X204</f>
        <v>16.439632545931762</v>
      </c>
      <c r="AC204" s="214">
        <f ca="1">+$W204-XOffset</f>
        <v>30.000006832286932</v>
      </c>
    </row>
    <row r="205" spans="8:29" s="213" customFormat="1" ht="9" customHeight="1">
      <c r="H205" s="212"/>
      <c r="I205" s="212"/>
      <c r="S205" s="307"/>
      <c r="T205" s="226">
        <f t="shared" si="22"/>
        <v>202</v>
      </c>
      <c r="U205" s="224">
        <f t="shared" si="20"/>
        <v>1</v>
      </c>
      <c r="V205" s="225">
        <f t="shared" si="21"/>
        <v>0</v>
      </c>
      <c r="W205" s="239">
        <f ca="1">$U205*EWSpacingFt+XOffset+(PanArrayWidthHighEndFt-PanArrayWidthLowEndFt)/2</f>
        <v>30.000006832286932</v>
      </c>
      <c r="X205" s="243">
        <f ca="1">$V205*NSSpacingFt+YOffset+0</f>
        <v>0</v>
      </c>
      <c r="Y205" s="247">
        <f ca="1">+$V205*NSGradeFt+PedHeight+0</f>
        <v>7.401410761154855</v>
      </c>
      <c r="Z205" s="214">
        <f ca="1">+$W205</f>
        <v>30.000006832286932</v>
      </c>
      <c r="AA205" s="214">
        <f ca="1">+$Y205</f>
        <v>7.401410761154855</v>
      </c>
      <c r="AB205" s="214">
        <f ca="1">+$X205</f>
        <v>0</v>
      </c>
      <c r="AC205" s="214">
        <f ca="1">+$W205-XOffset</f>
        <v>30.000006832286932</v>
      </c>
    </row>
    <row r="206" spans="8:29" s="213" customFormat="1" ht="9" customHeight="1">
      <c r="H206" s="212"/>
      <c r="I206" s="212"/>
      <c r="S206" s="307"/>
      <c r="T206" s="226">
        <f t="shared" si="22"/>
        <v>203</v>
      </c>
      <c r="U206" s="224">
        <f t="shared" si="20"/>
        <v>1</v>
      </c>
      <c r="V206" s="225">
        <f t="shared" si="21"/>
        <v>0</v>
      </c>
      <c r="W206" s="217"/>
      <c r="X206" s="217"/>
      <c r="Y206" s="217"/>
      <c r="Z206" s="214"/>
      <c r="AA206" s="214"/>
      <c r="AB206" s="214"/>
      <c r="AC206" s="214"/>
    </row>
    <row r="207" spans="8:29" s="213" customFormat="1" ht="9" customHeight="1">
      <c r="H207" s="212"/>
      <c r="I207" s="212"/>
      <c r="S207" s="307">
        <f>INT((T207-0)/6)+1</f>
        <v>35</v>
      </c>
      <c r="T207" s="226">
        <f t="shared" si="22"/>
        <v>204</v>
      </c>
      <c r="U207" s="224">
        <f t="shared" si="20"/>
        <v>0</v>
      </c>
      <c r="V207" s="225">
        <f t="shared" si="21"/>
        <v>1</v>
      </c>
      <c r="W207" s="233">
        <f ca="1">$U207*EWSpacingFt+XOffset+(PanArrayWidthHighEndFt-PanArrayWidthLowEndFt)/2</f>
        <v>0</v>
      </c>
      <c r="X207" s="234">
        <f ca="1">$V207*NSSpacingFt+YOffset+0</f>
        <v>17.999999999999989</v>
      </c>
      <c r="Y207" s="235">
        <f ca="1">+$V207*NSGradeFt+PedHeight+0</f>
        <v>7.401410761154855</v>
      </c>
      <c r="Z207" s="214">
        <f ca="1">+$W207</f>
        <v>0</v>
      </c>
      <c r="AA207" s="214">
        <f ca="1">+$Y207</f>
        <v>7.401410761154855</v>
      </c>
      <c r="AB207" s="214">
        <f ca="1">+$X207</f>
        <v>17.999999999999989</v>
      </c>
      <c r="AC207" s="214">
        <f ca="1">+$W207-XOffset</f>
        <v>0</v>
      </c>
    </row>
    <row r="208" spans="8:29" s="213" customFormat="1" ht="9" customHeight="1">
      <c r="H208" s="212"/>
      <c r="I208" s="212"/>
      <c r="S208" s="307"/>
      <c r="T208" s="226">
        <f t="shared" si="22"/>
        <v>205</v>
      </c>
      <c r="U208" s="224">
        <f t="shared" si="20"/>
        <v>0</v>
      </c>
      <c r="V208" s="225">
        <f t="shared" si="21"/>
        <v>1</v>
      </c>
      <c r="W208" s="236">
        <f ca="1">+$U208*EWSpacingFt+XOffset+PanArrayWidthHighEndFt-(PanArrayWidthHighEndFt-PanArrayWidthLowEndFt)/2</f>
        <v>10.80282152230971</v>
      </c>
      <c r="X208" s="240">
        <f ca="1">$V208*NSSpacingFt+YOffset+0</f>
        <v>17.999999999999989</v>
      </c>
      <c r="Y208" s="244">
        <f ca="1">+$V208*NSGradeFt+PedHeight+0</f>
        <v>7.401410761154855</v>
      </c>
      <c r="Z208" s="214">
        <f ca="1">+$W208</f>
        <v>10.80282152230971</v>
      </c>
      <c r="AA208" s="214">
        <f ca="1">+$Y208</f>
        <v>7.401410761154855</v>
      </c>
      <c r="AB208" s="214">
        <f ca="1">+$X208</f>
        <v>17.999999999999989</v>
      </c>
      <c r="AC208" s="214">
        <f ca="1">+$W208-XOffset</f>
        <v>10.80282152230971</v>
      </c>
    </row>
    <row r="209" spans="8:29" s="213" customFormat="1" ht="9" customHeight="1">
      <c r="H209" s="212"/>
      <c r="I209" s="212"/>
      <c r="S209" s="307"/>
      <c r="T209" s="226">
        <f t="shared" si="22"/>
        <v>206</v>
      </c>
      <c r="U209" s="224">
        <f t="shared" si="20"/>
        <v>0</v>
      </c>
      <c r="V209" s="225">
        <f t="shared" si="21"/>
        <v>1</v>
      </c>
      <c r="W209" s="237">
        <f ca="1">$U209*EWSpacingFt+XOffset+PanArrayWidthHighEndFt</f>
        <v>10.80282152230971</v>
      </c>
      <c r="X209" s="241">
        <f ca="1">$V209*NSSpacingFt+YOffset+PanArrayLenFt*COS(RADIANS(Latitude+DecAng))</f>
        <v>34.439632545931751</v>
      </c>
      <c r="Y209" s="245">
        <f ca="1">+$V209*NSGradeFt+PedHeight+PanArrayLenFt*SIN(RADIANS(Latitude+DecAng))</f>
        <v>7.401410761154855</v>
      </c>
      <c r="Z209" s="214">
        <f ca="1">+$W209</f>
        <v>10.80282152230971</v>
      </c>
      <c r="AA209" s="214">
        <f ca="1">+$Y209</f>
        <v>7.401410761154855</v>
      </c>
      <c r="AB209" s="214">
        <f ca="1">+$X209</f>
        <v>34.439632545931751</v>
      </c>
      <c r="AC209" s="214">
        <f ca="1">+$W209-XOffset</f>
        <v>10.80282152230971</v>
      </c>
    </row>
    <row r="210" spans="8:29" s="213" customFormat="1" ht="9" customHeight="1">
      <c r="H210" s="212"/>
      <c r="I210" s="212"/>
      <c r="S210" s="307"/>
      <c r="T210" s="226">
        <f t="shared" si="22"/>
        <v>207</v>
      </c>
      <c r="U210" s="224">
        <f t="shared" si="20"/>
        <v>0</v>
      </c>
      <c r="V210" s="225">
        <f t="shared" si="21"/>
        <v>1</v>
      </c>
      <c r="W210" s="238">
        <f ca="1">$U210*EWSpacingFt+XOffset+0</f>
        <v>0</v>
      </c>
      <c r="X210" s="242">
        <f ca="1">$V210*NSSpacingFt+YOffset+PanArrayLenFt*COS(RADIANS(Latitude+DecAng))</f>
        <v>34.439632545931751</v>
      </c>
      <c r="Y210" s="246">
        <f ca="1">+$V210*NSGradeFt+PedHeight+PanArrayLenFt*SIN(RADIANS(Latitude+DecAng))</f>
        <v>7.401410761154855</v>
      </c>
      <c r="Z210" s="214">
        <f ca="1">+$W210</f>
        <v>0</v>
      </c>
      <c r="AA210" s="214">
        <f ca="1">+$Y210</f>
        <v>7.401410761154855</v>
      </c>
      <c r="AB210" s="214">
        <f ca="1">+$X210</f>
        <v>34.439632545931751</v>
      </c>
      <c r="AC210" s="214">
        <f ca="1">+$W210-XOffset</f>
        <v>0</v>
      </c>
    </row>
    <row r="211" spans="8:29" s="213" customFormat="1" ht="9" customHeight="1">
      <c r="H211" s="212"/>
      <c r="I211" s="212"/>
      <c r="S211" s="307"/>
      <c r="T211" s="226">
        <f t="shared" si="22"/>
        <v>208</v>
      </c>
      <c r="U211" s="224">
        <f t="shared" si="20"/>
        <v>0</v>
      </c>
      <c r="V211" s="225">
        <f t="shared" si="21"/>
        <v>1</v>
      </c>
      <c r="W211" s="239">
        <f ca="1">$U211*EWSpacingFt+XOffset+(PanArrayWidthHighEndFt-PanArrayWidthLowEndFt)/2</f>
        <v>0</v>
      </c>
      <c r="X211" s="243">
        <f ca="1">$V211*NSSpacingFt+YOffset+0</f>
        <v>17.999999999999989</v>
      </c>
      <c r="Y211" s="247">
        <f ca="1">+$V211*NSGradeFt+PedHeight+0</f>
        <v>7.401410761154855</v>
      </c>
      <c r="Z211" s="214">
        <f ca="1">+$W211</f>
        <v>0</v>
      </c>
      <c r="AA211" s="214">
        <f ca="1">+$Y211</f>
        <v>7.401410761154855</v>
      </c>
      <c r="AB211" s="214">
        <f ca="1">+$X211</f>
        <v>17.999999999999989</v>
      </c>
      <c r="AC211" s="214">
        <f ca="1">+$W211-XOffset</f>
        <v>0</v>
      </c>
    </row>
    <row r="212" spans="8:29" s="213" customFormat="1" ht="9" customHeight="1">
      <c r="H212" s="212"/>
      <c r="I212" s="212"/>
      <c r="S212" s="307"/>
      <c r="T212" s="226">
        <f t="shared" si="22"/>
        <v>209</v>
      </c>
      <c r="U212" s="224">
        <f t="shared" si="20"/>
        <v>0</v>
      </c>
      <c r="V212" s="225">
        <f t="shared" si="21"/>
        <v>1</v>
      </c>
      <c r="W212" s="217"/>
      <c r="X212" s="217"/>
      <c r="Y212" s="217"/>
      <c r="Z212" s="214"/>
      <c r="AA212" s="214"/>
      <c r="AB212" s="214"/>
      <c r="AC212" s="214"/>
    </row>
    <row r="213" spans="8:29" s="213" customFormat="1" ht="9" customHeight="1">
      <c r="H213" s="212"/>
      <c r="I213" s="212"/>
      <c r="S213" s="307">
        <f>INT((T213-0)/6)+1</f>
        <v>36</v>
      </c>
      <c r="T213" s="226">
        <f t="shared" si="22"/>
        <v>210</v>
      </c>
      <c r="U213" s="224">
        <f t="shared" si="20"/>
        <v>1</v>
      </c>
      <c r="V213" s="225">
        <f t="shared" si="21"/>
        <v>1</v>
      </c>
      <c r="W213" s="233">
        <f ca="1">$U213*EWSpacingFt+XOffset+(PanArrayWidthHighEndFt-PanArrayWidthLowEndFt)/2</f>
        <v>30.000006832286932</v>
      </c>
      <c r="X213" s="234">
        <f ca="1">$V213*NSSpacingFt+YOffset+0</f>
        <v>17.999999999999989</v>
      </c>
      <c r="Y213" s="235">
        <f ca="1">+$V213*NSGradeFt+PedHeight+0</f>
        <v>7.401410761154855</v>
      </c>
      <c r="Z213" s="214">
        <f ca="1">+$W213</f>
        <v>30.000006832286932</v>
      </c>
      <c r="AA213" s="214">
        <f ca="1">+$Y213</f>
        <v>7.401410761154855</v>
      </c>
      <c r="AB213" s="214">
        <f ca="1">+$X213</f>
        <v>17.999999999999989</v>
      </c>
      <c r="AC213" s="214">
        <f ca="1">+$W213-XOffset</f>
        <v>30.000006832286932</v>
      </c>
    </row>
    <row r="214" spans="8:29" s="213" customFormat="1" ht="9" customHeight="1">
      <c r="H214" s="212"/>
      <c r="I214" s="212"/>
      <c r="S214" s="307"/>
      <c r="T214" s="226">
        <f t="shared" si="22"/>
        <v>211</v>
      </c>
      <c r="U214" s="224">
        <f t="shared" si="20"/>
        <v>1</v>
      </c>
      <c r="V214" s="225">
        <f t="shared" si="21"/>
        <v>1</v>
      </c>
      <c r="W214" s="236">
        <f ca="1">+$U214*EWSpacingFt+XOffset+PanArrayWidthHighEndFt-(PanArrayWidthHighEndFt-PanArrayWidthLowEndFt)/2</f>
        <v>40.802828354596642</v>
      </c>
      <c r="X214" s="240">
        <f ca="1">$V214*NSSpacingFt+YOffset+0</f>
        <v>17.999999999999989</v>
      </c>
      <c r="Y214" s="244">
        <f ca="1">+$V214*NSGradeFt+PedHeight+0</f>
        <v>7.401410761154855</v>
      </c>
      <c r="Z214" s="214">
        <f ca="1">+$W214</f>
        <v>40.802828354596642</v>
      </c>
      <c r="AA214" s="214">
        <f ca="1">+$Y214</f>
        <v>7.401410761154855</v>
      </c>
      <c r="AB214" s="214">
        <f ca="1">+$X214</f>
        <v>17.999999999999989</v>
      </c>
      <c r="AC214" s="214">
        <f ca="1">+$W214-XOffset</f>
        <v>40.802828354596642</v>
      </c>
    </row>
    <row r="215" spans="8:29" s="213" customFormat="1" ht="9" customHeight="1">
      <c r="H215" s="212"/>
      <c r="I215" s="212"/>
      <c r="S215" s="307"/>
      <c r="T215" s="226">
        <f t="shared" si="22"/>
        <v>212</v>
      </c>
      <c r="U215" s="224">
        <f t="shared" si="20"/>
        <v>1</v>
      </c>
      <c r="V215" s="225">
        <f t="shared" si="21"/>
        <v>1</v>
      </c>
      <c r="W215" s="237">
        <f ca="1">$U215*EWSpacingFt+XOffset+PanArrayWidthHighEndFt</f>
        <v>40.802828354596642</v>
      </c>
      <c r="X215" s="241">
        <f ca="1">$V215*NSSpacingFt+YOffset+PanArrayLenFt*COS(RADIANS(Latitude+DecAng))</f>
        <v>34.439632545931751</v>
      </c>
      <c r="Y215" s="245">
        <f ca="1">+$V215*NSGradeFt+PedHeight+PanArrayLenFt*SIN(RADIANS(Latitude+DecAng))</f>
        <v>7.401410761154855</v>
      </c>
      <c r="Z215" s="214">
        <f ca="1">+$W215</f>
        <v>40.802828354596642</v>
      </c>
      <c r="AA215" s="214">
        <f ca="1">+$Y215</f>
        <v>7.401410761154855</v>
      </c>
      <c r="AB215" s="214">
        <f ca="1">+$X215</f>
        <v>34.439632545931751</v>
      </c>
      <c r="AC215" s="214">
        <f ca="1">+$W215-XOffset</f>
        <v>40.802828354596642</v>
      </c>
    </row>
    <row r="216" spans="8:29" s="213" customFormat="1" ht="9" customHeight="1">
      <c r="H216" s="212"/>
      <c r="I216" s="212"/>
      <c r="S216" s="307"/>
      <c r="T216" s="226">
        <f t="shared" si="22"/>
        <v>213</v>
      </c>
      <c r="U216" s="224">
        <f t="shared" si="20"/>
        <v>1</v>
      </c>
      <c r="V216" s="225">
        <f t="shared" si="21"/>
        <v>1</v>
      </c>
      <c r="W216" s="238">
        <f ca="1">$U216*EWSpacingFt+XOffset+0</f>
        <v>30.000006832286932</v>
      </c>
      <c r="X216" s="242">
        <f ca="1">$V216*NSSpacingFt+YOffset+PanArrayLenFt*COS(RADIANS(Latitude+DecAng))</f>
        <v>34.439632545931751</v>
      </c>
      <c r="Y216" s="246">
        <f ca="1">+$V216*NSGradeFt+PedHeight+PanArrayLenFt*SIN(RADIANS(Latitude+DecAng))</f>
        <v>7.401410761154855</v>
      </c>
      <c r="Z216" s="214">
        <f ca="1">+$W216</f>
        <v>30.000006832286932</v>
      </c>
      <c r="AA216" s="214">
        <f ca="1">+$Y216</f>
        <v>7.401410761154855</v>
      </c>
      <c r="AB216" s="214">
        <f ca="1">+$X216</f>
        <v>34.439632545931751</v>
      </c>
      <c r="AC216" s="214">
        <f ca="1">+$W216-XOffset</f>
        <v>30.000006832286932</v>
      </c>
    </row>
    <row r="217" spans="8:29" s="213" customFormat="1" ht="9" customHeight="1">
      <c r="H217" s="212"/>
      <c r="I217" s="212"/>
      <c r="S217" s="307"/>
      <c r="T217" s="226">
        <f t="shared" si="22"/>
        <v>214</v>
      </c>
      <c r="U217" s="224">
        <f t="shared" si="20"/>
        <v>1</v>
      </c>
      <c r="V217" s="225">
        <f t="shared" si="21"/>
        <v>1</v>
      </c>
      <c r="W217" s="239">
        <f ca="1">$U217*EWSpacingFt+XOffset+(PanArrayWidthHighEndFt-PanArrayWidthLowEndFt)/2</f>
        <v>30.000006832286932</v>
      </c>
      <c r="X217" s="243">
        <f ca="1">$V217*NSSpacingFt+YOffset+0</f>
        <v>17.999999999999989</v>
      </c>
      <c r="Y217" s="247">
        <f ca="1">+$V217*NSGradeFt+PedHeight+0</f>
        <v>7.401410761154855</v>
      </c>
      <c r="Z217" s="214">
        <f ca="1">+$W217</f>
        <v>30.000006832286932</v>
      </c>
      <c r="AA217" s="214">
        <f ca="1">+$Y217</f>
        <v>7.401410761154855</v>
      </c>
      <c r="AB217" s="214">
        <f ca="1">+$X217</f>
        <v>17.999999999999989</v>
      </c>
      <c r="AC217" s="214">
        <f ca="1">+$W217-XOffset</f>
        <v>30.000006832286932</v>
      </c>
    </row>
    <row r="218" spans="8:29" s="213" customFormat="1" ht="9" customHeight="1">
      <c r="H218" s="212"/>
      <c r="I218" s="212"/>
      <c r="S218" s="307"/>
      <c r="T218" s="226">
        <f t="shared" si="22"/>
        <v>215</v>
      </c>
      <c r="U218" s="224">
        <f t="shared" si="20"/>
        <v>1</v>
      </c>
      <c r="V218" s="225">
        <f t="shared" si="21"/>
        <v>1</v>
      </c>
      <c r="W218" s="217"/>
      <c r="X218" s="217"/>
      <c r="Y218" s="217"/>
      <c r="Z218" s="214"/>
      <c r="AA218" s="214"/>
      <c r="AB218" s="214"/>
      <c r="AC218" s="214"/>
    </row>
    <row r="219" spans="8:29" s="213" customFormat="1" ht="9" customHeight="1">
      <c r="H219" s="212"/>
      <c r="I219" s="212"/>
      <c r="S219" s="307">
        <f>INT((T219-0)/6)+1</f>
        <v>37</v>
      </c>
      <c r="T219" s="226">
        <f t="shared" si="22"/>
        <v>216</v>
      </c>
      <c r="U219" s="224">
        <f t="shared" si="20"/>
        <v>0</v>
      </c>
      <c r="V219" s="225">
        <f t="shared" si="21"/>
        <v>2</v>
      </c>
      <c r="W219" s="233">
        <f ca="1">$U219*EWSpacingFt+XOffset+(PanArrayWidthHighEndFt-PanArrayWidthLowEndFt)/2</f>
        <v>0</v>
      </c>
      <c r="X219" s="234">
        <f ca="1">$V219*NSSpacingFt+YOffset+0</f>
        <v>35.999999999999979</v>
      </c>
      <c r="Y219" s="235">
        <f ca="1">+$V219*NSGradeFt+PedHeight+0</f>
        <v>7.401410761154855</v>
      </c>
      <c r="Z219" s="214">
        <f ca="1">+$W219</f>
        <v>0</v>
      </c>
      <c r="AA219" s="214">
        <f ca="1">+$Y219</f>
        <v>7.401410761154855</v>
      </c>
      <c r="AB219" s="214">
        <f ca="1">+$X219</f>
        <v>35.999999999999979</v>
      </c>
      <c r="AC219" s="214">
        <f ca="1">+$W219-XOffset</f>
        <v>0</v>
      </c>
    </row>
    <row r="220" spans="8:29" s="213" customFormat="1" ht="9" customHeight="1">
      <c r="H220" s="212"/>
      <c r="I220" s="212"/>
      <c r="S220" s="307"/>
      <c r="T220" s="226">
        <f t="shared" si="22"/>
        <v>217</v>
      </c>
      <c r="U220" s="224">
        <f t="shared" si="20"/>
        <v>0</v>
      </c>
      <c r="V220" s="225">
        <f t="shared" si="21"/>
        <v>2</v>
      </c>
      <c r="W220" s="236">
        <f ca="1">+$U220*EWSpacingFt+XOffset+PanArrayWidthHighEndFt-(PanArrayWidthHighEndFt-PanArrayWidthLowEndFt)/2</f>
        <v>10.80282152230971</v>
      </c>
      <c r="X220" s="240">
        <f ca="1">$V220*NSSpacingFt+YOffset+0</f>
        <v>35.999999999999979</v>
      </c>
      <c r="Y220" s="244">
        <f ca="1">+$V220*NSGradeFt+PedHeight+0</f>
        <v>7.401410761154855</v>
      </c>
      <c r="Z220" s="214">
        <f ca="1">+$W220</f>
        <v>10.80282152230971</v>
      </c>
      <c r="AA220" s="214">
        <f ca="1">+$Y220</f>
        <v>7.401410761154855</v>
      </c>
      <c r="AB220" s="214">
        <f ca="1">+$X220</f>
        <v>35.999999999999979</v>
      </c>
      <c r="AC220" s="214">
        <f ca="1">+$W220-XOffset</f>
        <v>10.80282152230971</v>
      </c>
    </row>
    <row r="221" spans="8:29" s="213" customFormat="1" ht="9" customHeight="1">
      <c r="H221" s="212"/>
      <c r="I221" s="212"/>
      <c r="S221" s="307"/>
      <c r="T221" s="226">
        <f t="shared" si="22"/>
        <v>218</v>
      </c>
      <c r="U221" s="224">
        <f t="shared" si="20"/>
        <v>0</v>
      </c>
      <c r="V221" s="225">
        <f t="shared" si="21"/>
        <v>2</v>
      </c>
      <c r="W221" s="237">
        <f ca="1">$U221*EWSpacingFt+XOffset+PanArrayWidthHighEndFt</f>
        <v>10.80282152230971</v>
      </c>
      <c r="X221" s="241">
        <f ca="1">$V221*NSSpacingFt+YOffset+PanArrayLenFt*COS(RADIANS(Latitude+DecAng))</f>
        <v>52.439632545931744</v>
      </c>
      <c r="Y221" s="245">
        <f ca="1">+$V221*NSGradeFt+PedHeight+PanArrayLenFt*SIN(RADIANS(Latitude+DecAng))</f>
        <v>7.401410761154855</v>
      </c>
      <c r="Z221" s="214">
        <f ca="1">+$W221</f>
        <v>10.80282152230971</v>
      </c>
      <c r="AA221" s="214">
        <f ca="1">+$Y221</f>
        <v>7.401410761154855</v>
      </c>
      <c r="AB221" s="214">
        <f ca="1">+$X221</f>
        <v>52.439632545931744</v>
      </c>
      <c r="AC221" s="214">
        <f ca="1">+$W221-XOffset</f>
        <v>10.80282152230971</v>
      </c>
    </row>
    <row r="222" spans="8:29" s="213" customFormat="1" ht="9" customHeight="1">
      <c r="H222" s="212"/>
      <c r="I222" s="212"/>
      <c r="S222" s="307"/>
      <c r="T222" s="226">
        <f t="shared" si="22"/>
        <v>219</v>
      </c>
      <c r="U222" s="224">
        <f t="shared" si="20"/>
        <v>0</v>
      </c>
      <c r="V222" s="225">
        <f t="shared" si="21"/>
        <v>2</v>
      </c>
      <c r="W222" s="238">
        <f ca="1">$U222*EWSpacingFt+XOffset+0</f>
        <v>0</v>
      </c>
      <c r="X222" s="242">
        <f ca="1">$V222*NSSpacingFt+YOffset+PanArrayLenFt*COS(RADIANS(Latitude+DecAng))</f>
        <v>52.439632545931744</v>
      </c>
      <c r="Y222" s="246">
        <f ca="1">+$V222*NSGradeFt+PedHeight+PanArrayLenFt*SIN(RADIANS(Latitude+DecAng))</f>
        <v>7.401410761154855</v>
      </c>
      <c r="Z222" s="214">
        <f ca="1">+$W222</f>
        <v>0</v>
      </c>
      <c r="AA222" s="214">
        <f ca="1">+$Y222</f>
        <v>7.401410761154855</v>
      </c>
      <c r="AB222" s="214">
        <f ca="1">+$X222</f>
        <v>52.439632545931744</v>
      </c>
      <c r="AC222" s="214">
        <f ca="1">+$W222-XOffset</f>
        <v>0</v>
      </c>
    </row>
    <row r="223" spans="8:29" s="213" customFormat="1" ht="9" customHeight="1">
      <c r="H223" s="212"/>
      <c r="I223" s="212"/>
      <c r="S223" s="307"/>
      <c r="T223" s="226">
        <f t="shared" si="22"/>
        <v>220</v>
      </c>
      <c r="U223" s="224">
        <f t="shared" si="20"/>
        <v>0</v>
      </c>
      <c r="V223" s="225">
        <f t="shared" si="21"/>
        <v>2</v>
      </c>
      <c r="W223" s="239">
        <f ca="1">$U223*EWSpacingFt+XOffset+(PanArrayWidthHighEndFt-PanArrayWidthLowEndFt)/2</f>
        <v>0</v>
      </c>
      <c r="X223" s="243">
        <f ca="1">$V223*NSSpacingFt+YOffset+0</f>
        <v>35.999999999999979</v>
      </c>
      <c r="Y223" s="247">
        <f ca="1">+$V223*NSGradeFt+PedHeight+0</f>
        <v>7.401410761154855</v>
      </c>
      <c r="Z223" s="214">
        <f ca="1">+$W223</f>
        <v>0</v>
      </c>
      <c r="AA223" s="214">
        <f ca="1">+$Y223</f>
        <v>7.401410761154855</v>
      </c>
      <c r="AB223" s="214">
        <f ca="1">+$X223</f>
        <v>35.999999999999979</v>
      </c>
      <c r="AC223" s="214">
        <f ca="1">+$W223-XOffset</f>
        <v>0</v>
      </c>
    </row>
    <row r="224" spans="8:29" s="213" customFormat="1" ht="9" customHeight="1">
      <c r="H224" s="212"/>
      <c r="I224" s="212"/>
      <c r="S224" s="307"/>
      <c r="T224" s="226">
        <f t="shared" si="22"/>
        <v>221</v>
      </c>
      <c r="U224" s="224">
        <f t="shared" si="20"/>
        <v>0</v>
      </c>
      <c r="V224" s="225">
        <f t="shared" si="21"/>
        <v>2</v>
      </c>
      <c r="W224" s="217"/>
      <c r="X224" s="217"/>
      <c r="Y224" s="217"/>
      <c r="Z224" s="214"/>
      <c r="AA224" s="214"/>
      <c r="AB224" s="214"/>
      <c r="AC224" s="214"/>
    </row>
    <row r="225" spans="8:29" s="213" customFormat="1" ht="9" customHeight="1">
      <c r="H225" s="212"/>
      <c r="I225" s="212"/>
      <c r="S225" s="307">
        <f>INT((T225-0)/6)+1</f>
        <v>38</v>
      </c>
      <c r="T225" s="226">
        <f t="shared" si="22"/>
        <v>222</v>
      </c>
      <c r="U225" s="224">
        <f t="shared" si="20"/>
        <v>1</v>
      </c>
      <c r="V225" s="225">
        <f t="shared" si="21"/>
        <v>2</v>
      </c>
      <c r="W225" s="233">
        <f ca="1">$U225*EWSpacingFt+XOffset+(PanArrayWidthHighEndFt-PanArrayWidthLowEndFt)/2</f>
        <v>30.000006832286932</v>
      </c>
      <c r="X225" s="234">
        <f ca="1">$V225*NSSpacingFt+YOffset+0</f>
        <v>35.999999999999979</v>
      </c>
      <c r="Y225" s="235">
        <f ca="1">+$V225*NSGradeFt+PedHeight+0</f>
        <v>7.401410761154855</v>
      </c>
      <c r="Z225" s="214">
        <f ca="1">+$W225</f>
        <v>30.000006832286932</v>
      </c>
      <c r="AA225" s="214">
        <f ca="1">+$Y225</f>
        <v>7.401410761154855</v>
      </c>
      <c r="AB225" s="214">
        <f ca="1">+$X225</f>
        <v>35.999999999999979</v>
      </c>
      <c r="AC225" s="214">
        <f ca="1">+$W225-XOffset</f>
        <v>30.000006832286932</v>
      </c>
    </row>
    <row r="226" spans="8:29" s="213" customFormat="1" ht="9" customHeight="1">
      <c r="H226" s="212"/>
      <c r="I226" s="212"/>
      <c r="S226" s="307"/>
      <c r="T226" s="226">
        <f t="shared" si="22"/>
        <v>223</v>
      </c>
      <c r="U226" s="224">
        <f t="shared" si="20"/>
        <v>1</v>
      </c>
      <c r="V226" s="225">
        <f t="shared" si="21"/>
        <v>2</v>
      </c>
      <c r="W226" s="236">
        <f ca="1">+$U226*EWSpacingFt+XOffset+PanArrayWidthHighEndFt-(PanArrayWidthHighEndFt-PanArrayWidthLowEndFt)/2</f>
        <v>40.802828354596642</v>
      </c>
      <c r="X226" s="240">
        <f ca="1">$V226*NSSpacingFt+YOffset+0</f>
        <v>35.999999999999979</v>
      </c>
      <c r="Y226" s="244">
        <f ca="1">+$V226*NSGradeFt+PedHeight+0</f>
        <v>7.401410761154855</v>
      </c>
      <c r="Z226" s="214">
        <f ca="1">+$W226</f>
        <v>40.802828354596642</v>
      </c>
      <c r="AA226" s="214">
        <f ca="1">+$Y226</f>
        <v>7.401410761154855</v>
      </c>
      <c r="AB226" s="214">
        <f ca="1">+$X226</f>
        <v>35.999999999999979</v>
      </c>
      <c r="AC226" s="214">
        <f ca="1">+$W226-XOffset</f>
        <v>40.802828354596642</v>
      </c>
    </row>
    <row r="227" spans="8:29" s="213" customFormat="1" ht="9" customHeight="1">
      <c r="H227" s="212"/>
      <c r="I227" s="212"/>
      <c r="S227" s="307"/>
      <c r="T227" s="226">
        <f t="shared" si="22"/>
        <v>224</v>
      </c>
      <c r="U227" s="224">
        <f t="shared" si="20"/>
        <v>1</v>
      </c>
      <c r="V227" s="225">
        <f t="shared" si="21"/>
        <v>2</v>
      </c>
      <c r="W227" s="237">
        <f ca="1">$U227*EWSpacingFt+XOffset+PanArrayWidthHighEndFt</f>
        <v>40.802828354596642</v>
      </c>
      <c r="X227" s="241">
        <f ca="1">$V227*NSSpacingFt+YOffset+PanArrayLenFt*COS(RADIANS(Latitude+DecAng))</f>
        <v>52.439632545931744</v>
      </c>
      <c r="Y227" s="245">
        <f ca="1">+$V227*NSGradeFt+PedHeight+PanArrayLenFt*SIN(RADIANS(Latitude+DecAng))</f>
        <v>7.401410761154855</v>
      </c>
      <c r="Z227" s="214">
        <f ca="1">+$W227</f>
        <v>40.802828354596642</v>
      </c>
      <c r="AA227" s="214">
        <f ca="1">+$Y227</f>
        <v>7.401410761154855</v>
      </c>
      <c r="AB227" s="214">
        <f ca="1">+$X227</f>
        <v>52.439632545931744</v>
      </c>
      <c r="AC227" s="214">
        <f ca="1">+$W227-XOffset</f>
        <v>40.802828354596642</v>
      </c>
    </row>
    <row r="228" spans="8:29" s="213" customFormat="1" ht="9" customHeight="1">
      <c r="H228" s="212"/>
      <c r="I228" s="212"/>
      <c r="S228" s="307"/>
      <c r="T228" s="226">
        <f t="shared" si="22"/>
        <v>225</v>
      </c>
      <c r="U228" s="224">
        <f t="shared" si="20"/>
        <v>1</v>
      </c>
      <c r="V228" s="225">
        <f t="shared" si="21"/>
        <v>2</v>
      </c>
      <c r="W228" s="238">
        <f ca="1">$U228*EWSpacingFt+XOffset+0</f>
        <v>30.000006832286932</v>
      </c>
      <c r="X228" s="242">
        <f ca="1">$V228*NSSpacingFt+YOffset+PanArrayLenFt*COS(RADIANS(Latitude+DecAng))</f>
        <v>52.439632545931744</v>
      </c>
      <c r="Y228" s="246">
        <f ca="1">+$V228*NSGradeFt+PedHeight+PanArrayLenFt*SIN(RADIANS(Latitude+DecAng))</f>
        <v>7.401410761154855</v>
      </c>
      <c r="Z228" s="214">
        <f ca="1">+$W228</f>
        <v>30.000006832286932</v>
      </c>
      <c r="AA228" s="214">
        <f ca="1">+$Y228</f>
        <v>7.401410761154855</v>
      </c>
      <c r="AB228" s="214">
        <f ca="1">+$X228</f>
        <v>52.439632545931744</v>
      </c>
      <c r="AC228" s="214">
        <f ca="1">+$W228-XOffset</f>
        <v>30.000006832286932</v>
      </c>
    </row>
    <row r="229" spans="8:29" s="213" customFormat="1" ht="9" customHeight="1">
      <c r="H229" s="212"/>
      <c r="I229" s="212"/>
      <c r="S229" s="307"/>
      <c r="T229" s="226">
        <f t="shared" si="22"/>
        <v>226</v>
      </c>
      <c r="U229" s="224">
        <f t="shared" si="20"/>
        <v>1</v>
      </c>
      <c r="V229" s="225">
        <f t="shared" si="21"/>
        <v>2</v>
      </c>
      <c r="W229" s="239">
        <f ca="1">$U229*EWSpacingFt+XOffset+(PanArrayWidthHighEndFt-PanArrayWidthLowEndFt)/2</f>
        <v>30.000006832286932</v>
      </c>
      <c r="X229" s="243">
        <f ca="1">$V229*NSSpacingFt+YOffset+0</f>
        <v>35.999999999999979</v>
      </c>
      <c r="Y229" s="247">
        <f ca="1">+$V229*NSGradeFt+PedHeight+0</f>
        <v>7.401410761154855</v>
      </c>
      <c r="Z229" s="214">
        <f ca="1">+$W229</f>
        <v>30.000006832286932</v>
      </c>
      <c r="AA229" s="214">
        <f ca="1">+$Y229</f>
        <v>7.401410761154855</v>
      </c>
      <c r="AB229" s="214">
        <f ca="1">+$X229</f>
        <v>35.999999999999979</v>
      </c>
      <c r="AC229" s="214">
        <f ca="1">+$W229-XOffset</f>
        <v>30.000006832286932</v>
      </c>
    </row>
    <row r="230" spans="8:29" s="213" customFormat="1" ht="9" customHeight="1">
      <c r="H230" s="212"/>
      <c r="I230" s="212"/>
      <c r="S230" s="307"/>
      <c r="T230" s="226">
        <f t="shared" si="22"/>
        <v>227</v>
      </c>
      <c r="U230" s="224">
        <f t="shared" si="20"/>
        <v>1</v>
      </c>
      <c r="V230" s="225">
        <f t="shared" si="21"/>
        <v>2</v>
      </c>
      <c r="W230" s="217"/>
      <c r="X230" s="217"/>
      <c r="Y230" s="217"/>
      <c r="Z230" s="214"/>
      <c r="AA230" s="214"/>
      <c r="AB230" s="214"/>
      <c r="AC230" s="214"/>
    </row>
    <row r="231" spans="8:29" s="213" customFormat="1" ht="9" customHeight="1">
      <c r="H231" s="212"/>
      <c r="I231" s="212"/>
      <c r="S231" s="307">
        <f>INT((T231-0)/6)+1</f>
        <v>39</v>
      </c>
      <c r="T231" s="226">
        <f t="shared" si="22"/>
        <v>228</v>
      </c>
      <c r="U231" s="224">
        <f t="shared" si="20"/>
        <v>0</v>
      </c>
      <c r="V231" s="225">
        <f t="shared" si="21"/>
        <v>3</v>
      </c>
      <c r="W231" s="233">
        <f ca="1">$U231*EWSpacingFt+XOffset+(PanArrayWidthHighEndFt-PanArrayWidthLowEndFt)/2</f>
        <v>0</v>
      </c>
      <c r="X231" s="234">
        <f ca="1">$V231*NSSpacingFt+YOffset+0</f>
        <v>53.999999999999972</v>
      </c>
      <c r="Y231" s="235">
        <f ca="1">+$V231*NSGradeFt+PedHeight+0</f>
        <v>7.401410761154855</v>
      </c>
      <c r="Z231" s="214">
        <f ca="1">+$W231</f>
        <v>0</v>
      </c>
      <c r="AA231" s="214">
        <f ca="1">+$Y231</f>
        <v>7.401410761154855</v>
      </c>
      <c r="AB231" s="214">
        <f ca="1">+$X231</f>
        <v>53.999999999999972</v>
      </c>
      <c r="AC231" s="214">
        <f ca="1">+$W231-XOffset</f>
        <v>0</v>
      </c>
    </row>
    <row r="232" spans="8:29" s="213" customFormat="1" ht="9" customHeight="1">
      <c r="H232" s="212"/>
      <c r="I232" s="212"/>
      <c r="S232" s="307"/>
      <c r="T232" s="226">
        <f t="shared" si="22"/>
        <v>229</v>
      </c>
      <c r="U232" s="224">
        <f t="shared" si="20"/>
        <v>0</v>
      </c>
      <c r="V232" s="225">
        <f t="shared" si="21"/>
        <v>3</v>
      </c>
      <c r="W232" s="236">
        <f ca="1">+$U232*EWSpacingFt+XOffset+PanArrayWidthHighEndFt-(PanArrayWidthHighEndFt-PanArrayWidthLowEndFt)/2</f>
        <v>10.80282152230971</v>
      </c>
      <c r="X232" s="240">
        <f ca="1">$V232*NSSpacingFt+YOffset+0</f>
        <v>53.999999999999972</v>
      </c>
      <c r="Y232" s="244">
        <f ca="1">+$V232*NSGradeFt+PedHeight+0</f>
        <v>7.401410761154855</v>
      </c>
      <c r="Z232" s="214">
        <f ca="1">+$W232</f>
        <v>10.80282152230971</v>
      </c>
      <c r="AA232" s="214">
        <f ca="1">+$Y232</f>
        <v>7.401410761154855</v>
      </c>
      <c r="AB232" s="214">
        <f ca="1">+$X232</f>
        <v>53.999999999999972</v>
      </c>
      <c r="AC232" s="214">
        <f ca="1">+$W232-XOffset</f>
        <v>10.80282152230971</v>
      </c>
    </row>
    <row r="233" spans="8:29" s="213" customFormat="1" ht="9" customHeight="1">
      <c r="H233" s="212"/>
      <c r="I233" s="212"/>
      <c r="S233" s="307"/>
      <c r="T233" s="226">
        <f t="shared" si="22"/>
        <v>230</v>
      </c>
      <c r="U233" s="224">
        <f t="shared" si="20"/>
        <v>0</v>
      </c>
      <c r="V233" s="225">
        <f t="shared" si="21"/>
        <v>3</v>
      </c>
      <c r="W233" s="237">
        <f ca="1">$U233*EWSpacingFt+XOffset+PanArrayWidthHighEndFt</f>
        <v>10.80282152230971</v>
      </c>
      <c r="X233" s="241">
        <f ca="1">$V233*NSSpacingFt+YOffset+PanArrayLenFt*COS(RADIANS(Latitude+DecAng))</f>
        <v>70.43963254593173</v>
      </c>
      <c r="Y233" s="245">
        <f ca="1">+$V233*NSGradeFt+PedHeight+PanArrayLenFt*SIN(RADIANS(Latitude+DecAng))</f>
        <v>7.401410761154855</v>
      </c>
      <c r="Z233" s="214">
        <f ca="1">+$W233</f>
        <v>10.80282152230971</v>
      </c>
      <c r="AA233" s="214">
        <f ca="1">+$Y233</f>
        <v>7.401410761154855</v>
      </c>
      <c r="AB233" s="214">
        <f ca="1">+$X233</f>
        <v>70.43963254593173</v>
      </c>
      <c r="AC233" s="214">
        <f ca="1">+$W233-XOffset</f>
        <v>10.80282152230971</v>
      </c>
    </row>
    <row r="234" spans="8:29" s="213" customFormat="1" ht="9" customHeight="1">
      <c r="H234" s="212"/>
      <c r="I234" s="212"/>
      <c r="S234" s="307"/>
      <c r="T234" s="226">
        <f t="shared" si="22"/>
        <v>231</v>
      </c>
      <c r="U234" s="224">
        <f t="shared" si="20"/>
        <v>0</v>
      </c>
      <c r="V234" s="225">
        <f t="shared" si="21"/>
        <v>3</v>
      </c>
      <c r="W234" s="238">
        <f ca="1">$U234*EWSpacingFt+XOffset+0</f>
        <v>0</v>
      </c>
      <c r="X234" s="242">
        <f ca="1">$V234*NSSpacingFt+YOffset+PanArrayLenFt*COS(RADIANS(Latitude+DecAng))</f>
        <v>70.43963254593173</v>
      </c>
      <c r="Y234" s="246">
        <f ca="1">+$V234*NSGradeFt+PedHeight+PanArrayLenFt*SIN(RADIANS(Latitude+DecAng))</f>
        <v>7.401410761154855</v>
      </c>
      <c r="Z234" s="214">
        <f ca="1">+$W234</f>
        <v>0</v>
      </c>
      <c r="AA234" s="214">
        <f ca="1">+$Y234</f>
        <v>7.401410761154855</v>
      </c>
      <c r="AB234" s="214">
        <f ca="1">+$X234</f>
        <v>70.43963254593173</v>
      </c>
      <c r="AC234" s="214">
        <f ca="1">+$W234-XOffset</f>
        <v>0</v>
      </c>
    </row>
    <row r="235" spans="8:29" s="213" customFormat="1" ht="9" customHeight="1">
      <c r="H235" s="212"/>
      <c r="I235" s="212"/>
      <c r="S235" s="307"/>
      <c r="T235" s="226">
        <f t="shared" si="22"/>
        <v>232</v>
      </c>
      <c r="U235" s="224">
        <f t="shared" si="20"/>
        <v>0</v>
      </c>
      <c r="V235" s="225">
        <f t="shared" si="21"/>
        <v>3</v>
      </c>
      <c r="W235" s="239">
        <f ca="1">$U235*EWSpacingFt+XOffset+(PanArrayWidthHighEndFt-PanArrayWidthLowEndFt)/2</f>
        <v>0</v>
      </c>
      <c r="X235" s="243">
        <f ca="1">$V235*NSSpacingFt+YOffset+0</f>
        <v>53.999999999999972</v>
      </c>
      <c r="Y235" s="247">
        <f ca="1">+$V235*NSGradeFt+PedHeight+0</f>
        <v>7.401410761154855</v>
      </c>
      <c r="Z235" s="214">
        <f ca="1">+$W235</f>
        <v>0</v>
      </c>
      <c r="AA235" s="214">
        <f ca="1">+$Y235</f>
        <v>7.401410761154855</v>
      </c>
      <c r="AB235" s="214">
        <f ca="1">+$X235</f>
        <v>53.999999999999972</v>
      </c>
      <c r="AC235" s="214">
        <f ca="1">+$W235-XOffset</f>
        <v>0</v>
      </c>
    </row>
    <row r="236" spans="8:29" s="213" customFormat="1" ht="9" customHeight="1">
      <c r="H236" s="212"/>
      <c r="I236" s="212"/>
      <c r="S236" s="307"/>
      <c r="T236" s="226">
        <f t="shared" si="22"/>
        <v>233</v>
      </c>
      <c r="U236" s="224">
        <f t="shared" si="20"/>
        <v>0</v>
      </c>
      <c r="V236" s="225">
        <f t="shared" si="21"/>
        <v>3</v>
      </c>
      <c r="W236" s="217"/>
      <c r="X236" s="217"/>
      <c r="Y236" s="217"/>
      <c r="Z236" s="214"/>
      <c r="AA236" s="214"/>
      <c r="AB236" s="214"/>
      <c r="AC236" s="214"/>
    </row>
    <row r="237" spans="8:29" s="213" customFormat="1" ht="9" customHeight="1">
      <c r="H237" s="212"/>
      <c r="I237" s="212"/>
      <c r="S237" s="307">
        <f>INT((T237-0)/6)+1</f>
        <v>40</v>
      </c>
      <c r="T237" s="226">
        <f t="shared" si="22"/>
        <v>234</v>
      </c>
      <c r="U237" s="224">
        <f t="shared" si="20"/>
        <v>1</v>
      </c>
      <c r="V237" s="225">
        <f t="shared" si="21"/>
        <v>3</v>
      </c>
      <c r="W237" s="233">
        <f ca="1">$U237*EWSpacingFt+XOffset+(PanArrayWidthHighEndFt-PanArrayWidthLowEndFt)/2</f>
        <v>30.000006832286932</v>
      </c>
      <c r="X237" s="234">
        <f ca="1">$V237*NSSpacingFt+YOffset+0</f>
        <v>53.999999999999972</v>
      </c>
      <c r="Y237" s="235">
        <f ca="1">+$V237*NSGradeFt+PedHeight+0</f>
        <v>7.401410761154855</v>
      </c>
      <c r="Z237" s="214">
        <f ca="1">+$W237</f>
        <v>30.000006832286932</v>
      </c>
      <c r="AA237" s="214">
        <f ca="1">+$Y237</f>
        <v>7.401410761154855</v>
      </c>
      <c r="AB237" s="214">
        <f ca="1">+$X237</f>
        <v>53.999999999999972</v>
      </c>
      <c r="AC237" s="214">
        <f ca="1">+$W237-XOffset</f>
        <v>30.000006832286932</v>
      </c>
    </row>
    <row r="238" spans="8:29" s="213" customFormat="1" ht="9" customHeight="1">
      <c r="H238" s="212"/>
      <c r="I238" s="212"/>
      <c r="S238" s="307"/>
      <c r="T238" s="226">
        <f t="shared" si="22"/>
        <v>235</v>
      </c>
      <c r="U238" s="224">
        <f t="shared" si="20"/>
        <v>1</v>
      </c>
      <c r="V238" s="225">
        <f t="shared" si="21"/>
        <v>3</v>
      </c>
      <c r="W238" s="236">
        <f ca="1">+$U238*EWSpacingFt+XOffset+PanArrayWidthHighEndFt-(PanArrayWidthHighEndFt-PanArrayWidthLowEndFt)/2</f>
        <v>40.802828354596642</v>
      </c>
      <c r="X238" s="240">
        <f ca="1">$V238*NSSpacingFt+YOffset+0</f>
        <v>53.999999999999972</v>
      </c>
      <c r="Y238" s="244">
        <f ca="1">+$V238*NSGradeFt+PedHeight+0</f>
        <v>7.401410761154855</v>
      </c>
      <c r="Z238" s="214">
        <f ca="1">+$W238</f>
        <v>40.802828354596642</v>
      </c>
      <c r="AA238" s="214">
        <f ca="1">+$Y238</f>
        <v>7.401410761154855</v>
      </c>
      <c r="AB238" s="214">
        <f ca="1">+$X238</f>
        <v>53.999999999999972</v>
      </c>
      <c r="AC238" s="214">
        <f ca="1">+$W238-XOffset</f>
        <v>40.802828354596642</v>
      </c>
    </row>
    <row r="239" spans="8:29" s="213" customFormat="1" ht="9" customHeight="1">
      <c r="H239" s="212"/>
      <c r="I239" s="212"/>
      <c r="S239" s="307"/>
      <c r="T239" s="226">
        <f t="shared" si="22"/>
        <v>236</v>
      </c>
      <c r="U239" s="224">
        <f t="shared" si="20"/>
        <v>1</v>
      </c>
      <c r="V239" s="225">
        <f t="shared" si="21"/>
        <v>3</v>
      </c>
      <c r="W239" s="237">
        <f ca="1">$U239*EWSpacingFt+XOffset+PanArrayWidthHighEndFt</f>
        <v>40.802828354596642</v>
      </c>
      <c r="X239" s="241">
        <f ca="1">$V239*NSSpacingFt+YOffset+PanArrayLenFt*COS(RADIANS(Latitude+DecAng))</f>
        <v>70.43963254593173</v>
      </c>
      <c r="Y239" s="245">
        <f ca="1">+$V239*NSGradeFt+PedHeight+PanArrayLenFt*SIN(RADIANS(Latitude+DecAng))</f>
        <v>7.401410761154855</v>
      </c>
      <c r="Z239" s="214">
        <f ca="1">+$W239</f>
        <v>40.802828354596642</v>
      </c>
      <c r="AA239" s="214">
        <f ca="1">+$Y239</f>
        <v>7.401410761154855</v>
      </c>
      <c r="AB239" s="214">
        <f ca="1">+$X239</f>
        <v>70.43963254593173</v>
      </c>
      <c r="AC239" s="214">
        <f ca="1">+$W239-XOffset</f>
        <v>40.802828354596642</v>
      </c>
    </row>
    <row r="240" spans="8:29" s="213" customFormat="1" ht="9" customHeight="1">
      <c r="H240" s="212"/>
      <c r="I240" s="212"/>
      <c r="S240" s="307"/>
      <c r="T240" s="226">
        <f t="shared" si="22"/>
        <v>237</v>
      </c>
      <c r="U240" s="224">
        <f t="shared" si="20"/>
        <v>1</v>
      </c>
      <c r="V240" s="225">
        <f t="shared" si="21"/>
        <v>3</v>
      </c>
      <c r="W240" s="238">
        <f ca="1">$U240*EWSpacingFt+XOffset+0</f>
        <v>30.000006832286932</v>
      </c>
      <c r="X240" s="242">
        <f ca="1">$V240*NSSpacingFt+YOffset+PanArrayLenFt*COS(RADIANS(Latitude+DecAng))</f>
        <v>70.43963254593173</v>
      </c>
      <c r="Y240" s="246">
        <f ca="1">+$V240*NSGradeFt+PedHeight+PanArrayLenFt*SIN(RADIANS(Latitude+DecAng))</f>
        <v>7.401410761154855</v>
      </c>
      <c r="Z240" s="214">
        <f ca="1">+$W240</f>
        <v>30.000006832286932</v>
      </c>
      <c r="AA240" s="214">
        <f ca="1">+$Y240</f>
        <v>7.401410761154855</v>
      </c>
      <c r="AB240" s="214">
        <f ca="1">+$X240</f>
        <v>70.43963254593173</v>
      </c>
      <c r="AC240" s="214">
        <f ca="1">+$W240-XOffset</f>
        <v>30.000006832286932</v>
      </c>
    </row>
    <row r="241" spans="8:29" s="213" customFormat="1" ht="9" customHeight="1">
      <c r="H241" s="212"/>
      <c r="I241" s="212"/>
      <c r="S241" s="307"/>
      <c r="T241" s="226">
        <f t="shared" si="22"/>
        <v>238</v>
      </c>
      <c r="U241" s="224">
        <f t="shared" si="20"/>
        <v>1</v>
      </c>
      <c r="V241" s="225">
        <f t="shared" si="21"/>
        <v>3</v>
      </c>
      <c r="W241" s="239">
        <f ca="1">$U241*EWSpacingFt+XOffset+(PanArrayWidthHighEndFt-PanArrayWidthLowEndFt)/2</f>
        <v>30.000006832286932</v>
      </c>
      <c r="X241" s="243">
        <f ca="1">$V241*NSSpacingFt+YOffset+0</f>
        <v>53.999999999999972</v>
      </c>
      <c r="Y241" s="247">
        <f ca="1">+$V241*NSGradeFt+PedHeight+0</f>
        <v>7.401410761154855</v>
      </c>
      <c r="Z241" s="214">
        <f ca="1">+$W241</f>
        <v>30.000006832286932</v>
      </c>
      <c r="AA241" s="214">
        <f ca="1">+$Y241</f>
        <v>7.401410761154855</v>
      </c>
      <c r="AB241" s="214">
        <f ca="1">+$X241</f>
        <v>53.999999999999972</v>
      </c>
      <c r="AC241" s="214">
        <f ca="1">+$W241-XOffset</f>
        <v>30.000006832286932</v>
      </c>
    </row>
    <row r="242" spans="8:29" s="213" customFormat="1" ht="9" customHeight="1">
      <c r="H242" s="212"/>
      <c r="I242" s="212"/>
      <c r="S242" s="307"/>
      <c r="T242" s="226">
        <f t="shared" si="22"/>
        <v>239</v>
      </c>
      <c r="U242" s="224">
        <f t="shared" si="20"/>
        <v>1</v>
      </c>
      <c r="V242" s="225">
        <f t="shared" si="21"/>
        <v>3</v>
      </c>
      <c r="W242" s="217"/>
      <c r="X242" s="217"/>
      <c r="Y242" s="217"/>
      <c r="Z242" s="214"/>
      <c r="AA242" s="214"/>
      <c r="AB242" s="214"/>
      <c r="AC242" s="214"/>
    </row>
    <row r="243" spans="8:29" s="213" customFormat="1" ht="9" customHeight="1">
      <c r="H243" s="212"/>
      <c r="I243" s="212"/>
      <c r="S243" s="307">
        <f>INT((T243-0)/6)+1</f>
        <v>41</v>
      </c>
      <c r="T243" s="226">
        <f t="shared" si="22"/>
        <v>240</v>
      </c>
      <c r="U243" s="224">
        <f t="shared" si="20"/>
        <v>0</v>
      </c>
      <c r="V243" s="225">
        <f t="shared" si="21"/>
        <v>0</v>
      </c>
      <c r="W243" s="233">
        <f ca="1">$U243*EWSpacingFt+XOffset+(PanArrayWidthHighEndFt-PanArrayWidthLowEndFt)/2</f>
        <v>0</v>
      </c>
      <c r="X243" s="234">
        <f ca="1">$V243*NSSpacingFt+YOffset+0</f>
        <v>0</v>
      </c>
      <c r="Y243" s="235">
        <f ca="1">+$V243*NSGradeFt+PedHeight+0</f>
        <v>7.401410761154855</v>
      </c>
      <c r="Z243" s="214">
        <f ca="1">+$W243</f>
        <v>0</v>
      </c>
      <c r="AA243" s="214">
        <f ca="1">+$Y243</f>
        <v>7.401410761154855</v>
      </c>
      <c r="AB243" s="214">
        <f ca="1">+$X243</f>
        <v>0</v>
      </c>
      <c r="AC243" s="214">
        <f ca="1">+$W243-XOffset</f>
        <v>0</v>
      </c>
    </row>
    <row r="244" spans="8:29" s="213" customFormat="1" ht="9" customHeight="1">
      <c r="H244" s="212"/>
      <c r="I244" s="212"/>
      <c r="S244" s="307"/>
      <c r="T244" s="226">
        <f t="shared" si="22"/>
        <v>241</v>
      </c>
      <c r="U244" s="224">
        <f t="shared" si="20"/>
        <v>0</v>
      </c>
      <c r="V244" s="225">
        <f t="shared" si="21"/>
        <v>0</v>
      </c>
      <c r="W244" s="236">
        <f ca="1">+$U244*EWSpacingFt+XOffset+PanArrayWidthHighEndFt-(PanArrayWidthHighEndFt-PanArrayWidthLowEndFt)/2</f>
        <v>10.80282152230971</v>
      </c>
      <c r="X244" s="240">
        <f ca="1">$V244*NSSpacingFt+YOffset+0</f>
        <v>0</v>
      </c>
      <c r="Y244" s="244">
        <f ca="1">+$V244*NSGradeFt+PedHeight+0</f>
        <v>7.401410761154855</v>
      </c>
      <c r="Z244" s="214">
        <f ca="1">+$W244</f>
        <v>10.80282152230971</v>
      </c>
      <c r="AA244" s="214">
        <f ca="1">+$Y244</f>
        <v>7.401410761154855</v>
      </c>
      <c r="AB244" s="214">
        <f ca="1">+$X244</f>
        <v>0</v>
      </c>
      <c r="AC244" s="214">
        <f ca="1">+$W244-XOffset</f>
        <v>10.80282152230971</v>
      </c>
    </row>
    <row r="245" spans="8:29" s="213" customFormat="1" ht="9" customHeight="1">
      <c r="H245" s="212"/>
      <c r="I245" s="212"/>
      <c r="S245" s="307"/>
      <c r="T245" s="226">
        <f t="shared" si="22"/>
        <v>242</v>
      </c>
      <c r="U245" s="224">
        <f t="shared" si="20"/>
        <v>0</v>
      </c>
      <c r="V245" s="225">
        <f t="shared" si="21"/>
        <v>0</v>
      </c>
      <c r="W245" s="237">
        <f ca="1">$U245*EWSpacingFt+XOffset+PanArrayWidthHighEndFt</f>
        <v>10.80282152230971</v>
      </c>
      <c r="X245" s="241">
        <f ca="1">$V245*NSSpacingFt+YOffset+PanArrayLenFt*COS(RADIANS(Latitude+DecAng))</f>
        <v>16.439632545931762</v>
      </c>
      <c r="Y245" s="245">
        <f ca="1">+$V245*NSGradeFt+PedHeight+PanArrayLenFt*SIN(RADIANS(Latitude+DecAng))</f>
        <v>7.401410761154855</v>
      </c>
      <c r="Z245" s="214">
        <f ca="1">+$W245</f>
        <v>10.80282152230971</v>
      </c>
      <c r="AA245" s="214">
        <f ca="1">+$Y245</f>
        <v>7.401410761154855</v>
      </c>
      <c r="AB245" s="214">
        <f ca="1">+$X245</f>
        <v>16.439632545931762</v>
      </c>
      <c r="AC245" s="214">
        <f ca="1">+$W245-XOffset</f>
        <v>10.80282152230971</v>
      </c>
    </row>
    <row r="246" spans="8:29" s="213" customFormat="1" ht="9" customHeight="1">
      <c r="H246" s="212"/>
      <c r="I246" s="212"/>
      <c r="S246" s="307"/>
      <c r="T246" s="226">
        <f t="shared" si="22"/>
        <v>243</v>
      </c>
      <c r="U246" s="224">
        <f t="shared" si="20"/>
        <v>0</v>
      </c>
      <c r="V246" s="225">
        <f t="shared" si="21"/>
        <v>0</v>
      </c>
      <c r="W246" s="238">
        <f ca="1">$U246*EWSpacingFt+XOffset+0</f>
        <v>0</v>
      </c>
      <c r="X246" s="242">
        <f ca="1">$V246*NSSpacingFt+YOffset+PanArrayLenFt*COS(RADIANS(Latitude+DecAng))</f>
        <v>16.439632545931762</v>
      </c>
      <c r="Y246" s="246">
        <f ca="1">+$V246*NSGradeFt+PedHeight+PanArrayLenFt*SIN(RADIANS(Latitude+DecAng))</f>
        <v>7.401410761154855</v>
      </c>
      <c r="Z246" s="214">
        <f ca="1">+$W246</f>
        <v>0</v>
      </c>
      <c r="AA246" s="214">
        <f ca="1">+$Y246</f>
        <v>7.401410761154855</v>
      </c>
      <c r="AB246" s="214">
        <f ca="1">+$X246</f>
        <v>16.439632545931762</v>
      </c>
      <c r="AC246" s="214">
        <f ca="1">+$W246-XOffset</f>
        <v>0</v>
      </c>
    </row>
    <row r="247" spans="8:29" s="213" customFormat="1" ht="9" customHeight="1">
      <c r="H247" s="212"/>
      <c r="I247" s="212"/>
      <c r="S247" s="307"/>
      <c r="T247" s="226">
        <f t="shared" si="22"/>
        <v>244</v>
      </c>
      <c r="U247" s="224">
        <f t="shared" si="20"/>
        <v>0</v>
      </c>
      <c r="V247" s="225">
        <f t="shared" si="21"/>
        <v>0</v>
      </c>
      <c r="W247" s="239">
        <f ca="1">$U247*EWSpacingFt+XOffset+(PanArrayWidthHighEndFt-PanArrayWidthLowEndFt)/2</f>
        <v>0</v>
      </c>
      <c r="X247" s="243">
        <f ca="1">$V247*NSSpacingFt+YOffset+0</f>
        <v>0</v>
      </c>
      <c r="Y247" s="247">
        <f ca="1">+$V247*NSGradeFt+PedHeight+0</f>
        <v>7.401410761154855</v>
      </c>
      <c r="Z247" s="214">
        <f ca="1">+$W247</f>
        <v>0</v>
      </c>
      <c r="AA247" s="214">
        <f ca="1">+$Y247</f>
        <v>7.401410761154855</v>
      </c>
      <c r="AB247" s="214">
        <f ca="1">+$X247</f>
        <v>0</v>
      </c>
      <c r="AC247" s="214">
        <f ca="1">+$W247-XOffset</f>
        <v>0</v>
      </c>
    </row>
    <row r="248" spans="8:29" s="213" customFormat="1" ht="9" customHeight="1">
      <c r="H248" s="212"/>
      <c r="I248" s="212"/>
      <c r="S248" s="307"/>
      <c r="T248" s="226">
        <f t="shared" si="22"/>
        <v>245</v>
      </c>
      <c r="U248" s="224">
        <f t="shared" si="20"/>
        <v>0</v>
      </c>
      <c r="V248" s="225">
        <f t="shared" si="21"/>
        <v>0</v>
      </c>
      <c r="W248" s="217"/>
      <c r="X248" s="217"/>
      <c r="Y248" s="217"/>
      <c r="Z248" s="214"/>
      <c r="AA248" s="214"/>
      <c r="AB248" s="214"/>
      <c r="AC248" s="214"/>
    </row>
    <row r="249" spans="8:29" s="213" customFormat="1" ht="9" customHeight="1">
      <c r="H249" s="212"/>
      <c r="I249" s="212"/>
      <c r="S249" s="307">
        <f>INT((T249-0)/6)+1</f>
        <v>42</v>
      </c>
      <c r="T249" s="226">
        <f t="shared" si="22"/>
        <v>246</v>
      </c>
      <c r="U249" s="224">
        <f t="shared" si="20"/>
        <v>1</v>
      </c>
      <c r="V249" s="225">
        <f t="shared" si="21"/>
        <v>0</v>
      </c>
      <c r="W249" s="233">
        <f ca="1">$U249*EWSpacingFt+XOffset+(PanArrayWidthHighEndFt-PanArrayWidthLowEndFt)/2</f>
        <v>30.000006832286932</v>
      </c>
      <c r="X249" s="234">
        <f ca="1">$V249*NSSpacingFt+YOffset+0</f>
        <v>0</v>
      </c>
      <c r="Y249" s="235">
        <f ca="1">+$V249*NSGradeFt+PedHeight+0</f>
        <v>7.401410761154855</v>
      </c>
      <c r="Z249" s="214">
        <f ca="1">+$W249</f>
        <v>30.000006832286932</v>
      </c>
      <c r="AA249" s="214">
        <f ca="1">+$Y249</f>
        <v>7.401410761154855</v>
      </c>
      <c r="AB249" s="214">
        <f ca="1">+$X249</f>
        <v>0</v>
      </c>
      <c r="AC249" s="214">
        <f ca="1">+$W249-XOffset</f>
        <v>30.000006832286932</v>
      </c>
    </row>
    <row r="250" spans="8:29" s="213" customFormat="1" ht="9" customHeight="1">
      <c r="H250" s="212"/>
      <c r="I250" s="212"/>
      <c r="S250" s="307"/>
      <c r="T250" s="226">
        <f t="shared" si="22"/>
        <v>247</v>
      </c>
      <c r="U250" s="224">
        <f t="shared" si="20"/>
        <v>1</v>
      </c>
      <c r="V250" s="225">
        <f t="shared" si="21"/>
        <v>0</v>
      </c>
      <c r="W250" s="236">
        <f ca="1">+$U250*EWSpacingFt+XOffset+PanArrayWidthHighEndFt-(PanArrayWidthHighEndFt-PanArrayWidthLowEndFt)/2</f>
        <v>40.802828354596642</v>
      </c>
      <c r="X250" s="240">
        <f ca="1">$V250*NSSpacingFt+YOffset+0</f>
        <v>0</v>
      </c>
      <c r="Y250" s="244">
        <f ca="1">+$V250*NSGradeFt+PedHeight+0</f>
        <v>7.401410761154855</v>
      </c>
      <c r="Z250" s="214">
        <f ca="1">+$W250</f>
        <v>40.802828354596642</v>
      </c>
      <c r="AA250" s="214">
        <f ca="1">+$Y250</f>
        <v>7.401410761154855</v>
      </c>
      <c r="AB250" s="214">
        <f ca="1">+$X250</f>
        <v>0</v>
      </c>
      <c r="AC250" s="214">
        <f ca="1">+$W250-XOffset</f>
        <v>40.802828354596642</v>
      </c>
    </row>
    <row r="251" spans="8:29" s="213" customFormat="1" ht="9" customHeight="1">
      <c r="H251" s="212"/>
      <c r="I251" s="212"/>
      <c r="S251" s="307"/>
      <c r="T251" s="226">
        <f t="shared" si="22"/>
        <v>248</v>
      </c>
      <c r="U251" s="224">
        <f t="shared" si="20"/>
        <v>1</v>
      </c>
      <c r="V251" s="225">
        <f t="shared" si="21"/>
        <v>0</v>
      </c>
      <c r="W251" s="237">
        <f ca="1">$U251*EWSpacingFt+XOffset+PanArrayWidthHighEndFt</f>
        <v>40.802828354596642</v>
      </c>
      <c r="X251" s="241">
        <f ca="1">$V251*NSSpacingFt+YOffset+PanArrayLenFt*COS(RADIANS(Latitude+DecAng))</f>
        <v>16.439632545931762</v>
      </c>
      <c r="Y251" s="245">
        <f ca="1">+$V251*NSGradeFt+PedHeight+PanArrayLenFt*SIN(RADIANS(Latitude+DecAng))</f>
        <v>7.401410761154855</v>
      </c>
      <c r="Z251" s="214">
        <f ca="1">+$W251</f>
        <v>40.802828354596642</v>
      </c>
      <c r="AA251" s="214">
        <f ca="1">+$Y251</f>
        <v>7.401410761154855</v>
      </c>
      <c r="AB251" s="214">
        <f ca="1">+$X251</f>
        <v>16.439632545931762</v>
      </c>
      <c r="AC251" s="214">
        <f ca="1">+$W251-XOffset</f>
        <v>40.802828354596642</v>
      </c>
    </row>
    <row r="252" spans="8:29" s="213" customFormat="1" ht="9" customHeight="1">
      <c r="H252" s="212"/>
      <c r="I252" s="212"/>
      <c r="S252" s="307"/>
      <c r="T252" s="226">
        <f t="shared" si="22"/>
        <v>249</v>
      </c>
      <c r="U252" s="224">
        <f t="shared" si="20"/>
        <v>1</v>
      </c>
      <c r="V252" s="225">
        <f t="shared" si="21"/>
        <v>0</v>
      </c>
      <c r="W252" s="238">
        <f ca="1">$U252*EWSpacingFt+XOffset+0</f>
        <v>30.000006832286932</v>
      </c>
      <c r="X252" s="242">
        <f ca="1">$V252*NSSpacingFt+YOffset+PanArrayLenFt*COS(RADIANS(Latitude+DecAng))</f>
        <v>16.439632545931762</v>
      </c>
      <c r="Y252" s="246">
        <f ca="1">+$V252*NSGradeFt+PedHeight+PanArrayLenFt*SIN(RADIANS(Latitude+DecAng))</f>
        <v>7.401410761154855</v>
      </c>
      <c r="Z252" s="214">
        <f ca="1">+$W252</f>
        <v>30.000006832286932</v>
      </c>
      <c r="AA252" s="214">
        <f ca="1">+$Y252</f>
        <v>7.401410761154855</v>
      </c>
      <c r="AB252" s="214">
        <f ca="1">+$X252</f>
        <v>16.439632545931762</v>
      </c>
      <c r="AC252" s="214">
        <f ca="1">+$W252-XOffset</f>
        <v>30.000006832286932</v>
      </c>
    </row>
    <row r="253" spans="8:29" s="213" customFormat="1" ht="9" customHeight="1">
      <c r="H253" s="212"/>
      <c r="I253" s="212"/>
      <c r="S253" s="307"/>
      <c r="T253" s="226">
        <f t="shared" si="22"/>
        <v>250</v>
      </c>
      <c r="U253" s="224">
        <f t="shared" si="20"/>
        <v>1</v>
      </c>
      <c r="V253" s="225">
        <f t="shared" si="21"/>
        <v>0</v>
      </c>
      <c r="W253" s="239">
        <f ca="1">$U253*EWSpacingFt+XOffset+(PanArrayWidthHighEndFt-PanArrayWidthLowEndFt)/2</f>
        <v>30.000006832286932</v>
      </c>
      <c r="X253" s="243">
        <f ca="1">$V253*NSSpacingFt+YOffset+0</f>
        <v>0</v>
      </c>
      <c r="Y253" s="247">
        <f ca="1">+$V253*NSGradeFt+PedHeight+0</f>
        <v>7.401410761154855</v>
      </c>
      <c r="Z253" s="214">
        <f ca="1">+$W253</f>
        <v>30.000006832286932</v>
      </c>
      <c r="AA253" s="214">
        <f ca="1">+$Y253</f>
        <v>7.401410761154855</v>
      </c>
      <c r="AB253" s="214">
        <f ca="1">+$X253</f>
        <v>0</v>
      </c>
      <c r="AC253" s="214">
        <f ca="1">+$W253-XOffset</f>
        <v>30.000006832286932</v>
      </c>
    </row>
    <row r="254" spans="8:29" s="213" customFormat="1" ht="9" customHeight="1">
      <c r="H254" s="212"/>
      <c r="I254" s="212"/>
      <c r="S254" s="307"/>
      <c r="T254" s="226">
        <f t="shared" si="22"/>
        <v>251</v>
      </c>
      <c r="U254" s="224">
        <f t="shared" si="20"/>
        <v>1</v>
      </c>
      <c r="V254" s="225">
        <f t="shared" si="21"/>
        <v>0</v>
      </c>
      <c r="W254" s="217"/>
      <c r="X254" s="217"/>
      <c r="Y254" s="217"/>
      <c r="Z254" s="214"/>
      <c r="AA254" s="214"/>
      <c r="AB254" s="214"/>
      <c r="AC254" s="214"/>
    </row>
    <row r="255" spans="8:29" s="213" customFormat="1" ht="9" customHeight="1">
      <c r="H255" s="212"/>
      <c r="I255" s="212"/>
      <c r="S255" s="307">
        <f>INT((T255-0)/6)+1</f>
        <v>43</v>
      </c>
      <c r="T255" s="226">
        <f t="shared" si="22"/>
        <v>252</v>
      </c>
      <c r="U255" s="224">
        <f t="shared" si="20"/>
        <v>0</v>
      </c>
      <c r="V255" s="225">
        <f t="shared" si="21"/>
        <v>1</v>
      </c>
      <c r="W255" s="233">
        <f ca="1">$U255*EWSpacingFt+XOffset+(PanArrayWidthHighEndFt-PanArrayWidthLowEndFt)/2</f>
        <v>0</v>
      </c>
      <c r="X255" s="234">
        <f ca="1">$V255*NSSpacingFt+YOffset+0</f>
        <v>17.999999999999989</v>
      </c>
      <c r="Y255" s="235">
        <f ca="1">+$V255*NSGradeFt+PedHeight+0</f>
        <v>7.401410761154855</v>
      </c>
      <c r="Z255" s="214">
        <f ca="1">+$W255</f>
        <v>0</v>
      </c>
      <c r="AA255" s="214">
        <f ca="1">+$Y255</f>
        <v>7.401410761154855</v>
      </c>
      <c r="AB255" s="214">
        <f ca="1">+$X255</f>
        <v>17.999999999999989</v>
      </c>
      <c r="AC255" s="214">
        <f ca="1">+$W255-XOffset</f>
        <v>0</v>
      </c>
    </row>
    <row r="256" spans="8:29" s="213" customFormat="1" ht="9" customHeight="1">
      <c r="H256" s="212"/>
      <c r="I256" s="212"/>
      <c r="S256" s="307"/>
      <c r="T256" s="226">
        <f t="shared" si="22"/>
        <v>253</v>
      </c>
      <c r="U256" s="224">
        <f t="shared" si="20"/>
        <v>0</v>
      </c>
      <c r="V256" s="225">
        <f t="shared" si="21"/>
        <v>1</v>
      </c>
      <c r="W256" s="236">
        <f ca="1">+$U256*EWSpacingFt+XOffset+PanArrayWidthHighEndFt-(PanArrayWidthHighEndFt-PanArrayWidthLowEndFt)/2</f>
        <v>10.80282152230971</v>
      </c>
      <c r="X256" s="240">
        <f ca="1">$V256*NSSpacingFt+YOffset+0</f>
        <v>17.999999999999989</v>
      </c>
      <c r="Y256" s="244">
        <f ca="1">+$V256*NSGradeFt+PedHeight+0</f>
        <v>7.401410761154855</v>
      </c>
      <c r="Z256" s="214">
        <f ca="1">+$W256</f>
        <v>10.80282152230971</v>
      </c>
      <c r="AA256" s="214">
        <f ca="1">+$Y256</f>
        <v>7.401410761154855</v>
      </c>
      <c r="AB256" s="214">
        <f ca="1">+$X256</f>
        <v>17.999999999999989</v>
      </c>
      <c r="AC256" s="214">
        <f ca="1">+$W256-XOffset</f>
        <v>10.80282152230971</v>
      </c>
    </row>
    <row r="257" spans="8:29" s="213" customFormat="1" ht="9" customHeight="1">
      <c r="H257" s="212"/>
      <c r="I257" s="212"/>
      <c r="S257" s="307"/>
      <c r="T257" s="226">
        <f t="shared" si="22"/>
        <v>254</v>
      </c>
      <c r="U257" s="224">
        <f t="shared" si="20"/>
        <v>0</v>
      </c>
      <c r="V257" s="225">
        <f t="shared" si="21"/>
        <v>1</v>
      </c>
      <c r="W257" s="237">
        <f ca="1">$U257*EWSpacingFt+XOffset+PanArrayWidthHighEndFt</f>
        <v>10.80282152230971</v>
      </c>
      <c r="X257" s="241">
        <f ca="1">$V257*NSSpacingFt+YOffset+PanArrayLenFt*COS(RADIANS(Latitude+DecAng))</f>
        <v>34.439632545931751</v>
      </c>
      <c r="Y257" s="245">
        <f ca="1">+$V257*NSGradeFt+PedHeight+PanArrayLenFt*SIN(RADIANS(Latitude+DecAng))</f>
        <v>7.401410761154855</v>
      </c>
      <c r="Z257" s="214">
        <f ca="1">+$W257</f>
        <v>10.80282152230971</v>
      </c>
      <c r="AA257" s="214">
        <f ca="1">+$Y257</f>
        <v>7.401410761154855</v>
      </c>
      <c r="AB257" s="214">
        <f ca="1">+$X257</f>
        <v>34.439632545931751</v>
      </c>
      <c r="AC257" s="214">
        <f ca="1">+$W257-XOffset</f>
        <v>10.80282152230971</v>
      </c>
    </row>
    <row r="258" spans="8:29" s="213" customFormat="1" ht="9" customHeight="1">
      <c r="H258" s="212"/>
      <c r="I258" s="212"/>
      <c r="S258" s="307"/>
      <c r="T258" s="226">
        <f t="shared" si="22"/>
        <v>255</v>
      </c>
      <c r="U258" s="224">
        <f t="shared" si="20"/>
        <v>0</v>
      </c>
      <c r="V258" s="225">
        <f t="shared" si="21"/>
        <v>1</v>
      </c>
      <c r="W258" s="238">
        <f ca="1">$U258*EWSpacingFt+XOffset+0</f>
        <v>0</v>
      </c>
      <c r="X258" s="242">
        <f ca="1">$V258*NSSpacingFt+YOffset+PanArrayLenFt*COS(RADIANS(Latitude+DecAng))</f>
        <v>34.439632545931751</v>
      </c>
      <c r="Y258" s="246">
        <f ca="1">+$V258*NSGradeFt+PedHeight+PanArrayLenFt*SIN(RADIANS(Latitude+DecAng))</f>
        <v>7.401410761154855</v>
      </c>
      <c r="Z258" s="214">
        <f ca="1">+$W258</f>
        <v>0</v>
      </c>
      <c r="AA258" s="214">
        <f ca="1">+$Y258</f>
        <v>7.401410761154855</v>
      </c>
      <c r="AB258" s="214">
        <f ca="1">+$X258</f>
        <v>34.439632545931751</v>
      </c>
      <c r="AC258" s="214">
        <f ca="1">+$W258-XOffset</f>
        <v>0</v>
      </c>
    </row>
    <row r="259" spans="8:29" s="213" customFormat="1" ht="9" customHeight="1">
      <c r="H259" s="212"/>
      <c r="I259" s="212"/>
      <c r="S259" s="307"/>
      <c r="T259" s="226">
        <f t="shared" si="22"/>
        <v>256</v>
      </c>
      <c r="U259" s="224">
        <f t="shared" ref="U259:U322" si="23">+MOD(INT(T259/6),ColumnsOfMounts)</f>
        <v>0</v>
      </c>
      <c r="V259" s="225">
        <f t="shared" ref="V259:V322" si="24">+MOD(INT(T259/6/ColumnsOfMounts),RowsOfMounts)</f>
        <v>1</v>
      </c>
      <c r="W259" s="239">
        <f ca="1">$U259*EWSpacingFt+XOffset+(PanArrayWidthHighEndFt-PanArrayWidthLowEndFt)/2</f>
        <v>0</v>
      </c>
      <c r="X259" s="243">
        <f ca="1">$V259*NSSpacingFt+YOffset+0</f>
        <v>17.999999999999989</v>
      </c>
      <c r="Y259" s="247">
        <f ca="1">+$V259*NSGradeFt+PedHeight+0</f>
        <v>7.401410761154855</v>
      </c>
      <c r="Z259" s="214">
        <f ca="1">+$W259</f>
        <v>0</v>
      </c>
      <c r="AA259" s="214">
        <f ca="1">+$Y259</f>
        <v>7.401410761154855</v>
      </c>
      <c r="AB259" s="214">
        <f ca="1">+$X259</f>
        <v>17.999999999999989</v>
      </c>
      <c r="AC259" s="214">
        <f ca="1">+$W259-XOffset</f>
        <v>0</v>
      </c>
    </row>
    <row r="260" spans="8:29" s="213" customFormat="1" ht="9" customHeight="1">
      <c r="H260" s="212"/>
      <c r="I260" s="212"/>
      <c r="S260" s="307"/>
      <c r="T260" s="226">
        <f t="shared" si="22"/>
        <v>257</v>
      </c>
      <c r="U260" s="224">
        <f t="shared" si="23"/>
        <v>0</v>
      </c>
      <c r="V260" s="225">
        <f t="shared" si="24"/>
        <v>1</v>
      </c>
      <c r="W260" s="217"/>
      <c r="X260" s="217"/>
      <c r="Y260" s="217"/>
      <c r="Z260" s="214"/>
      <c r="AA260" s="214"/>
      <c r="AB260" s="214"/>
      <c r="AC260" s="214"/>
    </row>
    <row r="261" spans="8:29" s="213" customFormat="1" ht="9" customHeight="1">
      <c r="H261" s="212"/>
      <c r="I261" s="212"/>
      <c r="S261" s="307">
        <f>INT((T261-0)/6)+1</f>
        <v>44</v>
      </c>
      <c r="T261" s="226">
        <f t="shared" ref="T261:T272" si="25">+T260+1</f>
        <v>258</v>
      </c>
      <c r="U261" s="224">
        <f t="shared" si="23"/>
        <v>1</v>
      </c>
      <c r="V261" s="225">
        <f t="shared" si="24"/>
        <v>1</v>
      </c>
      <c r="W261" s="233">
        <f ca="1">$U261*EWSpacingFt+XOffset+(PanArrayWidthHighEndFt-PanArrayWidthLowEndFt)/2</f>
        <v>30.000006832286932</v>
      </c>
      <c r="X261" s="234">
        <f ca="1">$V261*NSSpacingFt+YOffset+0</f>
        <v>17.999999999999989</v>
      </c>
      <c r="Y261" s="235">
        <f ca="1">+$V261*NSGradeFt+PedHeight+0</f>
        <v>7.401410761154855</v>
      </c>
      <c r="Z261" s="214">
        <f ca="1">+$W261</f>
        <v>30.000006832286932</v>
      </c>
      <c r="AA261" s="214">
        <f ca="1">+$Y261</f>
        <v>7.401410761154855</v>
      </c>
      <c r="AB261" s="214">
        <f ca="1">+$X261</f>
        <v>17.999999999999989</v>
      </c>
      <c r="AC261" s="214">
        <f ca="1">+$W261-XOffset</f>
        <v>30.000006832286932</v>
      </c>
    </row>
    <row r="262" spans="8:29" s="213" customFormat="1" ht="9" customHeight="1">
      <c r="H262" s="212"/>
      <c r="I262" s="212"/>
      <c r="S262" s="307"/>
      <c r="T262" s="226">
        <f t="shared" si="25"/>
        <v>259</v>
      </c>
      <c r="U262" s="224">
        <f t="shared" si="23"/>
        <v>1</v>
      </c>
      <c r="V262" s="225">
        <f t="shared" si="24"/>
        <v>1</v>
      </c>
      <c r="W262" s="236">
        <f ca="1">+$U262*EWSpacingFt+XOffset+PanArrayWidthHighEndFt-(PanArrayWidthHighEndFt-PanArrayWidthLowEndFt)/2</f>
        <v>40.802828354596642</v>
      </c>
      <c r="X262" s="240">
        <f ca="1">$V262*NSSpacingFt+YOffset+0</f>
        <v>17.999999999999989</v>
      </c>
      <c r="Y262" s="244">
        <f ca="1">+$V262*NSGradeFt+PedHeight+0</f>
        <v>7.401410761154855</v>
      </c>
      <c r="Z262" s="214">
        <f ca="1">+$W262</f>
        <v>40.802828354596642</v>
      </c>
      <c r="AA262" s="214">
        <f ca="1">+$Y262</f>
        <v>7.401410761154855</v>
      </c>
      <c r="AB262" s="214">
        <f ca="1">+$X262</f>
        <v>17.999999999999989</v>
      </c>
      <c r="AC262" s="214">
        <f ca="1">+$W262-XOffset</f>
        <v>40.802828354596642</v>
      </c>
    </row>
    <row r="263" spans="8:29" s="213" customFormat="1" ht="9" customHeight="1">
      <c r="H263" s="212"/>
      <c r="I263" s="212"/>
      <c r="S263" s="307"/>
      <c r="T263" s="226">
        <f t="shared" si="25"/>
        <v>260</v>
      </c>
      <c r="U263" s="224">
        <f t="shared" si="23"/>
        <v>1</v>
      </c>
      <c r="V263" s="225">
        <f t="shared" si="24"/>
        <v>1</v>
      </c>
      <c r="W263" s="237">
        <f ca="1">$U263*EWSpacingFt+XOffset+PanArrayWidthHighEndFt</f>
        <v>40.802828354596642</v>
      </c>
      <c r="X263" s="241">
        <f ca="1">$V263*NSSpacingFt+YOffset+PanArrayLenFt*COS(RADIANS(Latitude+DecAng))</f>
        <v>34.439632545931751</v>
      </c>
      <c r="Y263" s="245">
        <f ca="1">+$V263*NSGradeFt+PedHeight+PanArrayLenFt*SIN(RADIANS(Latitude+DecAng))</f>
        <v>7.401410761154855</v>
      </c>
      <c r="Z263" s="214">
        <f ca="1">+$W263</f>
        <v>40.802828354596642</v>
      </c>
      <c r="AA263" s="214">
        <f ca="1">+$Y263</f>
        <v>7.401410761154855</v>
      </c>
      <c r="AB263" s="214">
        <f ca="1">+$X263</f>
        <v>34.439632545931751</v>
      </c>
      <c r="AC263" s="214">
        <f ca="1">+$W263-XOffset</f>
        <v>40.802828354596642</v>
      </c>
    </row>
    <row r="264" spans="8:29" s="213" customFormat="1" ht="9" customHeight="1">
      <c r="H264" s="212"/>
      <c r="I264" s="212"/>
      <c r="S264" s="307"/>
      <c r="T264" s="226">
        <f t="shared" si="25"/>
        <v>261</v>
      </c>
      <c r="U264" s="224">
        <f t="shared" si="23"/>
        <v>1</v>
      </c>
      <c r="V264" s="225">
        <f t="shared" si="24"/>
        <v>1</v>
      </c>
      <c r="W264" s="238">
        <f ca="1">$U264*EWSpacingFt+XOffset+0</f>
        <v>30.000006832286932</v>
      </c>
      <c r="X264" s="242">
        <f ca="1">$V264*NSSpacingFt+YOffset+PanArrayLenFt*COS(RADIANS(Latitude+DecAng))</f>
        <v>34.439632545931751</v>
      </c>
      <c r="Y264" s="246">
        <f ca="1">+$V264*NSGradeFt+PedHeight+PanArrayLenFt*SIN(RADIANS(Latitude+DecAng))</f>
        <v>7.401410761154855</v>
      </c>
      <c r="Z264" s="214">
        <f ca="1">+$W264</f>
        <v>30.000006832286932</v>
      </c>
      <c r="AA264" s="214">
        <f ca="1">+$Y264</f>
        <v>7.401410761154855</v>
      </c>
      <c r="AB264" s="214">
        <f ca="1">+$X264</f>
        <v>34.439632545931751</v>
      </c>
      <c r="AC264" s="214">
        <f ca="1">+$W264-XOffset</f>
        <v>30.000006832286932</v>
      </c>
    </row>
    <row r="265" spans="8:29" s="213" customFormat="1" ht="9" customHeight="1">
      <c r="H265" s="212"/>
      <c r="I265" s="212"/>
      <c r="S265" s="307"/>
      <c r="T265" s="226">
        <f t="shared" si="25"/>
        <v>262</v>
      </c>
      <c r="U265" s="224">
        <f t="shared" si="23"/>
        <v>1</v>
      </c>
      <c r="V265" s="225">
        <f t="shared" si="24"/>
        <v>1</v>
      </c>
      <c r="W265" s="239">
        <f ca="1">$U265*EWSpacingFt+XOffset+(PanArrayWidthHighEndFt-PanArrayWidthLowEndFt)/2</f>
        <v>30.000006832286932</v>
      </c>
      <c r="X265" s="243">
        <f ca="1">$V265*NSSpacingFt+YOffset+0</f>
        <v>17.999999999999989</v>
      </c>
      <c r="Y265" s="247">
        <f ca="1">+$V265*NSGradeFt+PedHeight+0</f>
        <v>7.401410761154855</v>
      </c>
      <c r="Z265" s="214">
        <f ca="1">+$W265</f>
        <v>30.000006832286932</v>
      </c>
      <c r="AA265" s="214">
        <f ca="1">+$Y265</f>
        <v>7.401410761154855</v>
      </c>
      <c r="AB265" s="214">
        <f ca="1">+$X265</f>
        <v>17.999999999999989</v>
      </c>
      <c r="AC265" s="214">
        <f ca="1">+$W265-XOffset</f>
        <v>30.000006832286932</v>
      </c>
    </row>
    <row r="266" spans="8:29" s="213" customFormat="1" ht="9" customHeight="1">
      <c r="H266" s="212"/>
      <c r="I266" s="212"/>
      <c r="S266" s="307"/>
      <c r="T266" s="226">
        <f t="shared" si="25"/>
        <v>263</v>
      </c>
      <c r="U266" s="224">
        <f t="shared" si="23"/>
        <v>1</v>
      </c>
      <c r="V266" s="225">
        <f t="shared" si="24"/>
        <v>1</v>
      </c>
      <c r="W266" s="217"/>
      <c r="X266" s="217"/>
      <c r="Y266" s="217"/>
      <c r="Z266" s="214"/>
      <c r="AA266" s="214"/>
      <c r="AB266" s="214"/>
      <c r="AC266" s="214"/>
    </row>
    <row r="267" spans="8:29" s="213" customFormat="1" ht="9" customHeight="1">
      <c r="H267" s="212"/>
      <c r="I267" s="212"/>
      <c r="S267" s="307">
        <f>INT((T267-0)/6)+1</f>
        <v>45</v>
      </c>
      <c r="T267" s="226">
        <f t="shared" si="25"/>
        <v>264</v>
      </c>
      <c r="U267" s="224">
        <f t="shared" si="23"/>
        <v>0</v>
      </c>
      <c r="V267" s="225">
        <f t="shared" si="24"/>
        <v>2</v>
      </c>
      <c r="W267" s="233">
        <f ca="1">$U267*EWSpacingFt+XOffset+(PanArrayWidthHighEndFt-PanArrayWidthLowEndFt)/2</f>
        <v>0</v>
      </c>
      <c r="X267" s="234">
        <f ca="1">$V267*NSSpacingFt+YOffset+0</f>
        <v>35.999999999999979</v>
      </c>
      <c r="Y267" s="235">
        <f ca="1">+$V267*NSGradeFt+PedHeight+0</f>
        <v>7.401410761154855</v>
      </c>
      <c r="Z267" s="214">
        <f ca="1">+$W267</f>
        <v>0</v>
      </c>
      <c r="AA267" s="214">
        <f ca="1">+$Y267</f>
        <v>7.401410761154855</v>
      </c>
      <c r="AB267" s="214">
        <f ca="1">+$X267</f>
        <v>35.999999999999979</v>
      </c>
      <c r="AC267" s="214">
        <f ca="1">+$W267-XOffset</f>
        <v>0</v>
      </c>
    </row>
    <row r="268" spans="8:29" s="213" customFormat="1" ht="9" customHeight="1">
      <c r="H268" s="212"/>
      <c r="I268" s="212"/>
      <c r="S268" s="307"/>
      <c r="T268" s="226">
        <f t="shared" si="25"/>
        <v>265</v>
      </c>
      <c r="U268" s="224">
        <f t="shared" si="23"/>
        <v>0</v>
      </c>
      <c r="V268" s="225">
        <f t="shared" si="24"/>
        <v>2</v>
      </c>
      <c r="W268" s="236">
        <f ca="1">+$U268*EWSpacingFt+XOffset+PanArrayWidthHighEndFt-(PanArrayWidthHighEndFt-PanArrayWidthLowEndFt)/2</f>
        <v>10.80282152230971</v>
      </c>
      <c r="X268" s="240">
        <f ca="1">$V268*NSSpacingFt+YOffset+0</f>
        <v>35.999999999999979</v>
      </c>
      <c r="Y268" s="244">
        <f ca="1">+$V268*NSGradeFt+PedHeight+0</f>
        <v>7.401410761154855</v>
      </c>
      <c r="Z268" s="214">
        <f ca="1">+$W268</f>
        <v>10.80282152230971</v>
      </c>
      <c r="AA268" s="214">
        <f ca="1">+$Y268</f>
        <v>7.401410761154855</v>
      </c>
      <c r="AB268" s="214">
        <f ca="1">+$X268</f>
        <v>35.999999999999979</v>
      </c>
      <c r="AC268" s="214">
        <f ca="1">+$W268-XOffset</f>
        <v>10.80282152230971</v>
      </c>
    </row>
    <row r="269" spans="8:29" s="213" customFormat="1" ht="9" customHeight="1">
      <c r="H269" s="212"/>
      <c r="I269" s="212"/>
      <c r="S269" s="307"/>
      <c r="T269" s="226">
        <f t="shared" si="25"/>
        <v>266</v>
      </c>
      <c r="U269" s="224">
        <f t="shared" si="23"/>
        <v>0</v>
      </c>
      <c r="V269" s="225">
        <f t="shared" si="24"/>
        <v>2</v>
      </c>
      <c r="W269" s="237">
        <f ca="1">$U269*EWSpacingFt+XOffset+PanArrayWidthHighEndFt</f>
        <v>10.80282152230971</v>
      </c>
      <c r="X269" s="241">
        <f ca="1">$V269*NSSpacingFt+YOffset+PanArrayLenFt*COS(RADIANS(Latitude+DecAng))</f>
        <v>52.439632545931744</v>
      </c>
      <c r="Y269" s="245">
        <f ca="1">+$V269*NSGradeFt+PedHeight+PanArrayLenFt*SIN(RADIANS(Latitude+DecAng))</f>
        <v>7.401410761154855</v>
      </c>
      <c r="Z269" s="214">
        <f ca="1">+$W269</f>
        <v>10.80282152230971</v>
      </c>
      <c r="AA269" s="214">
        <f ca="1">+$Y269</f>
        <v>7.401410761154855</v>
      </c>
      <c r="AB269" s="214">
        <f ca="1">+$X269</f>
        <v>52.439632545931744</v>
      </c>
      <c r="AC269" s="214">
        <f ca="1">+$W269-XOffset</f>
        <v>10.80282152230971</v>
      </c>
    </row>
    <row r="270" spans="8:29" s="213" customFormat="1" ht="9" customHeight="1">
      <c r="H270" s="212"/>
      <c r="I270" s="212"/>
      <c r="S270" s="307"/>
      <c r="T270" s="226">
        <f t="shared" si="25"/>
        <v>267</v>
      </c>
      <c r="U270" s="224">
        <f t="shared" si="23"/>
        <v>0</v>
      </c>
      <c r="V270" s="225">
        <f t="shared" si="24"/>
        <v>2</v>
      </c>
      <c r="W270" s="238">
        <f ca="1">$U270*EWSpacingFt+XOffset+0</f>
        <v>0</v>
      </c>
      <c r="X270" s="242">
        <f ca="1">$V270*NSSpacingFt+YOffset+PanArrayLenFt*COS(RADIANS(Latitude+DecAng))</f>
        <v>52.439632545931744</v>
      </c>
      <c r="Y270" s="246">
        <f ca="1">+$V270*NSGradeFt+PedHeight+PanArrayLenFt*SIN(RADIANS(Latitude+DecAng))</f>
        <v>7.401410761154855</v>
      </c>
      <c r="Z270" s="214">
        <f ca="1">+$W270</f>
        <v>0</v>
      </c>
      <c r="AA270" s="214">
        <f ca="1">+$Y270</f>
        <v>7.401410761154855</v>
      </c>
      <c r="AB270" s="214">
        <f ca="1">+$X270</f>
        <v>52.439632545931744</v>
      </c>
      <c r="AC270" s="214">
        <f ca="1">+$W270-XOffset</f>
        <v>0</v>
      </c>
    </row>
    <row r="271" spans="8:29" s="213" customFormat="1" ht="9" customHeight="1">
      <c r="H271" s="212"/>
      <c r="I271" s="212"/>
      <c r="S271" s="307"/>
      <c r="T271" s="226">
        <f t="shared" si="25"/>
        <v>268</v>
      </c>
      <c r="U271" s="224">
        <f t="shared" si="23"/>
        <v>0</v>
      </c>
      <c r="V271" s="225">
        <f t="shared" si="24"/>
        <v>2</v>
      </c>
      <c r="W271" s="239">
        <f ca="1">$U271*EWSpacingFt+XOffset+(PanArrayWidthHighEndFt-PanArrayWidthLowEndFt)/2</f>
        <v>0</v>
      </c>
      <c r="X271" s="243">
        <f ca="1">$V271*NSSpacingFt+YOffset+0</f>
        <v>35.999999999999979</v>
      </c>
      <c r="Y271" s="247">
        <f ca="1">+$V271*NSGradeFt+PedHeight+0</f>
        <v>7.401410761154855</v>
      </c>
      <c r="Z271" s="214">
        <f ca="1">+$W271</f>
        <v>0</v>
      </c>
      <c r="AA271" s="214">
        <f ca="1">+$Y271</f>
        <v>7.401410761154855</v>
      </c>
      <c r="AB271" s="214">
        <f ca="1">+$X271</f>
        <v>35.999999999999979</v>
      </c>
      <c r="AC271" s="214">
        <f ca="1">+$W271-XOffset</f>
        <v>0</v>
      </c>
    </row>
    <row r="272" spans="8:29" s="213" customFormat="1" ht="9" customHeight="1">
      <c r="H272" s="212"/>
      <c r="I272" s="212"/>
      <c r="S272" s="307"/>
      <c r="T272" s="226">
        <f t="shared" si="25"/>
        <v>269</v>
      </c>
      <c r="U272" s="224">
        <f t="shared" si="23"/>
        <v>0</v>
      </c>
      <c r="V272" s="225">
        <f t="shared" si="24"/>
        <v>2</v>
      </c>
      <c r="W272" s="217"/>
      <c r="X272" s="217"/>
      <c r="Y272" s="217"/>
      <c r="Z272" s="214"/>
      <c r="AA272" s="214"/>
      <c r="AB272" s="214"/>
      <c r="AC272" s="214"/>
    </row>
    <row r="273" spans="8:29" s="213" customFormat="1" ht="9" customHeight="1">
      <c r="H273" s="212"/>
      <c r="I273" s="212"/>
      <c r="S273" s="307">
        <f>INT((T273-0)/6)+1</f>
        <v>46</v>
      </c>
      <c r="T273" s="226">
        <f t="shared" ref="T273:T336" si="26">+T272+1</f>
        <v>270</v>
      </c>
      <c r="U273" s="224">
        <f t="shared" si="23"/>
        <v>1</v>
      </c>
      <c r="V273" s="225">
        <f t="shared" si="24"/>
        <v>2</v>
      </c>
      <c r="W273" s="233">
        <f ca="1">$U273*EWSpacingFt+XOffset+(PanArrayWidthHighEndFt-PanArrayWidthLowEndFt)/2</f>
        <v>30.000006832286932</v>
      </c>
      <c r="X273" s="234">
        <f ca="1">$V273*NSSpacingFt+YOffset+0</f>
        <v>35.999999999999979</v>
      </c>
      <c r="Y273" s="235">
        <f ca="1">+$V273*NSGradeFt+PedHeight+0</f>
        <v>7.401410761154855</v>
      </c>
      <c r="Z273" s="214">
        <f ca="1">+$W273</f>
        <v>30.000006832286932</v>
      </c>
      <c r="AA273" s="214">
        <f ca="1">+$Y273</f>
        <v>7.401410761154855</v>
      </c>
      <c r="AB273" s="214">
        <f ca="1">+$X273</f>
        <v>35.999999999999979</v>
      </c>
      <c r="AC273" s="214">
        <f ca="1">+$W273-XOffset</f>
        <v>30.000006832286932</v>
      </c>
    </row>
    <row r="274" spans="8:29" s="213" customFormat="1" ht="9" customHeight="1">
      <c r="H274" s="212"/>
      <c r="I274" s="212"/>
      <c r="S274" s="307"/>
      <c r="T274" s="226">
        <f t="shared" si="26"/>
        <v>271</v>
      </c>
      <c r="U274" s="224">
        <f t="shared" si="23"/>
        <v>1</v>
      </c>
      <c r="V274" s="225">
        <f t="shared" si="24"/>
        <v>2</v>
      </c>
      <c r="W274" s="236">
        <f ca="1">+$U274*EWSpacingFt+XOffset+PanArrayWidthHighEndFt-(PanArrayWidthHighEndFt-PanArrayWidthLowEndFt)/2</f>
        <v>40.802828354596642</v>
      </c>
      <c r="X274" s="240">
        <f ca="1">$V274*NSSpacingFt+YOffset+0</f>
        <v>35.999999999999979</v>
      </c>
      <c r="Y274" s="244">
        <f ca="1">+$V274*NSGradeFt+PedHeight+0</f>
        <v>7.401410761154855</v>
      </c>
      <c r="Z274" s="214">
        <f ca="1">+$W274</f>
        <v>40.802828354596642</v>
      </c>
      <c r="AA274" s="214">
        <f ca="1">+$Y274</f>
        <v>7.401410761154855</v>
      </c>
      <c r="AB274" s="214">
        <f ca="1">+$X274</f>
        <v>35.999999999999979</v>
      </c>
      <c r="AC274" s="214">
        <f ca="1">+$W274-XOffset</f>
        <v>40.802828354596642</v>
      </c>
    </row>
    <row r="275" spans="8:29" s="213" customFormat="1" ht="9" customHeight="1">
      <c r="H275" s="212"/>
      <c r="I275" s="212"/>
      <c r="S275" s="307"/>
      <c r="T275" s="226">
        <f t="shared" si="26"/>
        <v>272</v>
      </c>
      <c r="U275" s="224">
        <f t="shared" si="23"/>
        <v>1</v>
      </c>
      <c r="V275" s="225">
        <f t="shared" si="24"/>
        <v>2</v>
      </c>
      <c r="W275" s="237">
        <f ca="1">$U275*EWSpacingFt+XOffset+PanArrayWidthHighEndFt</f>
        <v>40.802828354596642</v>
      </c>
      <c r="X275" s="241">
        <f ca="1">$V275*NSSpacingFt+YOffset+PanArrayLenFt*COS(RADIANS(Latitude+DecAng))</f>
        <v>52.439632545931744</v>
      </c>
      <c r="Y275" s="245">
        <f ca="1">+$V275*NSGradeFt+PedHeight+PanArrayLenFt*SIN(RADIANS(Latitude+DecAng))</f>
        <v>7.401410761154855</v>
      </c>
      <c r="Z275" s="214">
        <f ca="1">+$W275</f>
        <v>40.802828354596642</v>
      </c>
      <c r="AA275" s="214">
        <f ca="1">+$Y275</f>
        <v>7.401410761154855</v>
      </c>
      <c r="AB275" s="214">
        <f ca="1">+$X275</f>
        <v>52.439632545931744</v>
      </c>
      <c r="AC275" s="214">
        <f ca="1">+$W275-XOffset</f>
        <v>40.802828354596642</v>
      </c>
    </row>
    <row r="276" spans="8:29" s="213" customFormat="1" ht="9" customHeight="1">
      <c r="H276" s="212"/>
      <c r="I276" s="212"/>
      <c r="S276" s="307"/>
      <c r="T276" s="226">
        <f t="shared" si="26"/>
        <v>273</v>
      </c>
      <c r="U276" s="224">
        <f t="shared" si="23"/>
        <v>1</v>
      </c>
      <c r="V276" s="225">
        <f t="shared" si="24"/>
        <v>2</v>
      </c>
      <c r="W276" s="238">
        <f ca="1">$U276*EWSpacingFt+XOffset+0</f>
        <v>30.000006832286932</v>
      </c>
      <c r="X276" s="242">
        <f ca="1">$V276*NSSpacingFt+YOffset+PanArrayLenFt*COS(RADIANS(Latitude+DecAng))</f>
        <v>52.439632545931744</v>
      </c>
      <c r="Y276" s="246">
        <f ca="1">+$V276*NSGradeFt+PedHeight+PanArrayLenFt*SIN(RADIANS(Latitude+DecAng))</f>
        <v>7.401410761154855</v>
      </c>
      <c r="Z276" s="214">
        <f ca="1">+$W276</f>
        <v>30.000006832286932</v>
      </c>
      <c r="AA276" s="214">
        <f ca="1">+$Y276</f>
        <v>7.401410761154855</v>
      </c>
      <c r="AB276" s="214">
        <f ca="1">+$X276</f>
        <v>52.439632545931744</v>
      </c>
      <c r="AC276" s="214">
        <f ca="1">+$W276-XOffset</f>
        <v>30.000006832286932</v>
      </c>
    </row>
    <row r="277" spans="8:29" s="213" customFormat="1" ht="9" customHeight="1">
      <c r="H277" s="212"/>
      <c r="I277" s="212"/>
      <c r="S277" s="307"/>
      <c r="T277" s="226">
        <f t="shared" si="26"/>
        <v>274</v>
      </c>
      <c r="U277" s="224">
        <f t="shared" si="23"/>
        <v>1</v>
      </c>
      <c r="V277" s="225">
        <f t="shared" si="24"/>
        <v>2</v>
      </c>
      <c r="W277" s="239">
        <f ca="1">$U277*EWSpacingFt+XOffset+(PanArrayWidthHighEndFt-PanArrayWidthLowEndFt)/2</f>
        <v>30.000006832286932</v>
      </c>
      <c r="X277" s="243">
        <f ca="1">$V277*NSSpacingFt+YOffset+0</f>
        <v>35.999999999999979</v>
      </c>
      <c r="Y277" s="247">
        <f ca="1">+$V277*NSGradeFt+PedHeight+0</f>
        <v>7.401410761154855</v>
      </c>
      <c r="Z277" s="214">
        <f ca="1">+$W277</f>
        <v>30.000006832286932</v>
      </c>
      <c r="AA277" s="214">
        <f ca="1">+$Y277</f>
        <v>7.401410761154855</v>
      </c>
      <c r="AB277" s="214">
        <f ca="1">+$X277</f>
        <v>35.999999999999979</v>
      </c>
      <c r="AC277" s="214">
        <f ca="1">+$W277-XOffset</f>
        <v>30.000006832286932</v>
      </c>
    </row>
    <row r="278" spans="8:29" s="213" customFormat="1" ht="9" customHeight="1">
      <c r="H278" s="212"/>
      <c r="I278" s="212"/>
      <c r="S278" s="307"/>
      <c r="T278" s="226">
        <f t="shared" si="26"/>
        <v>275</v>
      </c>
      <c r="U278" s="224">
        <f t="shared" si="23"/>
        <v>1</v>
      </c>
      <c r="V278" s="225">
        <f t="shared" si="24"/>
        <v>2</v>
      </c>
      <c r="W278" s="217"/>
      <c r="X278" s="217"/>
      <c r="Y278" s="217"/>
      <c r="Z278" s="214"/>
      <c r="AA278" s="214"/>
      <c r="AB278" s="214"/>
      <c r="AC278" s="214"/>
    </row>
    <row r="279" spans="8:29" s="213" customFormat="1" ht="9" customHeight="1">
      <c r="H279" s="212"/>
      <c r="I279" s="212"/>
      <c r="S279" s="307">
        <f>INT((T279-0)/6)+1</f>
        <v>47</v>
      </c>
      <c r="T279" s="226">
        <f t="shared" si="26"/>
        <v>276</v>
      </c>
      <c r="U279" s="224">
        <f t="shared" si="23"/>
        <v>0</v>
      </c>
      <c r="V279" s="225">
        <f t="shared" si="24"/>
        <v>3</v>
      </c>
      <c r="W279" s="233">
        <f ca="1">$U279*EWSpacingFt+XOffset+(PanArrayWidthHighEndFt-PanArrayWidthLowEndFt)/2</f>
        <v>0</v>
      </c>
      <c r="X279" s="234">
        <f ca="1">$V279*NSSpacingFt+YOffset+0</f>
        <v>53.999999999999972</v>
      </c>
      <c r="Y279" s="235">
        <f ca="1">+$V279*NSGradeFt+PedHeight+0</f>
        <v>7.401410761154855</v>
      </c>
      <c r="Z279" s="214">
        <f ca="1">+$W279</f>
        <v>0</v>
      </c>
      <c r="AA279" s="214">
        <f ca="1">+$Y279</f>
        <v>7.401410761154855</v>
      </c>
      <c r="AB279" s="214">
        <f ca="1">+$X279</f>
        <v>53.999999999999972</v>
      </c>
      <c r="AC279" s="214">
        <f ca="1">+$W279-XOffset</f>
        <v>0</v>
      </c>
    </row>
    <row r="280" spans="8:29" s="213" customFormat="1" ht="9" customHeight="1">
      <c r="H280" s="212"/>
      <c r="I280" s="212"/>
      <c r="S280" s="307"/>
      <c r="T280" s="226">
        <f t="shared" si="26"/>
        <v>277</v>
      </c>
      <c r="U280" s="224">
        <f t="shared" si="23"/>
        <v>0</v>
      </c>
      <c r="V280" s="225">
        <f t="shared" si="24"/>
        <v>3</v>
      </c>
      <c r="W280" s="236">
        <f ca="1">+$U280*EWSpacingFt+XOffset+PanArrayWidthHighEndFt-(PanArrayWidthHighEndFt-PanArrayWidthLowEndFt)/2</f>
        <v>10.80282152230971</v>
      </c>
      <c r="X280" s="240">
        <f ca="1">$V280*NSSpacingFt+YOffset+0</f>
        <v>53.999999999999972</v>
      </c>
      <c r="Y280" s="244">
        <f ca="1">+$V280*NSGradeFt+PedHeight+0</f>
        <v>7.401410761154855</v>
      </c>
      <c r="Z280" s="214">
        <f ca="1">+$W280</f>
        <v>10.80282152230971</v>
      </c>
      <c r="AA280" s="214">
        <f ca="1">+$Y280</f>
        <v>7.401410761154855</v>
      </c>
      <c r="AB280" s="214">
        <f ca="1">+$X280</f>
        <v>53.999999999999972</v>
      </c>
      <c r="AC280" s="214">
        <f ca="1">+$W280-XOffset</f>
        <v>10.80282152230971</v>
      </c>
    </row>
    <row r="281" spans="8:29" s="213" customFormat="1" ht="9" customHeight="1">
      <c r="H281" s="212"/>
      <c r="I281" s="212"/>
      <c r="S281" s="307"/>
      <c r="T281" s="226">
        <f t="shared" si="26"/>
        <v>278</v>
      </c>
      <c r="U281" s="224">
        <f t="shared" si="23"/>
        <v>0</v>
      </c>
      <c r="V281" s="225">
        <f t="shared" si="24"/>
        <v>3</v>
      </c>
      <c r="W281" s="237">
        <f ca="1">$U281*EWSpacingFt+XOffset+PanArrayWidthHighEndFt</f>
        <v>10.80282152230971</v>
      </c>
      <c r="X281" s="241">
        <f ca="1">$V281*NSSpacingFt+YOffset+PanArrayLenFt*COS(RADIANS(Latitude+DecAng))</f>
        <v>70.43963254593173</v>
      </c>
      <c r="Y281" s="245">
        <f ca="1">+$V281*NSGradeFt+PedHeight+PanArrayLenFt*SIN(RADIANS(Latitude+DecAng))</f>
        <v>7.401410761154855</v>
      </c>
      <c r="Z281" s="214">
        <f ca="1">+$W281</f>
        <v>10.80282152230971</v>
      </c>
      <c r="AA281" s="214">
        <f ca="1">+$Y281</f>
        <v>7.401410761154855</v>
      </c>
      <c r="AB281" s="214">
        <f ca="1">+$X281</f>
        <v>70.43963254593173</v>
      </c>
      <c r="AC281" s="214">
        <f ca="1">+$W281-XOffset</f>
        <v>10.80282152230971</v>
      </c>
    </row>
    <row r="282" spans="8:29" s="213" customFormat="1" ht="9" customHeight="1">
      <c r="H282" s="212"/>
      <c r="I282" s="212"/>
      <c r="S282" s="307"/>
      <c r="T282" s="226">
        <f t="shared" si="26"/>
        <v>279</v>
      </c>
      <c r="U282" s="224">
        <f t="shared" si="23"/>
        <v>0</v>
      </c>
      <c r="V282" s="225">
        <f t="shared" si="24"/>
        <v>3</v>
      </c>
      <c r="W282" s="238">
        <f ca="1">$U282*EWSpacingFt+XOffset+0</f>
        <v>0</v>
      </c>
      <c r="X282" s="242">
        <f ca="1">$V282*NSSpacingFt+YOffset+PanArrayLenFt*COS(RADIANS(Latitude+DecAng))</f>
        <v>70.43963254593173</v>
      </c>
      <c r="Y282" s="246">
        <f ca="1">+$V282*NSGradeFt+PedHeight+PanArrayLenFt*SIN(RADIANS(Latitude+DecAng))</f>
        <v>7.401410761154855</v>
      </c>
      <c r="Z282" s="214">
        <f ca="1">+$W282</f>
        <v>0</v>
      </c>
      <c r="AA282" s="214">
        <f ca="1">+$Y282</f>
        <v>7.401410761154855</v>
      </c>
      <c r="AB282" s="214">
        <f ca="1">+$X282</f>
        <v>70.43963254593173</v>
      </c>
      <c r="AC282" s="214">
        <f ca="1">+$W282-XOffset</f>
        <v>0</v>
      </c>
    </row>
    <row r="283" spans="8:29" s="213" customFormat="1" ht="9" customHeight="1">
      <c r="H283" s="212"/>
      <c r="I283" s="212"/>
      <c r="S283" s="307"/>
      <c r="T283" s="226">
        <f t="shared" si="26"/>
        <v>280</v>
      </c>
      <c r="U283" s="224">
        <f t="shared" si="23"/>
        <v>0</v>
      </c>
      <c r="V283" s="225">
        <f t="shared" si="24"/>
        <v>3</v>
      </c>
      <c r="W283" s="239">
        <f ca="1">$U283*EWSpacingFt+XOffset+(PanArrayWidthHighEndFt-PanArrayWidthLowEndFt)/2</f>
        <v>0</v>
      </c>
      <c r="X283" s="243">
        <f ca="1">$V283*NSSpacingFt+YOffset+0</f>
        <v>53.999999999999972</v>
      </c>
      <c r="Y283" s="247">
        <f ca="1">+$V283*NSGradeFt+PedHeight+0</f>
        <v>7.401410761154855</v>
      </c>
      <c r="Z283" s="214">
        <f ca="1">+$W283</f>
        <v>0</v>
      </c>
      <c r="AA283" s="214">
        <f ca="1">+$Y283</f>
        <v>7.401410761154855</v>
      </c>
      <c r="AB283" s="214">
        <f ca="1">+$X283</f>
        <v>53.999999999999972</v>
      </c>
      <c r="AC283" s="214">
        <f ca="1">+$W283-XOffset</f>
        <v>0</v>
      </c>
    </row>
    <row r="284" spans="8:29" s="213" customFormat="1" ht="9" customHeight="1">
      <c r="H284" s="212"/>
      <c r="I284" s="212"/>
      <c r="S284" s="307"/>
      <c r="T284" s="226">
        <f t="shared" si="26"/>
        <v>281</v>
      </c>
      <c r="U284" s="224">
        <f t="shared" si="23"/>
        <v>0</v>
      </c>
      <c r="V284" s="225">
        <f t="shared" si="24"/>
        <v>3</v>
      </c>
      <c r="W284" s="217"/>
      <c r="X284" s="217"/>
      <c r="Y284" s="217"/>
      <c r="Z284" s="214"/>
      <c r="AA284" s="214"/>
      <c r="AB284" s="214"/>
      <c r="AC284" s="214"/>
    </row>
    <row r="285" spans="8:29" s="213" customFormat="1" ht="9" customHeight="1">
      <c r="H285" s="212"/>
      <c r="I285" s="212"/>
      <c r="S285" s="307">
        <f>INT((T285-0)/6)+1</f>
        <v>48</v>
      </c>
      <c r="T285" s="226">
        <f t="shared" si="26"/>
        <v>282</v>
      </c>
      <c r="U285" s="224">
        <f t="shared" si="23"/>
        <v>1</v>
      </c>
      <c r="V285" s="225">
        <f t="shared" si="24"/>
        <v>3</v>
      </c>
      <c r="W285" s="233">
        <f ca="1">$U285*EWSpacingFt+XOffset+(PanArrayWidthHighEndFt-PanArrayWidthLowEndFt)/2</f>
        <v>30.000006832286932</v>
      </c>
      <c r="X285" s="234">
        <f ca="1">$V285*NSSpacingFt+YOffset+0</f>
        <v>53.999999999999972</v>
      </c>
      <c r="Y285" s="235">
        <f ca="1">+$V285*NSGradeFt+PedHeight+0</f>
        <v>7.401410761154855</v>
      </c>
      <c r="Z285" s="214">
        <f ca="1">+$W285</f>
        <v>30.000006832286932</v>
      </c>
      <c r="AA285" s="214">
        <f ca="1">+$Y285</f>
        <v>7.401410761154855</v>
      </c>
      <c r="AB285" s="214">
        <f ca="1">+$X285</f>
        <v>53.999999999999972</v>
      </c>
      <c r="AC285" s="214">
        <f ca="1">+$W285-XOffset</f>
        <v>30.000006832286932</v>
      </c>
    </row>
    <row r="286" spans="8:29" s="213" customFormat="1" ht="9" customHeight="1">
      <c r="H286" s="212"/>
      <c r="I286" s="212"/>
      <c r="S286" s="307"/>
      <c r="T286" s="226">
        <f t="shared" si="26"/>
        <v>283</v>
      </c>
      <c r="U286" s="224">
        <f t="shared" si="23"/>
        <v>1</v>
      </c>
      <c r="V286" s="225">
        <f t="shared" si="24"/>
        <v>3</v>
      </c>
      <c r="W286" s="236">
        <f ca="1">+$U286*EWSpacingFt+XOffset+PanArrayWidthHighEndFt-(PanArrayWidthHighEndFt-PanArrayWidthLowEndFt)/2</f>
        <v>40.802828354596642</v>
      </c>
      <c r="X286" s="240">
        <f ca="1">$V286*NSSpacingFt+YOffset+0</f>
        <v>53.999999999999972</v>
      </c>
      <c r="Y286" s="244">
        <f ca="1">+$V286*NSGradeFt+PedHeight+0</f>
        <v>7.401410761154855</v>
      </c>
      <c r="Z286" s="214">
        <f ca="1">+$W286</f>
        <v>40.802828354596642</v>
      </c>
      <c r="AA286" s="214">
        <f ca="1">+$Y286</f>
        <v>7.401410761154855</v>
      </c>
      <c r="AB286" s="214">
        <f ca="1">+$X286</f>
        <v>53.999999999999972</v>
      </c>
      <c r="AC286" s="214">
        <f ca="1">+$W286-XOffset</f>
        <v>40.802828354596642</v>
      </c>
    </row>
    <row r="287" spans="8:29" s="213" customFormat="1" ht="9" customHeight="1">
      <c r="H287" s="212"/>
      <c r="I287" s="212"/>
      <c r="S287" s="307"/>
      <c r="T287" s="226">
        <f t="shared" si="26"/>
        <v>284</v>
      </c>
      <c r="U287" s="224">
        <f t="shared" si="23"/>
        <v>1</v>
      </c>
      <c r="V287" s="225">
        <f t="shared" si="24"/>
        <v>3</v>
      </c>
      <c r="W287" s="237">
        <f ca="1">$U287*EWSpacingFt+XOffset+PanArrayWidthHighEndFt</f>
        <v>40.802828354596642</v>
      </c>
      <c r="X287" s="241">
        <f ca="1">$V287*NSSpacingFt+YOffset+PanArrayLenFt*COS(RADIANS(Latitude+DecAng))</f>
        <v>70.43963254593173</v>
      </c>
      <c r="Y287" s="245">
        <f ca="1">+$V287*NSGradeFt+PedHeight+PanArrayLenFt*SIN(RADIANS(Latitude+DecAng))</f>
        <v>7.401410761154855</v>
      </c>
      <c r="Z287" s="214">
        <f ca="1">+$W287</f>
        <v>40.802828354596642</v>
      </c>
      <c r="AA287" s="214">
        <f ca="1">+$Y287</f>
        <v>7.401410761154855</v>
      </c>
      <c r="AB287" s="214">
        <f ca="1">+$X287</f>
        <v>70.43963254593173</v>
      </c>
      <c r="AC287" s="214">
        <f ca="1">+$W287-XOffset</f>
        <v>40.802828354596642</v>
      </c>
    </row>
    <row r="288" spans="8:29" s="213" customFormat="1" ht="9" customHeight="1">
      <c r="H288" s="212"/>
      <c r="I288" s="212"/>
      <c r="S288" s="307"/>
      <c r="T288" s="226">
        <f t="shared" si="26"/>
        <v>285</v>
      </c>
      <c r="U288" s="224">
        <f t="shared" si="23"/>
        <v>1</v>
      </c>
      <c r="V288" s="225">
        <f t="shared" si="24"/>
        <v>3</v>
      </c>
      <c r="W288" s="238">
        <f ca="1">$U288*EWSpacingFt+XOffset+0</f>
        <v>30.000006832286932</v>
      </c>
      <c r="X288" s="242">
        <f ca="1">$V288*NSSpacingFt+YOffset+PanArrayLenFt*COS(RADIANS(Latitude+DecAng))</f>
        <v>70.43963254593173</v>
      </c>
      <c r="Y288" s="246">
        <f ca="1">+$V288*NSGradeFt+PedHeight+PanArrayLenFt*SIN(RADIANS(Latitude+DecAng))</f>
        <v>7.401410761154855</v>
      </c>
      <c r="Z288" s="214">
        <f ca="1">+$W288</f>
        <v>30.000006832286932</v>
      </c>
      <c r="AA288" s="214">
        <f ca="1">+$Y288</f>
        <v>7.401410761154855</v>
      </c>
      <c r="AB288" s="214">
        <f ca="1">+$X288</f>
        <v>70.43963254593173</v>
      </c>
      <c r="AC288" s="214">
        <f ca="1">+$W288-XOffset</f>
        <v>30.000006832286932</v>
      </c>
    </row>
    <row r="289" spans="8:29" s="213" customFormat="1" ht="9" customHeight="1">
      <c r="H289" s="212"/>
      <c r="I289" s="212"/>
      <c r="S289" s="307"/>
      <c r="T289" s="226">
        <f t="shared" si="26"/>
        <v>286</v>
      </c>
      <c r="U289" s="224">
        <f t="shared" si="23"/>
        <v>1</v>
      </c>
      <c r="V289" s="225">
        <f t="shared" si="24"/>
        <v>3</v>
      </c>
      <c r="W289" s="239">
        <f ca="1">$U289*EWSpacingFt+XOffset+(PanArrayWidthHighEndFt-PanArrayWidthLowEndFt)/2</f>
        <v>30.000006832286932</v>
      </c>
      <c r="X289" s="243">
        <f ca="1">$V289*NSSpacingFt+YOffset+0</f>
        <v>53.999999999999972</v>
      </c>
      <c r="Y289" s="247">
        <f ca="1">+$V289*NSGradeFt+PedHeight+0</f>
        <v>7.401410761154855</v>
      </c>
      <c r="Z289" s="214">
        <f ca="1">+$W289</f>
        <v>30.000006832286932</v>
      </c>
      <c r="AA289" s="214">
        <f ca="1">+$Y289</f>
        <v>7.401410761154855</v>
      </c>
      <c r="AB289" s="214">
        <f ca="1">+$X289</f>
        <v>53.999999999999972</v>
      </c>
      <c r="AC289" s="214">
        <f ca="1">+$W289-XOffset</f>
        <v>30.000006832286932</v>
      </c>
    </row>
    <row r="290" spans="8:29" s="213" customFormat="1" ht="9" customHeight="1">
      <c r="H290" s="212"/>
      <c r="I290" s="212"/>
      <c r="S290" s="307"/>
      <c r="T290" s="226">
        <f t="shared" si="26"/>
        <v>287</v>
      </c>
      <c r="U290" s="224">
        <f t="shared" si="23"/>
        <v>1</v>
      </c>
      <c r="V290" s="225">
        <f t="shared" si="24"/>
        <v>3</v>
      </c>
      <c r="W290" s="217"/>
      <c r="X290" s="217"/>
      <c r="Y290" s="217"/>
      <c r="Z290" s="214"/>
      <c r="AA290" s="214"/>
      <c r="AB290" s="214"/>
      <c r="AC290" s="214"/>
    </row>
    <row r="291" spans="8:29" s="213" customFormat="1" ht="9" customHeight="1">
      <c r="H291" s="212"/>
      <c r="I291" s="212"/>
      <c r="S291" s="307">
        <f>INT((T291-0)/6)+1</f>
        <v>49</v>
      </c>
      <c r="T291" s="226">
        <f t="shared" si="26"/>
        <v>288</v>
      </c>
      <c r="U291" s="224">
        <f t="shared" si="23"/>
        <v>0</v>
      </c>
      <c r="V291" s="225">
        <f t="shared" si="24"/>
        <v>0</v>
      </c>
      <c r="W291" s="233">
        <f ca="1">$U291*EWSpacingFt+XOffset+(PanArrayWidthHighEndFt-PanArrayWidthLowEndFt)/2</f>
        <v>0</v>
      </c>
      <c r="X291" s="234">
        <f ca="1">$V291*NSSpacingFt+YOffset+0</f>
        <v>0</v>
      </c>
      <c r="Y291" s="235">
        <f ca="1">+$V291*NSGradeFt+PedHeight+0</f>
        <v>7.401410761154855</v>
      </c>
      <c r="Z291" s="214">
        <f ca="1">+$W291</f>
        <v>0</v>
      </c>
      <c r="AA291" s="214">
        <f ca="1">+$Y291</f>
        <v>7.401410761154855</v>
      </c>
      <c r="AB291" s="214">
        <f ca="1">+$X291</f>
        <v>0</v>
      </c>
      <c r="AC291" s="214">
        <f ca="1">+$W291-XOffset</f>
        <v>0</v>
      </c>
    </row>
    <row r="292" spans="8:29" s="213" customFormat="1" ht="9" customHeight="1">
      <c r="H292" s="212"/>
      <c r="I292" s="212"/>
      <c r="S292" s="307"/>
      <c r="T292" s="226">
        <f t="shared" si="26"/>
        <v>289</v>
      </c>
      <c r="U292" s="224">
        <f t="shared" si="23"/>
        <v>0</v>
      </c>
      <c r="V292" s="225">
        <f t="shared" si="24"/>
        <v>0</v>
      </c>
      <c r="W292" s="236">
        <f ca="1">+$U292*EWSpacingFt+XOffset+PanArrayWidthHighEndFt-(PanArrayWidthHighEndFt-PanArrayWidthLowEndFt)/2</f>
        <v>10.80282152230971</v>
      </c>
      <c r="X292" s="240">
        <f ca="1">$V292*NSSpacingFt+YOffset+0</f>
        <v>0</v>
      </c>
      <c r="Y292" s="244">
        <f ca="1">+$V292*NSGradeFt+PedHeight+0</f>
        <v>7.401410761154855</v>
      </c>
      <c r="Z292" s="214">
        <f ca="1">+$W292</f>
        <v>10.80282152230971</v>
      </c>
      <c r="AA292" s="214">
        <f ca="1">+$Y292</f>
        <v>7.401410761154855</v>
      </c>
      <c r="AB292" s="214">
        <f ca="1">+$X292</f>
        <v>0</v>
      </c>
      <c r="AC292" s="214">
        <f ca="1">+$W292-XOffset</f>
        <v>10.80282152230971</v>
      </c>
    </row>
    <row r="293" spans="8:29" s="213" customFormat="1" ht="9" customHeight="1">
      <c r="H293" s="212"/>
      <c r="I293" s="212"/>
      <c r="S293" s="307"/>
      <c r="T293" s="226">
        <f t="shared" si="26"/>
        <v>290</v>
      </c>
      <c r="U293" s="224">
        <f t="shared" si="23"/>
        <v>0</v>
      </c>
      <c r="V293" s="225">
        <f t="shared" si="24"/>
        <v>0</v>
      </c>
      <c r="W293" s="237">
        <f ca="1">$U293*EWSpacingFt+XOffset+PanArrayWidthHighEndFt</f>
        <v>10.80282152230971</v>
      </c>
      <c r="X293" s="241">
        <f ca="1">$V293*NSSpacingFt+YOffset+PanArrayLenFt*COS(RADIANS(Latitude+DecAng))</f>
        <v>16.439632545931762</v>
      </c>
      <c r="Y293" s="245">
        <f ca="1">+$V293*NSGradeFt+PedHeight+PanArrayLenFt*SIN(RADIANS(Latitude+DecAng))</f>
        <v>7.401410761154855</v>
      </c>
      <c r="Z293" s="214">
        <f ca="1">+$W293</f>
        <v>10.80282152230971</v>
      </c>
      <c r="AA293" s="214">
        <f ca="1">+$Y293</f>
        <v>7.401410761154855</v>
      </c>
      <c r="AB293" s="214">
        <f ca="1">+$X293</f>
        <v>16.439632545931762</v>
      </c>
      <c r="AC293" s="214">
        <f ca="1">+$W293-XOffset</f>
        <v>10.80282152230971</v>
      </c>
    </row>
    <row r="294" spans="8:29" s="213" customFormat="1" ht="9" customHeight="1">
      <c r="H294" s="212"/>
      <c r="I294" s="212"/>
      <c r="S294" s="307"/>
      <c r="T294" s="226">
        <f t="shared" si="26"/>
        <v>291</v>
      </c>
      <c r="U294" s="224">
        <f t="shared" si="23"/>
        <v>0</v>
      </c>
      <c r="V294" s="225">
        <f t="shared" si="24"/>
        <v>0</v>
      </c>
      <c r="W294" s="238">
        <f ca="1">$U294*EWSpacingFt+XOffset+0</f>
        <v>0</v>
      </c>
      <c r="X294" s="242">
        <f ca="1">$V294*NSSpacingFt+YOffset+PanArrayLenFt*COS(RADIANS(Latitude+DecAng))</f>
        <v>16.439632545931762</v>
      </c>
      <c r="Y294" s="246">
        <f ca="1">+$V294*NSGradeFt+PedHeight+PanArrayLenFt*SIN(RADIANS(Latitude+DecAng))</f>
        <v>7.401410761154855</v>
      </c>
      <c r="Z294" s="214">
        <f ca="1">+$W294</f>
        <v>0</v>
      </c>
      <c r="AA294" s="214">
        <f ca="1">+$Y294</f>
        <v>7.401410761154855</v>
      </c>
      <c r="AB294" s="214">
        <f ca="1">+$X294</f>
        <v>16.439632545931762</v>
      </c>
      <c r="AC294" s="214">
        <f ca="1">+$W294-XOffset</f>
        <v>0</v>
      </c>
    </row>
    <row r="295" spans="8:29" s="213" customFormat="1" ht="9" customHeight="1">
      <c r="H295" s="212"/>
      <c r="I295" s="212"/>
      <c r="S295" s="307"/>
      <c r="T295" s="226">
        <f t="shared" si="26"/>
        <v>292</v>
      </c>
      <c r="U295" s="224">
        <f t="shared" si="23"/>
        <v>0</v>
      </c>
      <c r="V295" s="225">
        <f t="shared" si="24"/>
        <v>0</v>
      </c>
      <c r="W295" s="239">
        <f ca="1">$U295*EWSpacingFt+XOffset+(PanArrayWidthHighEndFt-PanArrayWidthLowEndFt)/2</f>
        <v>0</v>
      </c>
      <c r="X295" s="243">
        <f ca="1">$V295*NSSpacingFt+YOffset+0</f>
        <v>0</v>
      </c>
      <c r="Y295" s="247">
        <f ca="1">+$V295*NSGradeFt+PedHeight+0</f>
        <v>7.401410761154855</v>
      </c>
      <c r="Z295" s="214">
        <f ca="1">+$W295</f>
        <v>0</v>
      </c>
      <c r="AA295" s="214">
        <f ca="1">+$Y295</f>
        <v>7.401410761154855</v>
      </c>
      <c r="AB295" s="214">
        <f ca="1">+$X295</f>
        <v>0</v>
      </c>
      <c r="AC295" s="214">
        <f ca="1">+$W295-XOffset</f>
        <v>0</v>
      </c>
    </row>
    <row r="296" spans="8:29" s="213" customFormat="1" ht="9" customHeight="1">
      <c r="H296" s="212"/>
      <c r="I296" s="212"/>
      <c r="S296" s="307"/>
      <c r="T296" s="226">
        <f t="shared" si="26"/>
        <v>293</v>
      </c>
      <c r="U296" s="224">
        <f t="shared" si="23"/>
        <v>0</v>
      </c>
      <c r="V296" s="225">
        <f t="shared" si="24"/>
        <v>0</v>
      </c>
      <c r="W296" s="217"/>
      <c r="X296" s="217"/>
      <c r="Y296" s="217"/>
      <c r="Z296" s="214"/>
      <c r="AA296" s="214"/>
      <c r="AB296" s="214"/>
      <c r="AC296" s="214"/>
    </row>
    <row r="297" spans="8:29" s="213" customFormat="1" ht="9" customHeight="1">
      <c r="H297" s="212"/>
      <c r="I297" s="212"/>
      <c r="S297" s="307">
        <f>INT((T297-0)/6)+1</f>
        <v>50</v>
      </c>
      <c r="T297" s="226">
        <f t="shared" si="26"/>
        <v>294</v>
      </c>
      <c r="U297" s="224">
        <f t="shared" si="23"/>
        <v>1</v>
      </c>
      <c r="V297" s="225">
        <f t="shared" si="24"/>
        <v>0</v>
      </c>
      <c r="W297" s="233">
        <f ca="1">$U297*EWSpacingFt+XOffset+(PanArrayWidthHighEndFt-PanArrayWidthLowEndFt)/2</f>
        <v>30.000006832286932</v>
      </c>
      <c r="X297" s="234">
        <f ca="1">$V297*NSSpacingFt+YOffset+0</f>
        <v>0</v>
      </c>
      <c r="Y297" s="235">
        <f ca="1">+$V297*NSGradeFt+PedHeight+0</f>
        <v>7.401410761154855</v>
      </c>
      <c r="Z297" s="214">
        <f ca="1">+$W297</f>
        <v>30.000006832286932</v>
      </c>
      <c r="AA297" s="214">
        <f ca="1">+$Y297</f>
        <v>7.401410761154855</v>
      </c>
      <c r="AB297" s="214">
        <f ca="1">+$X297</f>
        <v>0</v>
      </c>
      <c r="AC297" s="214">
        <f ca="1">+$W297-XOffset</f>
        <v>30.000006832286932</v>
      </c>
    </row>
    <row r="298" spans="8:29" s="213" customFormat="1" ht="9" customHeight="1">
      <c r="H298" s="212"/>
      <c r="I298" s="212"/>
      <c r="S298" s="307"/>
      <c r="T298" s="226">
        <f t="shared" si="26"/>
        <v>295</v>
      </c>
      <c r="U298" s="224">
        <f t="shared" si="23"/>
        <v>1</v>
      </c>
      <c r="V298" s="225">
        <f t="shared" si="24"/>
        <v>0</v>
      </c>
      <c r="W298" s="236">
        <f ca="1">+$U298*EWSpacingFt+XOffset+PanArrayWidthHighEndFt-(PanArrayWidthHighEndFt-PanArrayWidthLowEndFt)/2</f>
        <v>40.802828354596642</v>
      </c>
      <c r="X298" s="240">
        <f ca="1">$V298*NSSpacingFt+YOffset+0</f>
        <v>0</v>
      </c>
      <c r="Y298" s="244">
        <f ca="1">+$V298*NSGradeFt+PedHeight+0</f>
        <v>7.401410761154855</v>
      </c>
      <c r="Z298" s="214">
        <f ca="1">+$W298</f>
        <v>40.802828354596642</v>
      </c>
      <c r="AA298" s="214">
        <f ca="1">+$Y298</f>
        <v>7.401410761154855</v>
      </c>
      <c r="AB298" s="214">
        <f ca="1">+$X298</f>
        <v>0</v>
      </c>
      <c r="AC298" s="214">
        <f ca="1">+$W298-XOffset</f>
        <v>40.802828354596642</v>
      </c>
    </row>
    <row r="299" spans="8:29" s="213" customFormat="1" ht="9" customHeight="1">
      <c r="H299" s="212"/>
      <c r="I299" s="212"/>
      <c r="S299" s="307"/>
      <c r="T299" s="226">
        <f t="shared" si="26"/>
        <v>296</v>
      </c>
      <c r="U299" s="224">
        <f t="shared" si="23"/>
        <v>1</v>
      </c>
      <c r="V299" s="225">
        <f t="shared" si="24"/>
        <v>0</v>
      </c>
      <c r="W299" s="237">
        <f ca="1">$U299*EWSpacingFt+XOffset+PanArrayWidthHighEndFt</f>
        <v>40.802828354596642</v>
      </c>
      <c r="X299" s="241">
        <f ca="1">$V299*NSSpacingFt+YOffset+PanArrayLenFt*COS(RADIANS(Latitude+DecAng))</f>
        <v>16.439632545931762</v>
      </c>
      <c r="Y299" s="245">
        <f ca="1">+$V299*NSGradeFt+PedHeight+PanArrayLenFt*SIN(RADIANS(Latitude+DecAng))</f>
        <v>7.401410761154855</v>
      </c>
      <c r="Z299" s="214">
        <f ca="1">+$W299</f>
        <v>40.802828354596642</v>
      </c>
      <c r="AA299" s="214">
        <f ca="1">+$Y299</f>
        <v>7.401410761154855</v>
      </c>
      <c r="AB299" s="214">
        <f ca="1">+$X299</f>
        <v>16.439632545931762</v>
      </c>
      <c r="AC299" s="214">
        <f ca="1">+$W299-XOffset</f>
        <v>40.802828354596642</v>
      </c>
    </row>
    <row r="300" spans="8:29" s="213" customFormat="1" ht="9" customHeight="1">
      <c r="H300" s="212"/>
      <c r="I300" s="212"/>
      <c r="S300" s="307"/>
      <c r="T300" s="226">
        <f t="shared" si="26"/>
        <v>297</v>
      </c>
      <c r="U300" s="224">
        <f t="shared" si="23"/>
        <v>1</v>
      </c>
      <c r="V300" s="225">
        <f t="shared" si="24"/>
        <v>0</v>
      </c>
      <c r="W300" s="238">
        <f ca="1">$U300*EWSpacingFt+XOffset+0</f>
        <v>30.000006832286932</v>
      </c>
      <c r="X300" s="242">
        <f ca="1">$V300*NSSpacingFt+YOffset+PanArrayLenFt*COS(RADIANS(Latitude+DecAng))</f>
        <v>16.439632545931762</v>
      </c>
      <c r="Y300" s="246">
        <f ca="1">+$V300*NSGradeFt+PedHeight+PanArrayLenFt*SIN(RADIANS(Latitude+DecAng))</f>
        <v>7.401410761154855</v>
      </c>
      <c r="Z300" s="214">
        <f ca="1">+$W300</f>
        <v>30.000006832286932</v>
      </c>
      <c r="AA300" s="214">
        <f ca="1">+$Y300</f>
        <v>7.401410761154855</v>
      </c>
      <c r="AB300" s="214">
        <f ca="1">+$X300</f>
        <v>16.439632545931762</v>
      </c>
      <c r="AC300" s="214">
        <f ca="1">+$W300-XOffset</f>
        <v>30.000006832286932</v>
      </c>
    </row>
    <row r="301" spans="8:29" s="213" customFormat="1" ht="9" customHeight="1">
      <c r="H301" s="212"/>
      <c r="I301" s="212"/>
      <c r="S301" s="307"/>
      <c r="T301" s="226">
        <f t="shared" si="26"/>
        <v>298</v>
      </c>
      <c r="U301" s="224">
        <f t="shared" si="23"/>
        <v>1</v>
      </c>
      <c r="V301" s="225">
        <f t="shared" si="24"/>
        <v>0</v>
      </c>
      <c r="W301" s="239">
        <f ca="1">$U301*EWSpacingFt+XOffset+(PanArrayWidthHighEndFt-PanArrayWidthLowEndFt)/2</f>
        <v>30.000006832286932</v>
      </c>
      <c r="X301" s="243">
        <f ca="1">$V301*NSSpacingFt+YOffset+0</f>
        <v>0</v>
      </c>
      <c r="Y301" s="247">
        <f ca="1">+$V301*NSGradeFt+PedHeight+0</f>
        <v>7.401410761154855</v>
      </c>
      <c r="Z301" s="214">
        <f ca="1">+$W301</f>
        <v>30.000006832286932</v>
      </c>
      <c r="AA301" s="214">
        <f ca="1">+$Y301</f>
        <v>7.401410761154855</v>
      </c>
      <c r="AB301" s="214">
        <f ca="1">+$X301</f>
        <v>0</v>
      </c>
      <c r="AC301" s="214">
        <f ca="1">+$W301-XOffset</f>
        <v>30.000006832286932</v>
      </c>
    </row>
    <row r="302" spans="8:29" s="213" customFormat="1" ht="9" customHeight="1">
      <c r="H302" s="212"/>
      <c r="I302" s="212"/>
      <c r="S302" s="307"/>
      <c r="T302" s="226">
        <f t="shared" si="26"/>
        <v>299</v>
      </c>
      <c r="U302" s="224">
        <f t="shared" si="23"/>
        <v>1</v>
      </c>
      <c r="V302" s="225">
        <f t="shared" si="24"/>
        <v>0</v>
      </c>
      <c r="W302" s="217"/>
      <c r="X302" s="217"/>
      <c r="Y302" s="217"/>
      <c r="Z302" s="214"/>
      <c r="AA302" s="214"/>
      <c r="AB302" s="214"/>
      <c r="AC302" s="214"/>
    </row>
    <row r="303" spans="8:29" s="213" customFormat="1" ht="9" customHeight="1">
      <c r="H303" s="212"/>
      <c r="I303" s="212"/>
      <c r="S303" s="307">
        <f>INT((T303-0)/6)+1</f>
        <v>51</v>
      </c>
      <c r="T303" s="226">
        <f t="shared" si="26"/>
        <v>300</v>
      </c>
      <c r="U303" s="224">
        <f t="shared" si="23"/>
        <v>0</v>
      </c>
      <c r="V303" s="225">
        <f t="shared" si="24"/>
        <v>1</v>
      </c>
      <c r="W303" s="233">
        <f ca="1">$U303*EWSpacingFt+XOffset+(PanArrayWidthHighEndFt-PanArrayWidthLowEndFt)/2</f>
        <v>0</v>
      </c>
      <c r="X303" s="234">
        <f ca="1">$V303*NSSpacingFt+YOffset+0</f>
        <v>17.999999999999989</v>
      </c>
      <c r="Y303" s="235">
        <f ca="1">+$V303*NSGradeFt+PedHeight+0</f>
        <v>7.401410761154855</v>
      </c>
      <c r="Z303" s="214">
        <f ca="1">+$W303</f>
        <v>0</v>
      </c>
      <c r="AA303" s="214">
        <f ca="1">+$Y303</f>
        <v>7.401410761154855</v>
      </c>
      <c r="AB303" s="214">
        <f ca="1">+$X303</f>
        <v>17.999999999999989</v>
      </c>
      <c r="AC303" s="214">
        <f ca="1">+$W303-XOffset</f>
        <v>0</v>
      </c>
    </row>
    <row r="304" spans="8:29" s="213" customFormat="1" ht="9" customHeight="1">
      <c r="H304" s="212"/>
      <c r="I304" s="212"/>
      <c r="S304" s="307"/>
      <c r="T304" s="226">
        <f t="shared" si="26"/>
        <v>301</v>
      </c>
      <c r="U304" s="224">
        <f t="shared" si="23"/>
        <v>0</v>
      </c>
      <c r="V304" s="225">
        <f t="shared" si="24"/>
        <v>1</v>
      </c>
      <c r="W304" s="236">
        <f ca="1">+$U304*EWSpacingFt+XOffset+PanArrayWidthHighEndFt-(PanArrayWidthHighEndFt-PanArrayWidthLowEndFt)/2</f>
        <v>10.80282152230971</v>
      </c>
      <c r="X304" s="240">
        <f ca="1">$V304*NSSpacingFt+YOffset+0</f>
        <v>17.999999999999989</v>
      </c>
      <c r="Y304" s="244">
        <f ca="1">+$V304*NSGradeFt+PedHeight+0</f>
        <v>7.401410761154855</v>
      </c>
      <c r="Z304" s="214">
        <f ca="1">+$W304</f>
        <v>10.80282152230971</v>
      </c>
      <c r="AA304" s="214">
        <f ca="1">+$Y304</f>
        <v>7.401410761154855</v>
      </c>
      <c r="AB304" s="214">
        <f ca="1">+$X304</f>
        <v>17.999999999999989</v>
      </c>
      <c r="AC304" s="214">
        <f ca="1">+$W304-XOffset</f>
        <v>10.80282152230971</v>
      </c>
    </row>
    <row r="305" spans="8:29" s="213" customFormat="1" ht="9" customHeight="1">
      <c r="H305" s="212"/>
      <c r="I305" s="212"/>
      <c r="S305" s="307"/>
      <c r="T305" s="226">
        <f t="shared" si="26"/>
        <v>302</v>
      </c>
      <c r="U305" s="224">
        <f t="shared" si="23"/>
        <v>0</v>
      </c>
      <c r="V305" s="225">
        <f t="shared" si="24"/>
        <v>1</v>
      </c>
      <c r="W305" s="237">
        <f ca="1">$U305*EWSpacingFt+XOffset+PanArrayWidthHighEndFt</f>
        <v>10.80282152230971</v>
      </c>
      <c r="X305" s="241">
        <f ca="1">$V305*NSSpacingFt+YOffset+PanArrayLenFt*COS(RADIANS(Latitude+DecAng))</f>
        <v>34.439632545931751</v>
      </c>
      <c r="Y305" s="245">
        <f ca="1">+$V305*NSGradeFt+PedHeight+PanArrayLenFt*SIN(RADIANS(Latitude+DecAng))</f>
        <v>7.401410761154855</v>
      </c>
      <c r="Z305" s="214">
        <f ca="1">+$W305</f>
        <v>10.80282152230971</v>
      </c>
      <c r="AA305" s="214">
        <f ca="1">+$Y305</f>
        <v>7.401410761154855</v>
      </c>
      <c r="AB305" s="214">
        <f ca="1">+$X305</f>
        <v>34.439632545931751</v>
      </c>
      <c r="AC305" s="214">
        <f ca="1">+$W305-XOffset</f>
        <v>10.80282152230971</v>
      </c>
    </row>
    <row r="306" spans="8:29" s="213" customFormat="1" ht="9" customHeight="1">
      <c r="H306" s="212"/>
      <c r="I306" s="212"/>
      <c r="S306" s="307"/>
      <c r="T306" s="226">
        <f t="shared" si="26"/>
        <v>303</v>
      </c>
      <c r="U306" s="224">
        <f t="shared" si="23"/>
        <v>0</v>
      </c>
      <c r="V306" s="225">
        <f t="shared" si="24"/>
        <v>1</v>
      </c>
      <c r="W306" s="238">
        <f ca="1">$U306*EWSpacingFt+XOffset+0</f>
        <v>0</v>
      </c>
      <c r="X306" s="242">
        <f ca="1">$V306*NSSpacingFt+YOffset+PanArrayLenFt*COS(RADIANS(Latitude+DecAng))</f>
        <v>34.439632545931751</v>
      </c>
      <c r="Y306" s="246">
        <f ca="1">+$V306*NSGradeFt+PedHeight+PanArrayLenFt*SIN(RADIANS(Latitude+DecAng))</f>
        <v>7.401410761154855</v>
      </c>
      <c r="Z306" s="214">
        <f ca="1">+$W306</f>
        <v>0</v>
      </c>
      <c r="AA306" s="214">
        <f ca="1">+$Y306</f>
        <v>7.401410761154855</v>
      </c>
      <c r="AB306" s="214">
        <f ca="1">+$X306</f>
        <v>34.439632545931751</v>
      </c>
      <c r="AC306" s="214">
        <f ca="1">+$W306-XOffset</f>
        <v>0</v>
      </c>
    </row>
    <row r="307" spans="8:29" s="213" customFormat="1" ht="9" customHeight="1">
      <c r="H307" s="212"/>
      <c r="I307" s="212"/>
      <c r="S307" s="307"/>
      <c r="T307" s="226">
        <f t="shared" si="26"/>
        <v>304</v>
      </c>
      <c r="U307" s="224">
        <f t="shared" si="23"/>
        <v>0</v>
      </c>
      <c r="V307" s="225">
        <f t="shared" si="24"/>
        <v>1</v>
      </c>
      <c r="W307" s="239">
        <f ca="1">$U307*EWSpacingFt+XOffset+(PanArrayWidthHighEndFt-PanArrayWidthLowEndFt)/2</f>
        <v>0</v>
      </c>
      <c r="X307" s="243">
        <f ca="1">$V307*NSSpacingFt+YOffset+0</f>
        <v>17.999999999999989</v>
      </c>
      <c r="Y307" s="247">
        <f ca="1">+$V307*NSGradeFt+PedHeight+0</f>
        <v>7.401410761154855</v>
      </c>
      <c r="Z307" s="214">
        <f ca="1">+$W307</f>
        <v>0</v>
      </c>
      <c r="AA307" s="214">
        <f ca="1">+$Y307</f>
        <v>7.401410761154855</v>
      </c>
      <c r="AB307" s="214">
        <f ca="1">+$X307</f>
        <v>17.999999999999989</v>
      </c>
      <c r="AC307" s="214">
        <f ca="1">+$W307-XOffset</f>
        <v>0</v>
      </c>
    </row>
    <row r="308" spans="8:29" s="213" customFormat="1" ht="9" customHeight="1">
      <c r="H308" s="212"/>
      <c r="I308" s="212"/>
      <c r="S308" s="307"/>
      <c r="T308" s="226">
        <f t="shared" si="26"/>
        <v>305</v>
      </c>
      <c r="U308" s="224">
        <f t="shared" si="23"/>
        <v>0</v>
      </c>
      <c r="V308" s="225">
        <f t="shared" si="24"/>
        <v>1</v>
      </c>
      <c r="W308" s="217"/>
      <c r="X308" s="217"/>
      <c r="Y308" s="217"/>
      <c r="Z308" s="214"/>
      <c r="AA308" s="214"/>
      <c r="AB308" s="214"/>
      <c r="AC308" s="214"/>
    </row>
    <row r="309" spans="8:29" s="213" customFormat="1" ht="9" customHeight="1">
      <c r="H309" s="212"/>
      <c r="I309" s="212"/>
      <c r="S309" s="307">
        <f>INT((T309-0)/6)+1</f>
        <v>52</v>
      </c>
      <c r="T309" s="226">
        <f t="shared" si="26"/>
        <v>306</v>
      </c>
      <c r="U309" s="224">
        <f t="shared" si="23"/>
        <v>1</v>
      </c>
      <c r="V309" s="225">
        <f t="shared" si="24"/>
        <v>1</v>
      </c>
      <c r="W309" s="233">
        <f ca="1">$U309*EWSpacingFt+XOffset+(PanArrayWidthHighEndFt-PanArrayWidthLowEndFt)/2</f>
        <v>30.000006832286932</v>
      </c>
      <c r="X309" s="234">
        <f ca="1">$V309*NSSpacingFt+YOffset+0</f>
        <v>17.999999999999989</v>
      </c>
      <c r="Y309" s="235">
        <f ca="1">+$V309*NSGradeFt+PedHeight+0</f>
        <v>7.401410761154855</v>
      </c>
      <c r="Z309" s="214">
        <f ca="1">+$W309</f>
        <v>30.000006832286932</v>
      </c>
      <c r="AA309" s="214">
        <f ca="1">+$Y309</f>
        <v>7.401410761154855</v>
      </c>
      <c r="AB309" s="214">
        <f ca="1">+$X309</f>
        <v>17.999999999999989</v>
      </c>
      <c r="AC309" s="214">
        <f ca="1">+$W309-XOffset</f>
        <v>30.000006832286932</v>
      </c>
    </row>
    <row r="310" spans="8:29" s="213" customFormat="1" ht="9" customHeight="1">
      <c r="H310" s="212"/>
      <c r="I310" s="212"/>
      <c r="S310" s="307"/>
      <c r="T310" s="226">
        <f t="shared" si="26"/>
        <v>307</v>
      </c>
      <c r="U310" s="224">
        <f t="shared" si="23"/>
        <v>1</v>
      </c>
      <c r="V310" s="225">
        <f t="shared" si="24"/>
        <v>1</v>
      </c>
      <c r="W310" s="236">
        <f ca="1">+$U310*EWSpacingFt+XOffset+PanArrayWidthHighEndFt-(PanArrayWidthHighEndFt-PanArrayWidthLowEndFt)/2</f>
        <v>40.802828354596642</v>
      </c>
      <c r="X310" s="240">
        <f ca="1">$V310*NSSpacingFt+YOffset+0</f>
        <v>17.999999999999989</v>
      </c>
      <c r="Y310" s="244">
        <f ca="1">+$V310*NSGradeFt+PedHeight+0</f>
        <v>7.401410761154855</v>
      </c>
      <c r="Z310" s="214">
        <f ca="1">+$W310</f>
        <v>40.802828354596642</v>
      </c>
      <c r="AA310" s="214">
        <f ca="1">+$Y310</f>
        <v>7.401410761154855</v>
      </c>
      <c r="AB310" s="214">
        <f ca="1">+$X310</f>
        <v>17.999999999999989</v>
      </c>
      <c r="AC310" s="214">
        <f ca="1">+$W310-XOffset</f>
        <v>40.802828354596642</v>
      </c>
    </row>
    <row r="311" spans="8:29" s="213" customFormat="1" ht="9" customHeight="1">
      <c r="H311" s="212"/>
      <c r="I311" s="212"/>
      <c r="S311" s="307"/>
      <c r="T311" s="226">
        <f t="shared" si="26"/>
        <v>308</v>
      </c>
      <c r="U311" s="224">
        <f t="shared" si="23"/>
        <v>1</v>
      </c>
      <c r="V311" s="225">
        <f t="shared" si="24"/>
        <v>1</v>
      </c>
      <c r="W311" s="237">
        <f ca="1">$U311*EWSpacingFt+XOffset+PanArrayWidthHighEndFt</f>
        <v>40.802828354596642</v>
      </c>
      <c r="X311" s="241">
        <f ca="1">$V311*NSSpacingFt+YOffset+PanArrayLenFt*COS(RADIANS(Latitude+DecAng))</f>
        <v>34.439632545931751</v>
      </c>
      <c r="Y311" s="245">
        <f ca="1">+$V311*NSGradeFt+PedHeight+PanArrayLenFt*SIN(RADIANS(Latitude+DecAng))</f>
        <v>7.401410761154855</v>
      </c>
      <c r="Z311" s="214">
        <f ca="1">+$W311</f>
        <v>40.802828354596642</v>
      </c>
      <c r="AA311" s="214">
        <f ca="1">+$Y311</f>
        <v>7.401410761154855</v>
      </c>
      <c r="AB311" s="214">
        <f ca="1">+$X311</f>
        <v>34.439632545931751</v>
      </c>
      <c r="AC311" s="214">
        <f ca="1">+$W311-XOffset</f>
        <v>40.802828354596642</v>
      </c>
    </row>
    <row r="312" spans="8:29" s="213" customFormat="1" ht="9" customHeight="1">
      <c r="H312" s="212"/>
      <c r="I312" s="212"/>
      <c r="S312" s="307"/>
      <c r="T312" s="226">
        <f t="shared" si="26"/>
        <v>309</v>
      </c>
      <c r="U312" s="224">
        <f t="shared" si="23"/>
        <v>1</v>
      </c>
      <c r="V312" s="225">
        <f t="shared" si="24"/>
        <v>1</v>
      </c>
      <c r="W312" s="238">
        <f ca="1">$U312*EWSpacingFt+XOffset+0</f>
        <v>30.000006832286932</v>
      </c>
      <c r="X312" s="242">
        <f ca="1">$V312*NSSpacingFt+YOffset+PanArrayLenFt*COS(RADIANS(Latitude+DecAng))</f>
        <v>34.439632545931751</v>
      </c>
      <c r="Y312" s="246">
        <f ca="1">+$V312*NSGradeFt+PedHeight+PanArrayLenFt*SIN(RADIANS(Latitude+DecAng))</f>
        <v>7.401410761154855</v>
      </c>
      <c r="Z312" s="214">
        <f ca="1">+$W312</f>
        <v>30.000006832286932</v>
      </c>
      <c r="AA312" s="214">
        <f ca="1">+$Y312</f>
        <v>7.401410761154855</v>
      </c>
      <c r="AB312" s="214">
        <f ca="1">+$X312</f>
        <v>34.439632545931751</v>
      </c>
      <c r="AC312" s="214">
        <f ca="1">+$W312-XOffset</f>
        <v>30.000006832286932</v>
      </c>
    </row>
    <row r="313" spans="8:29" s="213" customFormat="1" ht="9" customHeight="1">
      <c r="H313" s="212"/>
      <c r="I313" s="212"/>
      <c r="S313" s="307"/>
      <c r="T313" s="226">
        <f t="shared" si="26"/>
        <v>310</v>
      </c>
      <c r="U313" s="224">
        <f t="shared" si="23"/>
        <v>1</v>
      </c>
      <c r="V313" s="225">
        <f t="shared" si="24"/>
        <v>1</v>
      </c>
      <c r="W313" s="239">
        <f ca="1">$U313*EWSpacingFt+XOffset+(PanArrayWidthHighEndFt-PanArrayWidthLowEndFt)/2</f>
        <v>30.000006832286932</v>
      </c>
      <c r="X313" s="243">
        <f ca="1">$V313*NSSpacingFt+YOffset+0</f>
        <v>17.999999999999989</v>
      </c>
      <c r="Y313" s="247">
        <f ca="1">+$V313*NSGradeFt+PedHeight+0</f>
        <v>7.401410761154855</v>
      </c>
      <c r="Z313" s="214">
        <f ca="1">+$W313</f>
        <v>30.000006832286932</v>
      </c>
      <c r="AA313" s="214">
        <f ca="1">+$Y313</f>
        <v>7.401410761154855</v>
      </c>
      <c r="AB313" s="214">
        <f ca="1">+$X313</f>
        <v>17.999999999999989</v>
      </c>
      <c r="AC313" s="214">
        <f ca="1">+$W313-XOffset</f>
        <v>30.000006832286932</v>
      </c>
    </row>
    <row r="314" spans="8:29" s="213" customFormat="1" ht="9" customHeight="1">
      <c r="H314" s="212"/>
      <c r="I314" s="212"/>
      <c r="S314" s="307"/>
      <c r="T314" s="226">
        <f t="shared" si="26"/>
        <v>311</v>
      </c>
      <c r="U314" s="224">
        <f t="shared" si="23"/>
        <v>1</v>
      </c>
      <c r="V314" s="225">
        <f t="shared" si="24"/>
        <v>1</v>
      </c>
      <c r="W314" s="217"/>
      <c r="X314" s="217"/>
      <c r="Y314" s="217"/>
      <c r="Z314" s="214"/>
      <c r="AA314" s="214"/>
      <c r="AB314" s="214"/>
      <c r="AC314" s="214"/>
    </row>
    <row r="315" spans="8:29" s="213" customFormat="1" ht="9" customHeight="1">
      <c r="H315" s="212"/>
      <c r="I315" s="212"/>
      <c r="S315" s="307">
        <f>INT((T315-0)/6)+1</f>
        <v>53</v>
      </c>
      <c r="T315" s="226">
        <f t="shared" si="26"/>
        <v>312</v>
      </c>
      <c r="U315" s="224">
        <f t="shared" si="23"/>
        <v>0</v>
      </c>
      <c r="V315" s="225">
        <f t="shared" si="24"/>
        <v>2</v>
      </c>
      <c r="W315" s="233">
        <f ca="1">$U315*EWSpacingFt+XOffset+(PanArrayWidthHighEndFt-PanArrayWidthLowEndFt)/2</f>
        <v>0</v>
      </c>
      <c r="X315" s="234">
        <f ca="1">$V315*NSSpacingFt+YOffset+0</f>
        <v>35.999999999999979</v>
      </c>
      <c r="Y315" s="235">
        <f ca="1">+$V315*NSGradeFt+PedHeight+0</f>
        <v>7.401410761154855</v>
      </c>
      <c r="Z315" s="214">
        <f ca="1">+$W315</f>
        <v>0</v>
      </c>
      <c r="AA315" s="214">
        <f ca="1">+$Y315</f>
        <v>7.401410761154855</v>
      </c>
      <c r="AB315" s="214">
        <f ca="1">+$X315</f>
        <v>35.999999999999979</v>
      </c>
      <c r="AC315" s="214">
        <f ca="1">+$W315-XOffset</f>
        <v>0</v>
      </c>
    </row>
    <row r="316" spans="8:29" s="213" customFormat="1" ht="9" customHeight="1">
      <c r="H316" s="212"/>
      <c r="I316" s="212"/>
      <c r="S316" s="307"/>
      <c r="T316" s="226">
        <f t="shared" si="26"/>
        <v>313</v>
      </c>
      <c r="U316" s="224">
        <f t="shared" si="23"/>
        <v>0</v>
      </c>
      <c r="V316" s="225">
        <f t="shared" si="24"/>
        <v>2</v>
      </c>
      <c r="W316" s="236">
        <f ca="1">+$U316*EWSpacingFt+XOffset+PanArrayWidthHighEndFt-(PanArrayWidthHighEndFt-PanArrayWidthLowEndFt)/2</f>
        <v>10.80282152230971</v>
      </c>
      <c r="X316" s="240">
        <f ca="1">$V316*NSSpacingFt+YOffset+0</f>
        <v>35.999999999999979</v>
      </c>
      <c r="Y316" s="244">
        <f ca="1">+$V316*NSGradeFt+PedHeight+0</f>
        <v>7.401410761154855</v>
      </c>
      <c r="Z316" s="214">
        <f ca="1">+$W316</f>
        <v>10.80282152230971</v>
      </c>
      <c r="AA316" s="214">
        <f ca="1">+$Y316</f>
        <v>7.401410761154855</v>
      </c>
      <c r="AB316" s="214">
        <f ca="1">+$X316</f>
        <v>35.999999999999979</v>
      </c>
      <c r="AC316" s="214">
        <f ca="1">+$W316-XOffset</f>
        <v>10.80282152230971</v>
      </c>
    </row>
    <row r="317" spans="8:29" s="213" customFormat="1" ht="9" customHeight="1">
      <c r="H317" s="212"/>
      <c r="I317" s="212"/>
      <c r="S317" s="307"/>
      <c r="T317" s="226">
        <f t="shared" si="26"/>
        <v>314</v>
      </c>
      <c r="U317" s="224">
        <f t="shared" si="23"/>
        <v>0</v>
      </c>
      <c r="V317" s="225">
        <f t="shared" si="24"/>
        <v>2</v>
      </c>
      <c r="W317" s="237">
        <f ca="1">$U317*EWSpacingFt+XOffset+PanArrayWidthHighEndFt</f>
        <v>10.80282152230971</v>
      </c>
      <c r="X317" s="241">
        <f ca="1">$V317*NSSpacingFt+YOffset+PanArrayLenFt*COS(RADIANS(Latitude+DecAng))</f>
        <v>52.439632545931744</v>
      </c>
      <c r="Y317" s="245">
        <f ca="1">+$V317*NSGradeFt+PedHeight+PanArrayLenFt*SIN(RADIANS(Latitude+DecAng))</f>
        <v>7.401410761154855</v>
      </c>
      <c r="Z317" s="214">
        <f ca="1">+$W317</f>
        <v>10.80282152230971</v>
      </c>
      <c r="AA317" s="214">
        <f ca="1">+$Y317</f>
        <v>7.401410761154855</v>
      </c>
      <c r="AB317" s="214">
        <f ca="1">+$X317</f>
        <v>52.439632545931744</v>
      </c>
      <c r="AC317" s="214">
        <f ca="1">+$W317-XOffset</f>
        <v>10.80282152230971</v>
      </c>
    </row>
    <row r="318" spans="8:29" s="213" customFormat="1" ht="9" customHeight="1">
      <c r="H318" s="212"/>
      <c r="I318" s="212"/>
      <c r="S318" s="307"/>
      <c r="T318" s="226">
        <f t="shared" si="26"/>
        <v>315</v>
      </c>
      <c r="U318" s="224">
        <f t="shared" si="23"/>
        <v>0</v>
      </c>
      <c r="V318" s="225">
        <f t="shared" si="24"/>
        <v>2</v>
      </c>
      <c r="W318" s="238">
        <f ca="1">$U318*EWSpacingFt+XOffset+0</f>
        <v>0</v>
      </c>
      <c r="X318" s="242">
        <f ca="1">$V318*NSSpacingFt+YOffset+PanArrayLenFt*COS(RADIANS(Latitude+DecAng))</f>
        <v>52.439632545931744</v>
      </c>
      <c r="Y318" s="246">
        <f ca="1">+$V318*NSGradeFt+PedHeight+PanArrayLenFt*SIN(RADIANS(Latitude+DecAng))</f>
        <v>7.401410761154855</v>
      </c>
      <c r="Z318" s="214">
        <f ca="1">+$W318</f>
        <v>0</v>
      </c>
      <c r="AA318" s="214">
        <f ca="1">+$Y318</f>
        <v>7.401410761154855</v>
      </c>
      <c r="AB318" s="214">
        <f ca="1">+$X318</f>
        <v>52.439632545931744</v>
      </c>
      <c r="AC318" s="214">
        <f ca="1">+$W318-XOffset</f>
        <v>0</v>
      </c>
    </row>
    <row r="319" spans="8:29" s="213" customFormat="1" ht="9" customHeight="1">
      <c r="H319" s="212"/>
      <c r="I319" s="212"/>
      <c r="S319" s="307"/>
      <c r="T319" s="226">
        <f t="shared" si="26"/>
        <v>316</v>
      </c>
      <c r="U319" s="224">
        <f t="shared" si="23"/>
        <v>0</v>
      </c>
      <c r="V319" s="225">
        <f t="shared" si="24"/>
        <v>2</v>
      </c>
      <c r="W319" s="239">
        <f ca="1">$U319*EWSpacingFt+XOffset+(PanArrayWidthHighEndFt-PanArrayWidthLowEndFt)/2</f>
        <v>0</v>
      </c>
      <c r="X319" s="243">
        <f ca="1">$V319*NSSpacingFt+YOffset+0</f>
        <v>35.999999999999979</v>
      </c>
      <c r="Y319" s="247">
        <f ca="1">+$V319*NSGradeFt+PedHeight+0</f>
        <v>7.401410761154855</v>
      </c>
      <c r="Z319" s="214">
        <f ca="1">+$W319</f>
        <v>0</v>
      </c>
      <c r="AA319" s="214">
        <f ca="1">+$Y319</f>
        <v>7.401410761154855</v>
      </c>
      <c r="AB319" s="214">
        <f ca="1">+$X319</f>
        <v>35.999999999999979</v>
      </c>
      <c r="AC319" s="214">
        <f ca="1">+$W319-XOffset</f>
        <v>0</v>
      </c>
    </row>
    <row r="320" spans="8:29" s="213" customFormat="1" ht="9" customHeight="1">
      <c r="H320" s="212"/>
      <c r="I320" s="212"/>
      <c r="S320" s="307"/>
      <c r="T320" s="226">
        <f t="shared" si="26"/>
        <v>317</v>
      </c>
      <c r="U320" s="224">
        <f t="shared" si="23"/>
        <v>0</v>
      </c>
      <c r="V320" s="225">
        <f t="shared" si="24"/>
        <v>2</v>
      </c>
      <c r="W320" s="217"/>
      <c r="X320" s="217"/>
      <c r="Y320" s="217"/>
      <c r="Z320" s="214"/>
      <c r="AA320" s="214"/>
      <c r="AB320" s="214"/>
      <c r="AC320" s="214"/>
    </row>
    <row r="321" spans="8:29" s="213" customFormat="1" ht="9" customHeight="1">
      <c r="H321" s="212"/>
      <c r="I321" s="212"/>
      <c r="S321" s="307">
        <f>INT((T321-0)/6)+1</f>
        <v>54</v>
      </c>
      <c r="T321" s="226">
        <f t="shared" si="26"/>
        <v>318</v>
      </c>
      <c r="U321" s="224">
        <f t="shared" si="23"/>
        <v>1</v>
      </c>
      <c r="V321" s="225">
        <f t="shared" si="24"/>
        <v>2</v>
      </c>
      <c r="W321" s="233">
        <f ca="1">$U321*EWSpacingFt+XOffset+(PanArrayWidthHighEndFt-PanArrayWidthLowEndFt)/2</f>
        <v>30.000006832286932</v>
      </c>
      <c r="X321" s="234">
        <f ca="1">$V321*NSSpacingFt+YOffset+0</f>
        <v>35.999999999999979</v>
      </c>
      <c r="Y321" s="235">
        <f ca="1">+$V321*NSGradeFt+PedHeight+0</f>
        <v>7.401410761154855</v>
      </c>
      <c r="Z321" s="214">
        <f ca="1">+$W321</f>
        <v>30.000006832286932</v>
      </c>
      <c r="AA321" s="214">
        <f ca="1">+$Y321</f>
        <v>7.401410761154855</v>
      </c>
      <c r="AB321" s="214">
        <f ca="1">+$X321</f>
        <v>35.999999999999979</v>
      </c>
      <c r="AC321" s="214">
        <f ca="1">+$W321-XOffset</f>
        <v>30.000006832286932</v>
      </c>
    </row>
    <row r="322" spans="8:29" s="213" customFormat="1" ht="9" customHeight="1">
      <c r="H322" s="212"/>
      <c r="I322" s="212"/>
      <c r="S322" s="307"/>
      <c r="T322" s="226">
        <f t="shared" si="26"/>
        <v>319</v>
      </c>
      <c r="U322" s="224">
        <f t="shared" si="23"/>
        <v>1</v>
      </c>
      <c r="V322" s="225">
        <f t="shared" si="24"/>
        <v>2</v>
      </c>
      <c r="W322" s="236">
        <f ca="1">+$U322*EWSpacingFt+XOffset+PanArrayWidthHighEndFt-(PanArrayWidthHighEndFt-PanArrayWidthLowEndFt)/2</f>
        <v>40.802828354596642</v>
      </c>
      <c r="X322" s="240">
        <f ca="1">$V322*NSSpacingFt+YOffset+0</f>
        <v>35.999999999999979</v>
      </c>
      <c r="Y322" s="244">
        <f ca="1">+$V322*NSGradeFt+PedHeight+0</f>
        <v>7.401410761154855</v>
      </c>
      <c r="Z322" s="214">
        <f ca="1">+$W322</f>
        <v>40.802828354596642</v>
      </c>
      <c r="AA322" s="214">
        <f ca="1">+$Y322</f>
        <v>7.401410761154855</v>
      </c>
      <c r="AB322" s="214">
        <f ca="1">+$X322</f>
        <v>35.999999999999979</v>
      </c>
      <c r="AC322" s="214">
        <f ca="1">+$W322-XOffset</f>
        <v>40.802828354596642</v>
      </c>
    </row>
    <row r="323" spans="8:29" s="213" customFormat="1" ht="9" customHeight="1">
      <c r="H323" s="212"/>
      <c r="I323" s="212"/>
      <c r="S323" s="307"/>
      <c r="T323" s="226">
        <f t="shared" si="26"/>
        <v>320</v>
      </c>
      <c r="U323" s="224">
        <f t="shared" ref="U323:U386" si="27">+MOD(INT(T323/6),ColumnsOfMounts)</f>
        <v>1</v>
      </c>
      <c r="V323" s="225">
        <f t="shared" ref="V323:V386" si="28">+MOD(INT(T323/6/ColumnsOfMounts),RowsOfMounts)</f>
        <v>2</v>
      </c>
      <c r="W323" s="237">
        <f ca="1">$U323*EWSpacingFt+XOffset+PanArrayWidthHighEndFt</f>
        <v>40.802828354596642</v>
      </c>
      <c r="X323" s="241">
        <f ca="1">$V323*NSSpacingFt+YOffset+PanArrayLenFt*COS(RADIANS(Latitude+DecAng))</f>
        <v>52.439632545931744</v>
      </c>
      <c r="Y323" s="245">
        <f ca="1">+$V323*NSGradeFt+PedHeight+PanArrayLenFt*SIN(RADIANS(Latitude+DecAng))</f>
        <v>7.401410761154855</v>
      </c>
      <c r="Z323" s="214">
        <f ca="1">+$W323</f>
        <v>40.802828354596642</v>
      </c>
      <c r="AA323" s="214">
        <f ca="1">+$Y323</f>
        <v>7.401410761154855</v>
      </c>
      <c r="AB323" s="214">
        <f ca="1">+$X323</f>
        <v>52.439632545931744</v>
      </c>
      <c r="AC323" s="214">
        <f ca="1">+$W323-XOffset</f>
        <v>40.802828354596642</v>
      </c>
    </row>
    <row r="324" spans="8:29" s="213" customFormat="1" ht="9" customHeight="1">
      <c r="H324" s="212"/>
      <c r="I324" s="212"/>
      <c r="S324" s="307"/>
      <c r="T324" s="226">
        <f t="shared" si="26"/>
        <v>321</v>
      </c>
      <c r="U324" s="224">
        <f t="shared" si="27"/>
        <v>1</v>
      </c>
      <c r="V324" s="225">
        <f t="shared" si="28"/>
        <v>2</v>
      </c>
      <c r="W324" s="238">
        <f ca="1">$U324*EWSpacingFt+XOffset+0</f>
        <v>30.000006832286932</v>
      </c>
      <c r="X324" s="242">
        <f ca="1">$V324*NSSpacingFt+YOffset+PanArrayLenFt*COS(RADIANS(Latitude+DecAng))</f>
        <v>52.439632545931744</v>
      </c>
      <c r="Y324" s="246">
        <f ca="1">+$V324*NSGradeFt+PedHeight+PanArrayLenFt*SIN(RADIANS(Latitude+DecAng))</f>
        <v>7.401410761154855</v>
      </c>
      <c r="Z324" s="214">
        <f ca="1">+$W324</f>
        <v>30.000006832286932</v>
      </c>
      <c r="AA324" s="214">
        <f ca="1">+$Y324</f>
        <v>7.401410761154855</v>
      </c>
      <c r="AB324" s="214">
        <f ca="1">+$X324</f>
        <v>52.439632545931744</v>
      </c>
      <c r="AC324" s="214">
        <f ca="1">+$W324-XOffset</f>
        <v>30.000006832286932</v>
      </c>
    </row>
    <row r="325" spans="8:29" s="213" customFormat="1" ht="9" customHeight="1">
      <c r="H325" s="212"/>
      <c r="I325" s="212"/>
      <c r="S325" s="307"/>
      <c r="T325" s="226">
        <f t="shared" si="26"/>
        <v>322</v>
      </c>
      <c r="U325" s="224">
        <f t="shared" si="27"/>
        <v>1</v>
      </c>
      <c r="V325" s="225">
        <f t="shared" si="28"/>
        <v>2</v>
      </c>
      <c r="W325" s="239">
        <f ca="1">$U325*EWSpacingFt+XOffset+(PanArrayWidthHighEndFt-PanArrayWidthLowEndFt)/2</f>
        <v>30.000006832286932</v>
      </c>
      <c r="X325" s="243">
        <f ca="1">$V325*NSSpacingFt+YOffset+0</f>
        <v>35.999999999999979</v>
      </c>
      <c r="Y325" s="247">
        <f ca="1">+$V325*NSGradeFt+PedHeight+0</f>
        <v>7.401410761154855</v>
      </c>
      <c r="Z325" s="214">
        <f ca="1">+$W325</f>
        <v>30.000006832286932</v>
      </c>
      <c r="AA325" s="214">
        <f ca="1">+$Y325</f>
        <v>7.401410761154855</v>
      </c>
      <c r="AB325" s="214">
        <f ca="1">+$X325</f>
        <v>35.999999999999979</v>
      </c>
      <c r="AC325" s="214">
        <f ca="1">+$W325-XOffset</f>
        <v>30.000006832286932</v>
      </c>
    </row>
    <row r="326" spans="8:29" s="213" customFormat="1" ht="9" customHeight="1">
      <c r="H326" s="212"/>
      <c r="I326" s="212"/>
      <c r="S326" s="307"/>
      <c r="T326" s="226">
        <f t="shared" si="26"/>
        <v>323</v>
      </c>
      <c r="U326" s="224">
        <f t="shared" si="27"/>
        <v>1</v>
      </c>
      <c r="V326" s="225">
        <f t="shared" si="28"/>
        <v>2</v>
      </c>
      <c r="W326" s="217"/>
      <c r="X326" s="217"/>
      <c r="Y326" s="217"/>
      <c r="Z326" s="214"/>
      <c r="AA326" s="214"/>
      <c r="AB326" s="214"/>
      <c r="AC326" s="214"/>
    </row>
    <row r="327" spans="8:29" s="213" customFormat="1" ht="9" customHeight="1">
      <c r="H327" s="212"/>
      <c r="I327" s="212"/>
      <c r="S327" s="307">
        <f>INT((T327-0)/6)+1</f>
        <v>55</v>
      </c>
      <c r="T327" s="226">
        <f t="shared" si="26"/>
        <v>324</v>
      </c>
      <c r="U327" s="224">
        <f t="shared" si="27"/>
        <v>0</v>
      </c>
      <c r="V327" s="225">
        <f t="shared" si="28"/>
        <v>3</v>
      </c>
      <c r="W327" s="233">
        <f ca="1">$U327*EWSpacingFt+XOffset+(PanArrayWidthHighEndFt-PanArrayWidthLowEndFt)/2</f>
        <v>0</v>
      </c>
      <c r="X327" s="234">
        <f ca="1">$V327*NSSpacingFt+YOffset+0</f>
        <v>53.999999999999972</v>
      </c>
      <c r="Y327" s="235">
        <f ca="1">+$V327*NSGradeFt+PedHeight+0</f>
        <v>7.401410761154855</v>
      </c>
      <c r="Z327" s="214">
        <f ca="1">+$W327</f>
        <v>0</v>
      </c>
      <c r="AA327" s="214">
        <f ca="1">+$Y327</f>
        <v>7.401410761154855</v>
      </c>
      <c r="AB327" s="214">
        <f ca="1">+$X327</f>
        <v>53.999999999999972</v>
      </c>
      <c r="AC327" s="214">
        <f ca="1">+$W327-XOffset</f>
        <v>0</v>
      </c>
    </row>
    <row r="328" spans="8:29" s="213" customFormat="1" ht="9" customHeight="1">
      <c r="H328" s="212"/>
      <c r="I328" s="212"/>
      <c r="S328" s="307"/>
      <c r="T328" s="226">
        <f t="shared" si="26"/>
        <v>325</v>
      </c>
      <c r="U328" s="224">
        <f t="shared" si="27"/>
        <v>0</v>
      </c>
      <c r="V328" s="225">
        <f t="shared" si="28"/>
        <v>3</v>
      </c>
      <c r="W328" s="236">
        <f ca="1">+$U328*EWSpacingFt+XOffset+PanArrayWidthHighEndFt-(PanArrayWidthHighEndFt-PanArrayWidthLowEndFt)/2</f>
        <v>10.80282152230971</v>
      </c>
      <c r="X328" s="240">
        <f ca="1">$V328*NSSpacingFt+YOffset+0</f>
        <v>53.999999999999972</v>
      </c>
      <c r="Y328" s="244">
        <f ca="1">+$V328*NSGradeFt+PedHeight+0</f>
        <v>7.401410761154855</v>
      </c>
      <c r="Z328" s="214">
        <f ca="1">+$W328</f>
        <v>10.80282152230971</v>
      </c>
      <c r="AA328" s="214">
        <f ca="1">+$Y328</f>
        <v>7.401410761154855</v>
      </c>
      <c r="AB328" s="214">
        <f ca="1">+$X328</f>
        <v>53.999999999999972</v>
      </c>
      <c r="AC328" s="214">
        <f ca="1">+$W328-XOffset</f>
        <v>10.80282152230971</v>
      </c>
    </row>
    <row r="329" spans="8:29" s="213" customFormat="1" ht="9" customHeight="1">
      <c r="H329" s="212"/>
      <c r="I329" s="212"/>
      <c r="S329" s="307"/>
      <c r="T329" s="226">
        <f t="shared" si="26"/>
        <v>326</v>
      </c>
      <c r="U329" s="224">
        <f t="shared" si="27"/>
        <v>0</v>
      </c>
      <c r="V329" s="225">
        <f t="shared" si="28"/>
        <v>3</v>
      </c>
      <c r="W329" s="237">
        <f ca="1">$U329*EWSpacingFt+XOffset+PanArrayWidthHighEndFt</f>
        <v>10.80282152230971</v>
      </c>
      <c r="X329" s="241">
        <f ca="1">$V329*NSSpacingFt+YOffset+PanArrayLenFt*COS(RADIANS(Latitude+DecAng))</f>
        <v>70.43963254593173</v>
      </c>
      <c r="Y329" s="245">
        <f ca="1">+$V329*NSGradeFt+PedHeight+PanArrayLenFt*SIN(RADIANS(Latitude+DecAng))</f>
        <v>7.401410761154855</v>
      </c>
      <c r="Z329" s="214">
        <f ca="1">+$W329</f>
        <v>10.80282152230971</v>
      </c>
      <c r="AA329" s="214">
        <f ca="1">+$Y329</f>
        <v>7.401410761154855</v>
      </c>
      <c r="AB329" s="214">
        <f ca="1">+$X329</f>
        <v>70.43963254593173</v>
      </c>
      <c r="AC329" s="214">
        <f ca="1">+$W329-XOffset</f>
        <v>10.80282152230971</v>
      </c>
    </row>
    <row r="330" spans="8:29" s="213" customFormat="1" ht="9" customHeight="1">
      <c r="H330" s="212"/>
      <c r="I330" s="212"/>
      <c r="S330" s="307"/>
      <c r="T330" s="226">
        <f t="shared" si="26"/>
        <v>327</v>
      </c>
      <c r="U330" s="224">
        <f t="shared" si="27"/>
        <v>0</v>
      </c>
      <c r="V330" s="225">
        <f t="shared" si="28"/>
        <v>3</v>
      </c>
      <c r="W330" s="238">
        <f ca="1">$U330*EWSpacingFt+XOffset+0</f>
        <v>0</v>
      </c>
      <c r="X330" s="242">
        <f ca="1">$V330*NSSpacingFt+YOffset+PanArrayLenFt*COS(RADIANS(Latitude+DecAng))</f>
        <v>70.43963254593173</v>
      </c>
      <c r="Y330" s="246">
        <f ca="1">+$V330*NSGradeFt+PedHeight+PanArrayLenFt*SIN(RADIANS(Latitude+DecAng))</f>
        <v>7.401410761154855</v>
      </c>
      <c r="Z330" s="214">
        <f ca="1">+$W330</f>
        <v>0</v>
      </c>
      <c r="AA330" s="214">
        <f ca="1">+$Y330</f>
        <v>7.401410761154855</v>
      </c>
      <c r="AB330" s="214">
        <f ca="1">+$X330</f>
        <v>70.43963254593173</v>
      </c>
      <c r="AC330" s="214">
        <f ca="1">+$W330-XOffset</f>
        <v>0</v>
      </c>
    </row>
    <row r="331" spans="8:29" s="213" customFormat="1" ht="9" customHeight="1">
      <c r="H331" s="212"/>
      <c r="I331" s="212"/>
      <c r="S331" s="307"/>
      <c r="T331" s="226">
        <f t="shared" si="26"/>
        <v>328</v>
      </c>
      <c r="U331" s="224">
        <f t="shared" si="27"/>
        <v>0</v>
      </c>
      <c r="V331" s="225">
        <f t="shared" si="28"/>
        <v>3</v>
      </c>
      <c r="W331" s="239">
        <f ca="1">$U331*EWSpacingFt+XOffset+(PanArrayWidthHighEndFt-PanArrayWidthLowEndFt)/2</f>
        <v>0</v>
      </c>
      <c r="X331" s="243">
        <f ca="1">$V331*NSSpacingFt+YOffset+0</f>
        <v>53.999999999999972</v>
      </c>
      <c r="Y331" s="247">
        <f ca="1">+$V331*NSGradeFt+PedHeight+0</f>
        <v>7.401410761154855</v>
      </c>
      <c r="Z331" s="214">
        <f ca="1">+$W331</f>
        <v>0</v>
      </c>
      <c r="AA331" s="214">
        <f ca="1">+$Y331</f>
        <v>7.401410761154855</v>
      </c>
      <c r="AB331" s="214">
        <f ca="1">+$X331</f>
        <v>53.999999999999972</v>
      </c>
      <c r="AC331" s="214">
        <f ca="1">+$W331-XOffset</f>
        <v>0</v>
      </c>
    </row>
    <row r="332" spans="8:29" s="213" customFormat="1" ht="9" customHeight="1">
      <c r="H332" s="212"/>
      <c r="I332" s="212"/>
      <c r="S332" s="307"/>
      <c r="T332" s="226">
        <f t="shared" si="26"/>
        <v>329</v>
      </c>
      <c r="U332" s="224">
        <f t="shared" si="27"/>
        <v>0</v>
      </c>
      <c r="V332" s="225">
        <f t="shared" si="28"/>
        <v>3</v>
      </c>
      <c r="W332" s="217"/>
      <c r="X332" s="217"/>
      <c r="Y332" s="217"/>
      <c r="Z332" s="214"/>
      <c r="AA332" s="214"/>
      <c r="AB332" s="214"/>
      <c r="AC332" s="214"/>
    </row>
    <row r="333" spans="8:29" s="213" customFormat="1" ht="9" customHeight="1">
      <c r="H333" s="212"/>
      <c r="I333" s="212"/>
      <c r="S333" s="307">
        <f>INT((T333-0)/6)+1</f>
        <v>56</v>
      </c>
      <c r="T333" s="226">
        <f t="shared" si="26"/>
        <v>330</v>
      </c>
      <c r="U333" s="224">
        <f t="shared" si="27"/>
        <v>1</v>
      </c>
      <c r="V333" s="225">
        <f t="shared" si="28"/>
        <v>3</v>
      </c>
      <c r="W333" s="233">
        <f ca="1">$U333*EWSpacingFt+XOffset+(PanArrayWidthHighEndFt-PanArrayWidthLowEndFt)/2</f>
        <v>30.000006832286932</v>
      </c>
      <c r="X333" s="234">
        <f ca="1">$V333*NSSpacingFt+YOffset+0</f>
        <v>53.999999999999972</v>
      </c>
      <c r="Y333" s="235">
        <f ca="1">+$V333*NSGradeFt+PedHeight+0</f>
        <v>7.401410761154855</v>
      </c>
      <c r="Z333" s="214">
        <f ca="1">+$W333</f>
        <v>30.000006832286932</v>
      </c>
      <c r="AA333" s="214">
        <f ca="1">+$Y333</f>
        <v>7.401410761154855</v>
      </c>
      <c r="AB333" s="214">
        <f ca="1">+$X333</f>
        <v>53.999999999999972</v>
      </c>
      <c r="AC333" s="214">
        <f ca="1">+$W333-XOffset</f>
        <v>30.000006832286932</v>
      </c>
    </row>
    <row r="334" spans="8:29" s="213" customFormat="1" ht="9" customHeight="1">
      <c r="H334" s="212"/>
      <c r="I334" s="212"/>
      <c r="S334" s="307"/>
      <c r="T334" s="226">
        <f t="shared" si="26"/>
        <v>331</v>
      </c>
      <c r="U334" s="224">
        <f t="shared" si="27"/>
        <v>1</v>
      </c>
      <c r="V334" s="225">
        <f t="shared" si="28"/>
        <v>3</v>
      </c>
      <c r="W334" s="236">
        <f ca="1">+$U334*EWSpacingFt+XOffset+PanArrayWidthHighEndFt-(PanArrayWidthHighEndFt-PanArrayWidthLowEndFt)/2</f>
        <v>40.802828354596642</v>
      </c>
      <c r="X334" s="240">
        <f ca="1">$V334*NSSpacingFt+YOffset+0</f>
        <v>53.999999999999972</v>
      </c>
      <c r="Y334" s="244">
        <f ca="1">+$V334*NSGradeFt+PedHeight+0</f>
        <v>7.401410761154855</v>
      </c>
      <c r="Z334" s="214">
        <f ca="1">+$W334</f>
        <v>40.802828354596642</v>
      </c>
      <c r="AA334" s="214">
        <f ca="1">+$Y334</f>
        <v>7.401410761154855</v>
      </c>
      <c r="AB334" s="214">
        <f ca="1">+$X334</f>
        <v>53.999999999999972</v>
      </c>
      <c r="AC334" s="214">
        <f ca="1">+$W334-XOffset</f>
        <v>40.802828354596642</v>
      </c>
    </row>
    <row r="335" spans="8:29" s="213" customFormat="1" ht="9" customHeight="1">
      <c r="H335" s="212"/>
      <c r="I335" s="212"/>
      <c r="S335" s="307"/>
      <c r="T335" s="226">
        <f t="shared" si="26"/>
        <v>332</v>
      </c>
      <c r="U335" s="224">
        <f t="shared" si="27"/>
        <v>1</v>
      </c>
      <c r="V335" s="225">
        <f t="shared" si="28"/>
        <v>3</v>
      </c>
      <c r="W335" s="237">
        <f ca="1">$U335*EWSpacingFt+XOffset+PanArrayWidthHighEndFt</f>
        <v>40.802828354596642</v>
      </c>
      <c r="X335" s="241">
        <f ca="1">$V335*NSSpacingFt+YOffset+PanArrayLenFt*COS(RADIANS(Latitude+DecAng))</f>
        <v>70.43963254593173</v>
      </c>
      <c r="Y335" s="245">
        <f ca="1">+$V335*NSGradeFt+PedHeight+PanArrayLenFt*SIN(RADIANS(Latitude+DecAng))</f>
        <v>7.401410761154855</v>
      </c>
      <c r="Z335" s="214">
        <f ca="1">+$W335</f>
        <v>40.802828354596642</v>
      </c>
      <c r="AA335" s="214">
        <f ca="1">+$Y335</f>
        <v>7.401410761154855</v>
      </c>
      <c r="AB335" s="214">
        <f ca="1">+$X335</f>
        <v>70.43963254593173</v>
      </c>
      <c r="AC335" s="214">
        <f ca="1">+$W335-XOffset</f>
        <v>40.802828354596642</v>
      </c>
    </row>
    <row r="336" spans="8:29" s="213" customFormat="1" ht="9" customHeight="1">
      <c r="H336" s="212"/>
      <c r="I336" s="212"/>
      <c r="S336" s="307"/>
      <c r="T336" s="226">
        <f t="shared" si="26"/>
        <v>333</v>
      </c>
      <c r="U336" s="224">
        <f t="shared" si="27"/>
        <v>1</v>
      </c>
      <c r="V336" s="225">
        <f t="shared" si="28"/>
        <v>3</v>
      </c>
      <c r="W336" s="238">
        <f ca="1">$U336*EWSpacingFt+XOffset+0</f>
        <v>30.000006832286932</v>
      </c>
      <c r="X336" s="242">
        <f ca="1">$V336*NSSpacingFt+YOffset+PanArrayLenFt*COS(RADIANS(Latitude+DecAng))</f>
        <v>70.43963254593173</v>
      </c>
      <c r="Y336" s="246">
        <f ca="1">+$V336*NSGradeFt+PedHeight+PanArrayLenFt*SIN(RADIANS(Latitude+DecAng))</f>
        <v>7.401410761154855</v>
      </c>
      <c r="Z336" s="214">
        <f ca="1">+$W336</f>
        <v>30.000006832286932</v>
      </c>
      <c r="AA336" s="214">
        <f ca="1">+$Y336</f>
        <v>7.401410761154855</v>
      </c>
      <c r="AB336" s="214">
        <f ca="1">+$X336</f>
        <v>70.43963254593173</v>
      </c>
      <c r="AC336" s="214">
        <f ca="1">+$W336-XOffset</f>
        <v>30.000006832286932</v>
      </c>
    </row>
    <row r="337" spans="8:29" s="213" customFormat="1" ht="9" customHeight="1">
      <c r="H337" s="212"/>
      <c r="I337" s="212"/>
      <c r="S337" s="307"/>
      <c r="T337" s="226">
        <f t="shared" ref="T337:T400" si="29">+T336+1</f>
        <v>334</v>
      </c>
      <c r="U337" s="224">
        <f t="shared" si="27"/>
        <v>1</v>
      </c>
      <c r="V337" s="225">
        <f t="shared" si="28"/>
        <v>3</v>
      </c>
      <c r="W337" s="239">
        <f ca="1">$U337*EWSpacingFt+XOffset+(PanArrayWidthHighEndFt-PanArrayWidthLowEndFt)/2</f>
        <v>30.000006832286932</v>
      </c>
      <c r="X337" s="243">
        <f ca="1">$V337*NSSpacingFt+YOffset+0</f>
        <v>53.999999999999972</v>
      </c>
      <c r="Y337" s="247">
        <f ca="1">+$V337*NSGradeFt+PedHeight+0</f>
        <v>7.401410761154855</v>
      </c>
      <c r="Z337" s="214">
        <f ca="1">+$W337</f>
        <v>30.000006832286932</v>
      </c>
      <c r="AA337" s="214">
        <f ca="1">+$Y337</f>
        <v>7.401410761154855</v>
      </c>
      <c r="AB337" s="214">
        <f ca="1">+$X337</f>
        <v>53.999999999999972</v>
      </c>
      <c r="AC337" s="214">
        <f ca="1">+$W337-XOffset</f>
        <v>30.000006832286932</v>
      </c>
    </row>
    <row r="338" spans="8:29" s="213" customFormat="1" ht="9" customHeight="1">
      <c r="H338" s="212"/>
      <c r="I338" s="212"/>
      <c r="S338" s="307"/>
      <c r="T338" s="226">
        <f t="shared" si="29"/>
        <v>335</v>
      </c>
      <c r="U338" s="224">
        <f t="shared" si="27"/>
        <v>1</v>
      </c>
      <c r="V338" s="225">
        <f t="shared" si="28"/>
        <v>3</v>
      </c>
      <c r="W338" s="217"/>
      <c r="X338" s="217"/>
      <c r="Y338" s="217"/>
      <c r="Z338" s="214"/>
      <c r="AA338" s="214"/>
      <c r="AB338" s="214"/>
      <c r="AC338" s="214"/>
    </row>
    <row r="339" spans="8:29" s="213" customFormat="1" ht="9" customHeight="1">
      <c r="H339" s="212"/>
      <c r="I339" s="212"/>
      <c r="S339" s="307">
        <f>INT((T339-0)/6)+1</f>
        <v>57</v>
      </c>
      <c r="T339" s="226">
        <f t="shared" si="29"/>
        <v>336</v>
      </c>
      <c r="U339" s="224">
        <f t="shared" si="27"/>
        <v>0</v>
      </c>
      <c r="V339" s="225">
        <f t="shared" si="28"/>
        <v>0</v>
      </c>
      <c r="W339" s="233">
        <f ca="1">$U339*EWSpacingFt+XOffset+(PanArrayWidthHighEndFt-PanArrayWidthLowEndFt)/2</f>
        <v>0</v>
      </c>
      <c r="X339" s="234">
        <f ca="1">$V339*NSSpacingFt+YOffset+0</f>
        <v>0</v>
      </c>
      <c r="Y339" s="235">
        <f ca="1">+$V339*NSGradeFt+PedHeight+0</f>
        <v>7.401410761154855</v>
      </c>
      <c r="Z339" s="214">
        <f ca="1">+$W339</f>
        <v>0</v>
      </c>
      <c r="AA339" s="214">
        <f ca="1">+$Y339</f>
        <v>7.401410761154855</v>
      </c>
      <c r="AB339" s="214">
        <f ca="1">+$X339</f>
        <v>0</v>
      </c>
      <c r="AC339" s="214">
        <f ca="1">+$W339-XOffset</f>
        <v>0</v>
      </c>
    </row>
    <row r="340" spans="8:29" s="213" customFormat="1" ht="9" customHeight="1">
      <c r="H340" s="212"/>
      <c r="I340" s="212"/>
      <c r="S340" s="307"/>
      <c r="T340" s="226">
        <f t="shared" si="29"/>
        <v>337</v>
      </c>
      <c r="U340" s="224">
        <f t="shared" si="27"/>
        <v>0</v>
      </c>
      <c r="V340" s="225">
        <f t="shared" si="28"/>
        <v>0</v>
      </c>
      <c r="W340" s="236">
        <f ca="1">+$U340*EWSpacingFt+XOffset+PanArrayWidthHighEndFt-(PanArrayWidthHighEndFt-PanArrayWidthLowEndFt)/2</f>
        <v>10.80282152230971</v>
      </c>
      <c r="X340" s="240">
        <f ca="1">$V340*NSSpacingFt+YOffset+0</f>
        <v>0</v>
      </c>
      <c r="Y340" s="244">
        <f ca="1">+$V340*NSGradeFt+PedHeight+0</f>
        <v>7.401410761154855</v>
      </c>
      <c r="Z340" s="214">
        <f ca="1">+$W340</f>
        <v>10.80282152230971</v>
      </c>
      <c r="AA340" s="214">
        <f ca="1">+$Y340</f>
        <v>7.401410761154855</v>
      </c>
      <c r="AB340" s="214">
        <f ca="1">+$X340</f>
        <v>0</v>
      </c>
      <c r="AC340" s="214">
        <f ca="1">+$W340-XOffset</f>
        <v>10.80282152230971</v>
      </c>
    </row>
    <row r="341" spans="8:29" s="213" customFormat="1" ht="9" customHeight="1">
      <c r="H341" s="212"/>
      <c r="I341" s="212"/>
      <c r="S341" s="307"/>
      <c r="T341" s="226">
        <f t="shared" si="29"/>
        <v>338</v>
      </c>
      <c r="U341" s="224">
        <f t="shared" si="27"/>
        <v>0</v>
      </c>
      <c r="V341" s="225">
        <f t="shared" si="28"/>
        <v>0</v>
      </c>
      <c r="W341" s="237">
        <f ca="1">$U341*EWSpacingFt+XOffset+PanArrayWidthHighEndFt</f>
        <v>10.80282152230971</v>
      </c>
      <c r="X341" s="241">
        <f ca="1">$V341*NSSpacingFt+YOffset+PanArrayLenFt*COS(RADIANS(Latitude+DecAng))</f>
        <v>16.439632545931762</v>
      </c>
      <c r="Y341" s="245">
        <f ca="1">+$V341*NSGradeFt+PedHeight+PanArrayLenFt*SIN(RADIANS(Latitude+DecAng))</f>
        <v>7.401410761154855</v>
      </c>
      <c r="Z341" s="214">
        <f ca="1">+$W341</f>
        <v>10.80282152230971</v>
      </c>
      <c r="AA341" s="214">
        <f ca="1">+$Y341</f>
        <v>7.401410761154855</v>
      </c>
      <c r="AB341" s="214">
        <f ca="1">+$X341</f>
        <v>16.439632545931762</v>
      </c>
      <c r="AC341" s="214">
        <f ca="1">+$W341-XOffset</f>
        <v>10.80282152230971</v>
      </c>
    </row>
    <row r="342" spans="8:29" s="213" customFormat="1" ht="9" customHeight="1">
      <c r="H342" s="212"/>
      <c r="I342" s="212"/>
      <c r="S342" s="307"/>
      <c r="T342" s="226">
        <f t="shared" si="29"/>
        <v>339</v>
      </c>
      <c r="U342" s="224">
        <f t="shared" si="27"/>
        <v>0</v>
      </c>
      <c r="V342" s="225">
        <f t="shared" si="28"/>
        <v>0</v>
      </c>
      <c r="W342" s="238">
        <f ca="1">$U342*EWSpacingFt+XOffset+0</f>
        <v>0</v>
      </c>
      <c r="X342" s="242">
        <f ca="1">$V342*NSSpacingFt+YOffset+PanArrayLenFt*COS(RADIANS(Latitude+DecAng))</f>
        <v>16.439632545931762</v>
      </c>
      <c r="Y342" s="246">
        <f ca="1">+$V342*NSGradeFt+PedHeight+PanArrayLenFt*SIN(RADIANS(Latitude+DecAng))</f>
        <v>7.401410761154855</v>
      </c>
      <c r="Z342" s="214">
        <f ca="1">+$W342</f>
        <v>0</v>
      </c>
      <c r="AA342" s="214">
        <f ca="1">+$Y342</f>
        <v>7.401410761154855</v>
      </c>
      <c r="AB342" s="214">
        <f ca="1">+$X342</f>
        <v>16.439632545931762</v>
      </c>
      <c r="AC342" s="214">
        <f ca="1">+$W342-XOffset</f>
        <v>0</v>
      </c>
    </row>
    <row r="343" spans="8:29" s="213" customFormat="1" ht="9" customHeight="1">
      <c r="H343" s="212"/>
      <c r="I343" s="212"/>
      <c r="S343" s="307"/>
      <c r="T343" s="226">
        <f t="shared" si="29"/>
        <v>340</v>
      </c>
      <c r="U343" s="224">
        <f t="shared" si="27"/>
        <v>0</v>
      </c>
      <c r="V343" s="225">
        <f t="shared" si="28"/>
        <v>0</v>
      </c>
      <c r="W343" s="239">
        <f ca="1">$U343*EWSpacingFt+XOffset+(PanArrayWidthHighEndFt-PanArrayWidthLowEndFt)/2</f>
        <v>0</v>
      </c>
      <c r="X343" s="243">
        <f ca="1">$V343*NSSpacingFt+YOffset+0</f>
        <v>0</v>
      </c>
      <c r="Y343" s="247">
        <f ca="1">+$V343*NSGradeFt+PedHeight+0</f>
        <v>7.401410761154855</v>
      </c>
      <c r="Z343" s="214">
        <f ca="1">+$W343</f>
        <v>0</v>
      </c>
      <c r="AA343" s="214">
        <f ca="1">+$Y343</f>
        <v>7.401410761154855</v>
      </c>
      <c r="AB343" s="214">
        <f ca="1">+$X343</f>
        <v>0</v>
      </c>
      <c r="AC343" s="214">
        <f ca="1">+$W343-XOffset</f>
        <v>0</v>
      </c>
    </row>
    <row r="344" spans="8:29" s="213" customFormat="1" ht="9" customHeight="1">
      <c r="H344" s="212"/>
      <c r="I344" s="212"/>
      <c r="S344" s="307"/>
      <c r="T344" s="226">
        <f t="shared" si="29"/>
        <v>341</v>
      </c>
      <c r="U344" s="224">
        <f t="shared" si="27"/>
        <v>0</v>
      </c>
      <c r="V344" s="225">
        <f t="shared" si="28"/>
        <v>0</v>
      </c>
      <c r="W344" s="217"/>
      <c r="X344" s="217"/>
      <c r="Y344" s="217"/>
      <c r="Z344" s="214"/>
      <c r="AA344" s="214"/>
      <c r="AB344" s="214"/>
      <c r="AC344" s="214"/>
    </row>
    <row r="345" spans="8:29" s="213" customFormat="1" ht="9" customHeight="1">
      <c r="H345" s="212"/>
      <c r="I345" s="212"/>
      <c r="S345" s="307">
        <f>INT((T345-0)/6)+1</f>
        <v>58</v>
      </c>
      <c r="T345" s="226">
        <f t="shared" si="29"/>
        <v>342</v>
      </c>
      <c r="U345" s="224">
        <f t="shared" si="27"/>
        <v>1</v>
      </c>
      <c r="V345" s="225">
        <f t="shared" si="28"/>
        <v>0</v>
      </c>
      <c r="W345" s="233">
        <f ca="1">$U345*EWSpacingFt+XOffset+(PanArrayWidthHighEndFt-PanArrayWidthLowEndFt)/2</f>
        <v>30.000006832286932</v>
      </c>
      <c r="X345" s="234">
        <f ca="1">$V345*NSSpacingFt+YOffset+0</f>
        <v>0</v>
      </c>
      <c r="Y345" s="235">
        <f ca="1">+$V345*NSGradeFt+PedHeight+0</f>
        <v>7.401410761154855</v>
      </c>
      <c r="Z345" s="214">
        <f ca="1">+$W345</f>
        <v>30.000006832286932</v>
      </c>
      <c r="AA345" s="214">
        <f ca="1">+$Y345</f>
        <v>7.401410761154855</v>
      </c>
      <c r="AB345" s="214">
        <f ca="1">+$X345</f>
        <v>0</v>
      </c>
      <c r="AC345" s="214">
        <f ca="1">+$W345-XOffset</f>
        <v>30.000006832286932</v>
      </c>
    </row>
    <row r="346" spans="8:29" s="213" customFormat="1" ht="9" customHeight="1">
      <c r="H346" s="212"/>
      <c r="I346" s="212"/>
      <c r="S346" s="307"/>
      <c r="T346" s="226">
        <f t="shared" si="29"/>
        <v>343</v>
      </c>
      <c r="U346" s="224">
        <f t="shared" si="27"/>
        <v>1</v>
      </c>
      <c r="V346" s="225">
        <f t="shared" si="28"/>
        <v>0</v>
      </c>
      <c r="W346" s="236">
        <f ca="1">+$U346*EWSpacingFt+XOffset+PanArrayWidthHighEndFt-(PanArrayWidthHighEndFt-PanArrayWidthLowEndFt)/2</f>
        <v>40.802828354596642</v>
      </c>
      <c r="X346" s="240">
        <f ca="1">$V346*NSSpacingFt+YOffset+0</f>
        <v>0</v>
      </c>
      <c r="Y346" s="244">
        <f ca="1">+$V346*NSGradeFt+PedHeight+0</f>
        <v>7.401410761154855</v>
      </c>
      <c r="Z346" s="214">
        <f ca="1">+$W346</f>
        <v>40.802828354596642</v>
      </c>
      <c r="AA346" s="214">
        <f ca="1">+$Y346</f>
        <v>7.401410761154855</v>
      </c>
      <c r="AB346" s="214">
        <f ca="1">+$X346</f>
        <v>0</v>
      </c>
      <c r="AC346" s="214">
        <f ca="1">+$W346-XOffset</f>
        <v>40.802828354596642</v>
      </c>
    </row>
    <row r="347" spans="8:29" s="213" customFormat="1" ht="9" customHeight="1">
      <c r="H347" s="212"/>
      <c r="I347" s="212"/>
      <c r="S347" s="307"/>
      <c r="T347" s="226">
        <f t="shared" si="29"/>
        <v>344</v>
      </c>
      <c r="U347" s="224">
        <f t="shared" si="27"/>
        <v>1</v>
      </c>
      <c r="V347" s="225">
        <f t="shared" si="28"/>
        <v>0</v>
      </c>
      <c r="W347" s="237">
        <f ca="1">$U347*EWSpacingFt+XOffset+PanArrayWidthHighEndFt</f>
        <v>40.802828354596642</v>
      </c>
      <c r="X347" s="241">
        <f ca="1">$V347*NSSpacingFt+YOffset+PanArrayLenFt*COS(RADIANS(Latitude+DecAng))</f>
        <v>16.439632545931762</v>
      </c>
      <c r="Y347" s="245">
        <f ca="1">+$V347*NSGradeFt+PedHeight+PanArrayLenFt*SIN(RADIANS(Latitude+DecAng))</f>
        <v>7.401410761154855</v>
      </c>
      <c r="Z347" s="214">
        <f ca="1">+$W347</f>
        <v>40.802828354596642</v>
      </c>
      <c r="AA347" s="214">
        <f ca="1">+$Y347</f>
        <v>7.401410761154855</v>
      </c>
      <c r="AB347" s="214">
        <f ca="1">+$X347</f>
        <v>16.439632545931762</v>
      </c>
      <c r="AC347" s="214">
        <f ca="1">+$W347-XOffset</f>
        <v>40.802828354596642</v>
      </c>
    </row>
    <row r="348" spans="8:29" s="213" customFormat="1" ht="9" customHeight="1">
      <c r="H348" s="212"/>
      <c r="I348" s="212"/>
      <c r="S348" s="307"/>
      <c r="T348" s="226">
        <f t="shared" si="29"/>
        <v>345</v>
      </c>
      <c r="U348" s="224">
        <f t="shared" si="27"/>
        <v>1</v>
      </c>
      <c r="V348" s="225">
        <f t="shared" si="28"/>
        <v>0</v>
      </c>
      <c r="W348" s="238">
        <f ca="1">$U348*EWSpacingFt+XOffset+0</f>
        <v>30.000006832286932</v>
      </c>
      <c r="X348" s="242">
        <f ca="1">$V348*NSSpacingFt+YOffset+PanArrayLenFt*COS(RADIANS(Latitude+DecAng))</f>
        <v>16.439632545931762</v>
      </c>
      <c r="Y348" s="246">
        <f ca="1">+$V348*NSGradeFt+PedHeight+PanArrayLenFt*SIN(RADIANS(Latitude+DecAng))</f>
        <v>7.401410761154855</v>
      </c>
      <c r="Z348" s="214">
        <f ca="1">+$W348</f>
        <v>30.000006832286932</v>
      </c>
      <c r="AA348" s="214">
        <f ca="1">+$Y348</f>
        <v>7.401410761154855</v>
      </c>
      <c r="AB348" s="214">
        <f ca="1">+$X348</f>
        <v>16.439632545931762</v>
      </c>
      <c r="AC348" s="214">
        <f ca="1">+$W348-XOffset</f>
        <v>30.000006832286932</v>
      </c>
    </row>
    <row r="349" spans="8:29" s="213" customFormat="1" ht="9" customHeight="1">
      <c r="H349" s="212"/>
      <c r="I349" s="212"/>
      <c r="S349" s="307"/>
      <c r="T349" s="226">
        <f t="shared" si="29"/>
        <v>346</v>
      </c>
      <c r="U349" s="224">
        <f t="shared" si="27"/>
        <v>1</v>
      </c>
      <c r="V349" s="225">
        <f t="shared" si="28"/>
        <v>0</v>
      </c>
      <c r="W349" s="239">
        <f ca="1">$U349*EWSpacingFt+XOffset+(PanArrayWidthHighEndFt-PanArrayWidthLowEndFt)/2</f>
        <v>30.000006832286932</v>
      </c>
      <c r="X349" s="243">
        <f ca="1">$V349*NSSpacingFt+YOffset+0</f>
        <v>0</v>
      </c>
      <c r="Y349" s="247">
        <f ca="1">+$V349*NSGradeFt+PedHeight+0</f>
        <v>7.401410761154855</v>
      </c>
      <c r="Z349" s="214">
        <f ca="1">+$W349</f>
        <v>30.000006832286932</v>
      </c>
      <c r="AA349" s="214">
        <f ca="1">+$Y349</f>
        <v>7.401410761154855</v>
      </c>
      <c r="AB349" s="214">
        <f ca="1">+$X349</f>
        <v>0</v>
      </c>
      <c r="AC349" s="214">
        <f ca="1">+$W349-XOffset</f>
        <v>30.000006832286932</v>
      </c>
    </row>
    <row r="350" spans="8:29" s="213" customFormat="1" ht="9" customHeight="1">
      <c r="H350" s="212"/>
      <c r="I350" s="212"/>
      <c r="S350" s="307"/>
      <c r="T350" s="226">
        <f t="shared" si="29"/>
        <v>347</v>
      </c>
      <c r="U350" s="224">
        <f t="shared" si="27"/>
        <v>1</v>
      </c>
      <c r="V350" s="225">
        <f t="shared" si="28"/>
        <v>0</v>
      </c>
      <c r="W350" s="217"/>
      <c r="X350" s="217"/>
      <c r="Y350" s="217"/>
      <c r="Z350" s="214"/>
      <c r="AA350" s="214"/>
      <c r="AB350" s="214"/>
      <c r="AC350" s="214"/>
    </row>
    <row r="351" spans="8:29" s="213" customFormat="1" ht="9" customHeight="1">
      <c r="H351" s="212"/>
      <c r="I351" s="212"/>
      <c r="S351" s="307">
        <f>INT((T351-0)/6)+1</f>
        <v>59</v>
      </c>
      <c r="T351" s="226">
        <f t="shared" si="29"/>
        <v>348</v>
      </c>
      <c r="U351" s="224">
        <f t="shared" si="27"/>
        <v>0</v>
      </c>
      <c r="V351" s="225">
        <f t="shared" si="28"/>
        <v>1</v>
      </c>
      <c r="W351" s="233">
        <f ca="1">$U351*EWSpacingFt+XOffset+(PanArrayWidthHighEndFt-PanArrayWidthLowEndFt)/2</f>
        <v>0</v>
      </c>
      <c r="X351" s="234">
        <f ca="1">$V351*NSSpacingFt+YOffset+0</f>
        <v>17.999999999999989</v>
      </c>
      <c r="Y351" s="235">
        <f ca="1">+$V351*NSGradeFt+PedHeight+0</f>
        <v>7.401410761154855</v>
      </c>
      <c r="Z351" s="214">
        <f ca="1">+$W351</f>
        <v>0</v>
      </c>
      <c r="AA351" s="214">
        <f ca="1">+$Y351</f>
        <v>7.401410761154855</v>
      </c>
      <c r="AB351" s="214">
        <f ca="1">+$X351</f>
        <v>17.999999999999989</v>
      </c>
      <c r="AC351" s="214">
        <f ca="1">+$W351-XOffset</f>
        <v>0</v>
      </c>
    </row>
    <row r="352" spans="8:29" s="213" customFormat="1" ht="9" customHeight="1">
      <c r="H352" s="212"/>
      <c r="I352" s="212"/>
      <c r="S352" s="307"/>
      <c r="T352" s="226">
        <f t="shared" si="29"/>
        <v>349</v>
      </c>
      <c r="U352" s="224">
        <f t="shared" si="27"/>
        <v>0</v>
      </c>
      <c r="V352" s="225">
        <f t="shared" si="28"/>
        <v>1</v>
      </c>
      <c r="W352" s="236">
        <f ca="1">+$U352*EWSpacingFt+XOffset+PanArrayWidthHighEndFt-(PanArrayWidthHighEndFt-PanArrayWidthLowEndFt)/2</f>
        <v>10.80282152230971</v>
      </c>
      <c r="X352" s="240">
        <f ca="1">$V352*NSSpacingFt+YOffset+0</f>
        <v>17.999999999999989</v>
      </c>
      <c r="Y352" s="244">
        <f ca="1">+$V352*NSGradeFt+PedHeight+0</f>
        <v>7.401410761154855</v>
      </c>
      <c r="Z352" s="214">
        <f ca="1">+$W352</f>
        <v>10.80282152230971</v>
      </c>
      <c r="AA352" s="214">
        <f ca="1">+$Y352</f>
        <v>7.401410761154855</v>
      </c>
      <c r="AB352" s="214">
        <f ca="1">+$X352</f>
        <v>17.999999999999989</v>
      </c>
      <c r="AC352" s="214">
        <f ca="1">+$W352-XOffset</f>
        <v>10.80282152230971</v>
      </c>
    </row>
    <row r="353" spans="8:29" s="213" customFormat="1" ht="9" customHeight="1">
      <c r="H353" s="212"/>
      <c r="I353" s="212"/>
      <c r="S353" s="307"/>
      <c r="T353" s="226">
        <f t="shared" si="29"/>
        <v>350</v>
      </c>
      <c r="U353" s="224">
        <f t="shared" si="27"/>
        <v>0</v>
      </c>
      <c r="V353" s="225">
        <f t="shared" si="28"/>
        <v>1</v>
      </c>
      <c r="W353" s="237">
        <f ca="1">$U353*EWSpacingFt+XOffset+PanArrayWidthHighEndFt</f>
        <v>10.80282152230971</v>
      </c>
      <c r="X353" s="241">
        <f ca="1">$V353*NSSpacingFt+YOffset+PanArrayLenFt*COS(RADIANS(Latitude+DecAng))</f>
        <v>34.439632545931751</v>
      </c>
      <c r="Y353" s="245">
        <f ca="1">+$V353*NSGradeFt+PedHeight+PanArrayLenFt*SIN(RADIANS(Latitude+DecAng))</f>
        <v>7.401410761154855</v>
      </c>
      <c r="Z353" s="214">
        <f ca="1">+$W353</f>
        <v>10.80282152230971</v>
      </c>
      <c r="AA353" s="214">
        <f ca="1">+$Y353</f>
        <v>7.401410761154855</v>
      </c>
      <c r="AB353" s="214">
        <f ca="1">+$X353</f>
        <v>34.439632545931751</v>
      </c>
      <c r="AC353" s="214">
        <f ca="1">+$W353-XOffset</f>
        <v>10.80282152230971</v>
      </c>
    </row>
    <row r="354" spans="8:29" s="213" customFormat="1" ht="9" customHeight="1">
      <c r="H354" s="212"/>
      <c r="I354" s="212"/>
      <c r="S354" s="307"/>
      <c r="T354" s="226">
        <f t="shared" si="29"/>
        <v>351</v>
      </c>
      <c r="U354" s="224">
        <f t="shared" si="27"/>
        <v>0</v>
      </c>
      <c r="V354" s="225">
        <f t="shared" si="28"/>
        <v>1</v>
      </c>
      <c r="W354" s="238">
        <f ca="1">$U354*EWSpacingFt+XOffset+0</f>
        <v>0</v>
      </c>
      <c r="X354" s="242">
        <f ca="1">$V354*NSSpacingFt+YOffset+PanArrayLenFt*COS(RADIANS(Latitude+DecAng))</f>
        <v>34.439632545931751</v>
      </c>
      <c r="Y354" s="246">
        <f ca="1">+$V354*NSGradeFt+PedHeight+PanArrayLenFt*SIN(RADIANS(Latitude+DecAng))</f>
        <v>7.401410761154855</v>
      </c>
      <c r="Z354" s="214">
        <f ca="1">+$W354</f>
        <v>0</v>
      </c>
      <c r="AA354" s="214">
        <f ca="1">+$Y354</f>
        <v>7.401410761154855</v>
      </c>
      <c r="AB354" s="214">
        <f ca="1">+$X354</f>
        <v>34.439632545931751</v>
      </c>
      <c r="AC354" s="214">
        <f ca="1">+$W354-XOffset</f>
        <v>0</v>
      </c>
    </row>
    <row r="355" spans="8:29" s="213" customFormat="1" ht="9" customHeight="1">
      <c r="H355" s="212"/>
      <c r="I355" s="212"/>
      <c r="S355" s="307"/>
      <c r="T355" s="226">
        <f t="shared" si="29"/>
        <v>352</v>
      </c>
      <c r="U355" s="224">
        <f t="shared" si="27"/>
        <v>0</v>
      </c>
      <c r="V355" s="225">
        <f t="shared" si="28"/>
        <v>1</v>
      </c>
      <c r="W355" s="239">
        <f ca="1">$U355*EWSpacingFt+XOffset+(PanArrayWidthHighEndFt-PanArrayWidthLowEndFt)/2</f>
        <v>0</v>
      </c>
      <c r="X355" s="243">
        <f ca="1">$V355*NSSpacingFt+YOffset+0</f>
        <v>17.999999999999989</v>
      </c>
      <c r="Y355" s="247">
        <f ca="1">+$V355*NSGradeFt+PedHeight+0</f>
        <v>7.401410761154855</v>
      </c>
      <c r="Z355" s="214">
        <f ca="1">+$W355</f>
        <v>0</v>
      </c>
      <c r="AA355" s="214">
        <f ca="1">+$Y355</f>
        <v>7.401410761154855</v>
      </c>
      <c r="AB355" s="214">
        <f ca="1">+$X355</f>
        <v>17.999999999999989</v>
      </c>
      <c r="AC355" s="214">
        <f ca="1">+$W355-XOffset</f>
        <v>0</v>
      </c>
    </row>
    <row r="356" spans="8:29" s="213" customFormat="1" ht="9" customHeight="1">
      <c r="H356" s="212"/>
      <c r="I356" s="212"/>
      <c r="S356" s="307"/>
      <c r="T356" s="226">
        <f t="shared" si="29"/>
        <v>353</v>
      </c>
      <c r="U356" s="224">
        <f t="shared" si="27"/>
        <v>0</v>
      </c>
      <c r="V356" s="225">
        <f t="shared" si="28"/>
        <v>1</v>
      </c>
      <c r="W356" s="217"/>
      <c r="X356" s="217"/>
      <c r="Y356" s="217"/>
      <c r="Z356" s="214"/>
      <c r="AA356" s="214"/>
      <c r="AB356" s="214"/>
      <c r="AC356" s="214"/>
    </row>
    <row r="357" spans="8:29" s="213" customFormat="1" ht="9" customHeight="1">
      <c r="H357" s="212"/>
      <c r="I357" s="212"/>
      <c r="S357" s="307">
        <f>INT((T357-0)/6)+1</f>
        <v>60</v>
      </c>
      <c r="T357" s="226">
        <f t="shared" si="29"/>
        <v>354</v>
      </c>
      <c r="U357" s="224">
        <f t="shared" si="27"/>
        <v>1</v>
      </c>
      <c r="V357" s="225">
        <f t="shared" si="28"/>
        <v>1</v>
      </c>
      <c r="W357" s="233">
        <f ca="1">$U357*EWSpacingFt+XOffset+(PanArrayWidthHighEndFt-PanArrayWidthLowEndFt)/2</f>
        <v>30.000006832286932</v>
      </c>
      <c r="X357" s="234">
        <f ca="1">$V357*NSSpacingFt+YOffset+0</f>
        <v>17.999999999999989</v>
      </c>
      <c r="Y357" s="235">
        <f ca="1">+$V357*NSGradeFt+PedHeight+0</f>
        <v>7.401410761154855</v>
      </c>
      <c r="Z357" s="214">
        <f ca="1">+$W357</f>
        <v>30.000006832286932</v>
      </c>
      <c r="AA357" s="214">
        <f ca="1">+$Y357</f>
        <v>7.401410761154855</v>
      </c>
      <c r="AB357" s="214">
        <f ca="1">+$X357</f>
        <v>17.999999999999989</v>
      </c>
      <c r="AC357" s="214">
        <f ca="1">+$W357-XOffset</f>
        <v>30.000006832286932</v>
      </c>
    </row>
    <row r="358" spans="8:29" s="213" customFormat="1" ht="9" customHeight="1">
      <c r="H358" s="212"/>
      <c r="I358" s="212"/>
      <c r="S358" s="307"/>
      <c r="T358" s="226">
        <f t="shared" si="29"/>
        <v>355</v>
      </c>
      <c r="U358" s="224">
        <f t="shared" si="27"/>
        <v>1</v>
      </c>
      <c r="V358" s="225">
        <f t="shared" si="28"/>
        <v>1</v>
      </c>
      <c r="W358" s="236">
        <f ca="1">+$U358*EWSpacingFt+XOffset+PanArrayWidthHighEndFt-(PanArrayWidthHighEndFt-PanArrayWidthLowEndFt)/2</f>
        <v>40.802828354596642</v>
      </c>
      <c r="X358" s="240">
        <f ca="1">$V358*NSSpacingFt+YOffset+0</f>
        <v>17.999999999999989</v>
      </c>
      <c r="Y358" s="244">
        <f ca="1">+$V358*NSGradeFt+PedHeight+0</f>
        <v>7.401410761154855</v>
      </c>
      <c r="Z358" s="214">
        <f ca="1">+$W358</f>
        <v>40.802828354596642</v>
      </c>
      <c r="AA358" s="214">
        <f ca="1">+$Y358</f>
        <v>7.401410761154855</v>
      </c>
      <c r="AB358" s="214">
        <f ca="1">+$X358</f>
        <v>17.999999999999989</v>
      </c>
      <c r="AC358" s="214">
        <f ca="1">+$W358-XOffset</f>
        <v>40.802828354596642</v>
      </c>
    </row>
    <row r="359" spans="8:29" s="213" customFormat="1" ht="9" customHeight="1">
      <c r="H359" s="212"/>
      <c r="I359" s="212"/>
      <c r="S359" s="307"/>
      <c r="T359" s="226">
        <f t="shared" si="29"/>
        <v>356</v>
      </c>
      <c r="U359" s="224">
        <f t="shared" si="27"/>
        <v>1</v>
      </c>
      <c r="V359" s="225">
        <f t="shared" si="28"/>
        <v>1</v>
      </c>
      <c r="W359" s="237">
        <f ca="1">$U359*EWSpacingFt+XOffset+PanArrayWidthHighEndFt</f>
        <v>40.802828354596642</v>
      </c>
      <c r="X359" s="241">
        <f ca="1">$V359*NSSpacingFt+YOffset+PanArrayLenFt*COS(RADIANS(Latitude+DecAng))</f>
        <v>34.439632545931751</v>
      </c>
      <c r="Y359" s="245">
        <f ca="1">+$V359*NSGradeFt+PedHeight+PanArrayLenFt*SIN(RADIANS(Latitude+DecAng))</f>
        <v>7.401410761154855</v>
      </c>
      <c r="Z359" s="214">
        <f ca="1">+$W359</f>
        <v>40.802828354596642</v>
      </c>
      <c r="AA359" s="214">
        <f ca="1">+$Y359</f>
        <v>7.401410761154855</v>
      </c>
      <c r="AB359" s="214">
        <f ca="1">+$X359</f>
        <v>34.439632545931751</v>
      </c>
      <c r="AC359" s="214">
        <f ca="1">+$W359-XOffset</f>
        <v>40.802828354596642</v>
      </c>
    </row>
    <row r="360" spans="8:29" s="213" customFormat="1" ht="9" customHeight="1">
      <c r="H360" s="212"/>
      <c r="I360" s="212"/>
      <c r="S360" s="307"/>
      <c r="T360" s="226">
        <f t="shared" si="29"/>
        <v>357</v>
      </c>
      <c r="U360" s="224">
        <f t="shared" si="27"/>
        <v>1</v>
      </c>
      <c r="V360" s="225">
        <f t="shared" si="28"/>
        <v>1</v>
      </c>
      <c r="W360" s="238">
        <f ca="1">$U360*EWSpacingFt+XOffset+0</f>
        <v>30.000006832286932</v>
      </c>
      <c r="X360" s="242">
        <f ca="1">$V360*NSSpacingFt+YOffset+PanArrayLenFt*COS(RADIANS(Latitude+DecAng))</f>
        <v>34.439632545931751</v>
      </c>
      <c r="Y360" s="246">
        <f ca="1">+$V360*NSGradeFt+PedHeight+PanArrayLenFt*SIN(RADIANS(Latitude+DecAng))</f>
        <v>7.401410761154855</v>
      </c>
      <c r="Z360" s="214">
        <f ca="1">+$W360</f>
        <v>30.000006832286932</v>
      </c>
      <c r="AA360" s="214">
        <f ca="1">+$Y360</f>
        <v>7.401410761154855</v>
      </c>
      <c r="AB360" s="214">
        <f ca="1">+$X360</f>
        <v>34.439632545931751</v>
      </c>
      <c r="AC360" s="214">
        <f ca="1">+$W360-XOffset</f>
        <v>30.000006832286932</v>
      </c>
    </row>
    <row r="361" spans="8:29" s="213" customFormat="1" ht="9" customHeight="1">
      <c r="H361" s="212"/>
      <c r="I361" s="212"/>
      <c r="S361" s="307"/>
      <c r="T361" s="226">
        <f t="shared" si="29"/>
        <v>358</v>
      </c>
      <c r="U361" s="224">
        <f t="shared" si="27"/>
        <v>1</v>
      </c>
      <c r="V361" s="225">
        <f t="shared" si="28"/>
        <v>1</v>
      </c>
      <c r="W361" s="239">
        <f ca="1">$U361*EWSpacingFt+XOffset+(PanArrayWidthHighEndFt-PanArrayWidthLowEndFt)/2</f>
        <v>30.000006832286932</v>
      </c>
      <c r="X361" s="243">
        <f ca="1">$V361*NSSpacingFt+YOffset+0</f>
        <v>17.999999999999989</v>
      </c>
      <c r="Y361" s="247">
        <f ca="1">+$V361*NSGradeFt+PedHeight+0</f>
        <v>7.401410761154855</v>
      </c>
      <c r="Z361" s="214">
        <f ca="1">+$W361</f>
        <v>30.000006832286932</v>
      </c>
      <c r="AA361" s="214">
        <f ca="1">+$Y361</f>
        <v>7.401410761154855</v>
      </c>
      <c r="AB361" s="214">
        <f ca="1">+$X361</f>
        <v>17.999999999999989</v>
      </c>
      <c r="AC361" s="214">
        <f ca="1">+$W361-XOffset</f>
        <v>30.000006832286932</v>
      </c>
    </row>
    <row r="362" spans="8:29" s="213" customFormat="1" ht="9" customHeight="1">
      <c r="H362" s="212"/>
      <c r="I362" s="212"/>
      <c r="S362" s="307"/>
      <c r="T362" s="226">
        <f t="shared" si="29"/>
        <v>359</v>
      </c>
      <c r="U362" s="224">
        <f t="shared" si="27"/>
        <v>1</v>
      </c>
      <c r="V362" s="225">
        <f t="shared" si="28"/>
        <v>1</v>
      </c>
      <c r="W362" s="217"/>
      <c r="X362" s="217"/>
      <c r="Y362" s="217"/>
      <c r="Z362" s="214"/>
      <c r="AA362" s="214"/>
      <c r="AB362" s="214"/>
      <c r="AC362" s="214"/>
    </row>
    <row r="363" spans="8:29" s="213" customFormat="1" ht="9" customHeight="1">
      <c r="H363" s="212"/>
      <c r="I363" s="212"/>
      <c r="S363" s="307">
        <f>INT((T363-0)/6)+1</f>
        <v>61</v>
      </c>
      <c r="T363" s="226">
        <f t="shared" si="29"/>
        <v>360</v>
      </c>
      <c r="U363" s="224">
        <f t="shared" si="27"/>
        <v>0</v>
      </c>
      <c r="V363" s="225">
        <f t="shared" si="28"/>
        <v>2</v>
      </c>
      <c r="W363" s="233">
        <f ca="1">$U363*EWSpacingFt+XOffset+(PanArrayWidthHighEndFt-PanArrayWidthLowEndFt)/2</f>
        <v>0</v>
      </c>
      <c r="X363" s="234">
        <f ca="1">$V363*NSSpacingFt+YOffset+0</f>
        <v>35.999999999999979</v>
      </c>
      <c r="Y363" s="235">
        <f ca="1">+$V363*NSGradeFt+PedHeight+0</f>
        <v>7.401410761154855</v>
      </c>
      <c r="Z363" s="214">
        <f ca="1">+$W363</f>
        <v>0</v>
      </c>
      <c r="AA363" s="214">
        <f ca="1">+$Y363</f>
        <v>7.401410761154855</v>
      </c>
      <c r="AB363" s="214">
        <f ca="1">+$X363</f>
        <v>35.999999999999979</v>
      </c>
      <c r="AC363" s="214">
        <f ca="1">+$W363-XOffset</f>
        <v>0</v>
      </c>
    </row>
    <row r="364" spans="8:29" s="213" customFormat="1" ht="9" customHeight="1">
      <c r="H364" s="212"/>
      <c r="I364" s="212"/>
      <c r="S364" s="307"/>
      <c r="T364" s="226">
        <f t="shared" si="29"/>
        <v>361</v>
      </c>
      <c r="U364" s="224">
        <f t="shared" si="27"/>
        <v>0</v>
      </c>
      <c r="V364" s="225">
        <f t="shared" si="28"/>
        <v>2</v>
      </c>
      <c r="W364" s="236">
        <f ca="1">+$U364*EWSpacingFt+XOffset+PanArrayWidthHighEndFt-(PanArrayWidthHighEndFt-PanArrayWidthLowEndFt)/2</f>
        <v>10.80282152230971</v>
      </c>
      <c r="X364" s="240">
        <f ca="1">$V364*NSSpacingFt+YOffset+0</f>
        <v>35.999999999999979</v>
      </c>
      <c r="Y364" s="244">
        <f ca="1">+$V364*NSGradeFt+PedHeight+0</f>
        <v>7.401410761154855</v>
      </c>
      <c r="Z364" s="214">
        <f ca="1">+$W364</f>
        <v>10.80282152230971</v>
      </c>
      <c r="AA364" s="214">
        <f ca="1">+$Y364</f>
        <v>7.401410761154855</v>
      </c>
      <c r="AB364" s="214">
        <f ca="1">+$X364</f>
        <v>35.999999999999979</v>
      </c>
      <c r="AC364" s="214">
        <f ca="1">+$W364-XOffset</f>
        <v>10.80282152230971</v>
      </c>
    </row>
    <row r="365" spans="8:29" s="213" customFormat="1" ht="9" customHeight="1">
      <c r="H365" s="212"/>
      <c r="I365" s="212"/>
      <c r="S365" s="307"/>
      <c r="T365" s="226">
        <f t="shared" si="29"/>
        <v>362</v>
      </c>
      <c r="U365" s="224">
        <f t="shared" si="27"/>
        <v>0</v>
      </c>
      <c r="V365" s="225">
        <f t="shared" si="28"/>
        <v>2</v>
      </c>
      <c r="W365" s="237">
        <f ca="1">$U365*EWSpacingFt+XOffset+PanArrayWidthHighEndFt</f>
        <v>10.80282152230971</v>
      </c>
      <c r="X365" s="241">
        <f ca="1">$V365*NSSpacingFt+YOffset+PanArrayLenFt*COS(RADIANS(Latitude+DecAng))</f>
        <v>52.439632545931744</v>
      </c>
      <c r="Y365" s="245">
        <f ca="1">+$V365*NSGradeFt+PedHeight+PanArrayLenFt*SIN(RADIANS(Latitude+DecAng))</f>
        <v>7.401410761154855</v>
      </c>
      <c r="Z365" s="214">
        <f ca="1">+$W365</f>
        <v>10.80282152230971</v>
      </c>
      <c r="AA365" s="214">
        <f ca="1">+$Y365</f>
        <v>7.401410761154855</v>
      </c>
      <c r="AB365" s="214">
        <f ca="1">+$X365</f>
        <v>52.439632545931744</v>
      </c>
      <c r="AC365" s="214">
        <f ca="1">+$W365-XOffset</f>
        <v>10.80282152230971</v>
      </c>
    </row>
    <row r="366" spans="8:29" s="213" customFormat="1" ht="9" customHeight="1">
      <c r="H366" s="212"/>
      <c r="I366" s="212"/>
      <c r="S366" s="307"/>
      <c r="T366" s="226">
        <f t="shared" si="29"/>
        <v>363</v>
      </c>
      <c r="U366" s="224">
        <f t="shared" si="27"/>
        <v>0</v>
      </c>
      <c r="V366" s="225">
        <f t="shared" si="28"/>
        <v>2</v>
      </c>
      <c r="W366" s="238">
        <f ca="1">$U366*EWSpacingFt+XOffset+0</f>
        <v>0</v>
      </c>
      <c r="X366" s="242">
        <f ca="1">$V366*NSSpacingFt+YOffset+PanArrayLenFt*COS(RADIANS(Latitude+DecAng))</f>
        <v>52.439632545931744</v>
      </c>
      <c r="Y366" s="246">
        <f ca="1">+$V366*NSGradeFt+PedHeight+PanArrayLenFt*SIN(RADIANS(Latitude+DecAng))</f>
        <v>7.401410761154855</v>
      </c>
      <c r="Z366" s="214">
        <f ca="1">+$W366</f>
        <v>0</v>
      </c>
      <c r="AA366" s="214">
        <f ca="1">+$Y366</f>
        <v>7.401410761154855</v>
      </c>
      <c r="AB366" s="214">
        <f ca="1">+$X366</f>
        <v>52.439632545931744</v>
      </c>
      <c r="AC366" s="214">
        <f ca="1">+$W366-XOffset</f>
        <v>0</v>
      </c>
    </row>
    <row r="367" spans="8:29" s="213" customFormat="1" ht="9" customHeight="1">
      <c r="H367" s="212"/>
      <c r="I367" s="212"/>
      <c r="S367" s="307"/>
      <c r="T367" s="226">
        <f t="shared" si="29"/>
        <v>364</v>
      </c>
      <c r="U367" s="224">
        <f t="shared" si="27"/>
        <v>0</v>
      </c>
      <c r="V367" s="225">
        <f t="shared" si="28"/>
        <v>2</v>
      </c>
      <c r="W367" s="239">
        <f ca="1">$U367*EWSpacingFt+XOffset+(PanArrayWidthHighEndFt-PanArrayWidthLowEndFt)/2</f>
        <v>0</v>
      </c>
      <c r="X367" s="243">
        <f ca="1">$V367*NSSpacingFt+YOffset+0</f>
        <v>35.999999999999979</v>
      </c>
      <c r="Y367" s="247">
        <f ca="1">+$V367*NSGradeFt+PedHeight+0</f>
        <v>7.401410761154855</v>
      </c>
      <c r="Z367" s="214">
        <f ca="1">+$W367</f>
        <v>0</v>
      </c>
      <c r="AA367" s="214">
        <f ca="1">+$Y367</f>
        <v>7.401410761154855</v>
      </c>
      <c r="AB367" s="214">
        <f ca="1">+$X367</f>
        <v>35.999999999999979</v>
      </c>
      <c r="AC367" s="214">
        <f ca="1">+$W367-XOffset</f>
        <v>0</v>
      </c>
    </row>
    <row r="368" spans="8:29" s="213" customFormat="1" ht="9" customHeight="1">
      <c r="H368" s="212"/>
      <c r="I368" s="212"/>
      <c r="S368" s="307"/>
      <c r="T368" s="226">
        <f t="shared" si="29"/>
        <v>365</v>
      </c>
      <c r="U368" s="224">
        <f t="shared" si="27"/>
        <v>0</v>
      </c>
      <c r="V368" s="225">
        <f t="shared" si="28"/>
        <v>2</v>
      </c>
      <c r="W368" s="217"/>
      <c r="X368" s="217"/>
      <c r="Y368" s="217"/>
      <c r="Z368" s="214"/>
      <c r="AA368" s="214"/>
      <c r="AB368" s="214"/>
      <c r="AC368" s="214"/>
    </row>
    <row r="369" spans="8:29" s="213" customFormat="1" ht="9" customHeight="1">
      <c r="H369" s="212"/>
      <c r="I369" s="212"/>
      <c r="S369" s="307">
        <f>INT((T369-0)/6)+1</f>
        <v>62</v>
      </c>
      <c r="T369" s="226">
        <f t="shared" si="29"/>
        <v>366</v>
      </c>
      <c r="U369" s="224">
        <f t="shared" si="27"/>
        <v>1</v>
      </c>
      <c r="V369" s="225">
        <f t="shared" si="28"/>
        <v>2</v>
      </c>
      <c r="W369" s="233">
        <f ca="1">$U369*EWSpacingFt+XOffset+(PanArrayWidthHighEndFt-PanArrayWidthLowEndFt)/2</f>
        <v>30.000006832286932</v>
      </c>
      <c r="X369" s="234">
        <f ca="1">$V369*NSSpacingFt+YOffset+0</f>
        <v>35.999999999999979</v>
      </c>
      <c r="Y369" s="235">
        <f ca="1">+$V369*NSGradeFt+PedHeight+0</f>
        <v>7.401410761154855</v>
      </c>
      <c r="Z369" s="214">
        <f ca="1">+$W369</f>
        <v>30.000006832286932</v>
      </c>
      <c r="AA369" s="214">
        <f ca="1">+$Y369</f>
        <v>7.401410761154855</v>
      </c>
      <c r="AB369" s="214">
        <f ca="1">+$X369</f>
        <v>35.999999999999979</v>
      </c>
      <c r="AC369" s="214">
        <f ca="1">+$W369-XOffset</f>
        <v>30.000006832286932</v>
      </c>
    </row>
    <row r="370" spans="8:29" s="213" customFormat="1" ht="9" customHeight="1">
      <c r="H370" s="212"/>
      <c r="I370" s="212"/>
      <c r="S370" s="307"/>
      <c r="T370" s="226">
        <f t="shared" si="29"/>
        <v>367</v>
      </c>
      <c r="U370" s="224">
        <f t="shared" si="27"/>
        <v>1</v>
      </c>
      <c r="V370" s="225">
        <f t="shared" si="28"/>
        <v>2</v>
      </c>
      <c r="W370" s="236">
        <f ca="1">+$U370*EWSpacingFt+XOffset+PanArrayWidthHighEndFt-(PanArrayWidthHighEndFt-PanArrayWidthLowEndFt)/2</f>
        <v>40.802828354596642</v>
      </c>
      <c r="X370" s="240">
        <f ca="1">$V370*NSSpacingFt+YOffset+0</f>
        <v>35.999999999999979</v>
      </c>
      <c r="Y370" s="244">
        <f ca="1">+$V370*NSGradeFt+PedHeight+0</f>
        <v>7.401410761154855</v>
      </c>
      <c r="Z370" s="214">
        <f ca="1">+$W370</f>
        <v>40.802828354596642</v>
      </c>
      <c r="AA370" s="214">
        <f ca="1">+$Y370</f>
        <v>7.401410761154855</v>
      </c>
      <c r="AB370" s="214">
        <f ca="1">+$X370</f>
        <v>35.999999999999979</v>
      </c>
      <c r="AC370" s="214">
        <f ca="1">+$W370-XOffset</f>
        <v>40.802828354596642</v>
      </c>
    </row>
    <row r="371" spans="8:29" s="213" customFormat="1" ht="9" customHeight="1">
      <c r="H371" s="212"/>
      <c r="I371" s="212"/>
      <c r="S371" s="307"/>
      <c r="T371" s="226">
        <f t="shared" si="29"/>
        <v>368</v>
      </c>
      <c r="U371" s="224">
        <f t="shared" si="27"/>
        <v>1</v>
      </c>
      <c r="V371" s="225">
        <f t="shared" si="28"/>
        <v>2</v>
      </c>
      <c r="W371" s="237">
        <f ca="1">$U371*EWSpacingFt+XOffset+PanArrayWidthHighEndFt</f>
        <v>40.802828354596642</v>
      </c>
      <c r="X371" s="241">
        <f ca="1">$V371*NSSpacingFt+YOffset+PanArrayLenFt*COS(RADIANS(Latitude+DecAng))</f>
        <v>52.439632545931744</v>
      </c>
      <c r="Y371" s="245">
        <f ca="1">+$V371*NSGradeFt+PedHeight+PanArrayLenFt*SIN(RADIANS(Latitude+DecAng))</f>
        <v>7.401410761154855</v>
      </c>
      <c r="Z371" s="214">
        <f ca="1">+$W371</f>
        <v>40.802828354596642</v>
      </c>
      <c r="AA371" s="214">
        <f ca="1">+$Y371</f>
        <v>7.401410761154855</v>
      </c>
      <c r="AB371" s="214">
        <f ca="1">+$X371</f>
        <v>52.439632545931744</v>
      </c>
      <c r="AC371" s="214">
        <f ca="1">+$W371-XOffset</f>
        <v>40.802828354596642</v>
      </c>
    </row>
    <row r="372" spans="8:29" s="213" customFormat="1" ht="9" customHeight="1">
      <c r="H372" s="212"/>
      <c r="I372" s="212"/>
      <c r="S372" s="307"/>
      <c r="T372" s="226">
        <f t="shared" si="29"/>
        <v>369</v>
      </c>
      <c r="U372" s="224">
        <f t="shared" si="27"/>
        <v>1</v>
      </c>
      <c r="V372" s="225">
        <f t="shared" si="28"/>
        <v>2</v>
      </c>
      <c r="W372" s="238">
        <f ca="1">$U372*EWSpacingFt+XOffset+0</f>
        <v>30.000006832286932</v>
      </c>
      <c r="X372" s="242">
        <f ca="1">$V372*NSSpacingFt+YOffset+PanArrayLenFt*COS(RADIANS(Latitude+DecAng))</f>
        <v>52.439632545931744</v>
      </c>
      <c r="Y372" s="246">
        <f ca="1">+$V372*NSGradeFt+PedHeight+PanArrayLenFt*SIN(RADIANS(Latitude+DecAng))</f>
        <v>7.401410761154855</v>
      </c>
      <c r="Z372" s="214">
        <f ca="1">+$W372</f>
        <v>30.000006832286932</v>
      </c>
      <c r="AA372" s="214">
        <f ca="1">+$Y372</f>
        <v>7.401410761154855</v>
      </c>
      <c r="AB372" s="214">
        <f ca="1">+$X372</f>
        <v>52.439632545931744</v>
      </c>
      <c r="AC372" s="214">
        <f ca="1">+$W372-XOffset</f>
        <v>30.000006832286932</v>
      </c>
    </row>
    <row r="373" spans="8:29" s="213" customFormat="1" ht="9" customHeight="1">
      <c r="H373" s="212"/>
      <c r="I373" s="212"/>
      <c r="S373" s="307"/>
      <c r="T373" s="226">
        <f t="shared" si="29"/>
        <v>370</v>
      </c>
      <c r="U373" s="224">
        <f t="shared" si="27"/>
        <v>1</v>
      </c>
      <c r="V373" s="225">
        <f t="shared" si="28"/>
        <v>2</v>
      </c>
      <c r="W373" s="239">
        <f ca="1">$U373*EWSpacingFt+XOffset+(PanArrayWidthHighEndFt-PanArrayWidthLowEndFt)/2</f>
        <v>30.000006832286932</v>
      </c>
      <c r="X373" s="243">
        <f ca="1">$V373*NSSpacingFt+YOffset+0</f>
        <v>35.999999999999979</v>
      </c>
      <c r="Y373" s="247">
        <f ca="1">+$V373*NSGradeFt+PedHeight+0</f>
        <v>7.401410761154855</v>
      </c>
      <c r="Z373" s="214">
        <f ca="1">+$W373</f>
        <v>30.000006832286932</v>
      </c>
      <c r="AA373" s="214">
        <f ca="1">+$Y373</f>
        <v>7.401410761154855</v>
      </c>
      <c r="AB373" s="214">
        <f ca="1">+$X373</f>
        <v>35.999999999999979</v>
      </c>
      <c r="AC373" s="214">
        <f ca="1">+$W373-XOffset</f>
        <v>30.000006832286932</v>
      </c>
    </row>
    <row r="374" spans="8:29" s="213" customFormat="1" ht="9" customHeight="1">
      <c r="H374" s="212"/>
      <c r="I374" s="212"/>
      <c r="S374" s="307"/>
      <c r="T374" s="226">
        <f t="shared" si="29"/>
        <v>371</v>
      </c>
      <c r="U374" s="224">
        <f t="shared" si="27"/>
        <v>1</v>
      </c>
      <c r="V374" s="225">
        <f t="shared" si="28"/>
        <v>2</v>
      </c>
      <c r="W374" s="217"/>
      <c r="X374" s="217"/>
      <c r="Y374" s="217"/>
      <c r="Z374" s="214"/>
      <c r="AA374" s="214"/>
      <c r="AB374" s="214"/>
      <c r="AC374" s="214"/>
    </row>
    <row r="375" spans="8:29" s="213" customFormat="1" ht="9" customHeight="1">
      <c r="H375" s="212"/>
      <c r="I375" s="212"/>
      <c r="S375" s="307">
        <f>INT((T375-0)/6)+1</f>
        <v>63</v>
      </c>
      <c r="T375" s="226">
        <f t="shared" si="29"/>
        <v>372</v>
      </c>
      <c r="U375" s="224">
        <f t="shared" si="27"/>
        <v>0</v>
      </c>
      <c r="V375" s="225">
        <f t="shared" si="28"/>
        <v>3</v>
      </c>
      <c r="W375" s="233">
        <f ca="1">$U375*EWSpacingFt+XOffset+(PanArrayWidthHighEndFt-PanArrayWidthLowEndFt)/2</f>
        <v>0</v>
      </c>
      <c r="X375" s="234">
        <f ca="1">$V375*NSSpacingFt+YOffset+0</f>
        <v>53.999999999999972</v>
      </c>
      <c r="Y375" s="235">
        <f ca="1">+$V375*NSGradeFt+PedHeight+0</f>
        <v>7.401410761154855</v>
      </c>
      <c r="Z375" s="214">
        <f ca="1">+$W375</f>
        <v>0</v>
      </c>
      <c r="AA375" s="214">
        <f ca="1">+$Y375</f>
        <v>7.401410761154855</v>
      </c>
      <c r="AB375" s="214">
        <f ca="1">+$X375</f>
        <v>53.999999999999972</v>
      </c>
      <c r="AC375" s="214">
        <f ca="1">+$W375-XOffset</f>
        <v>0</v>
      </c>
    </row>
    <row r="376" spans="8:29" s="213" customFormat="1" ht="9" customHeight="1">
      <c r="H376" s="212"/>
      <c r="I376" s="212"/>
      <c r="S376" s="307"/>
      <c r="T376" s="226">
        <f t="shared" si="29"/>
        <v>373</v>
      </c>
      <c r="U376" s="224">
        <f t="shared" si="27"/>
        <v>0</v>
      </c>
      <c r="V376" s="225">
        <f t="shared" si="28"/>
        <v>3</v>
      </c>
      <c r="W376" s="236">
        <f ca="1">+$U376*EWSpacingFt+XOffset+PanArrayWidthHighEndFt-(PanArrayWidthHighEndFt-PanArrayWidthLowEndFt)/2</f>
        <v>10.80282152230971</v>
      </c>
      <c r="X376" s="240">
        <f ca="1">$V376*NSSpacingFt+YOffset+0</f>
        <v>53.999999999999972</v>
      </c>
      <c r="Y376" s="244">
        <f ca="1">+$V376*NSGradeFt+PedHeight+0</f>
        <v>7.401410761154855</v>
      </c>
      <c r="Z376" s="214">
        <f ca="1">+$W376</f>
        <v>10.80282152230971</v>
      </c>
      <c r="AA376" s="214">
        <f ca="1">+$Y376</f>
        <v>7.401410761154855</v>
      </c>
      <c r="AB376" s="214">
        <f ca="1">+$X376</f>
        <v>53.999999999999972</v>
      </c>
      <c r="AC376" s="214">
        <f ca="1">+$W376-XOffset</f>
        <v>10.80282152230971</v>
      </c>
    </row>
    <row r="377" spans="8:29" s="213" customFormat="1" ht="9" customHeight="1">
      <c r="H377" s="212"/>
      <c r="I377" s="212"/>
      <c r="S377" s="307"/>
      <c r="T377" s="226">
        <f t="shared" si="29"/>
        <v>374</v>
      </c>
      <c r="U377" s="224">
        <f t="shared" si="27"/>
        <v>0</v>
      </c>
      <c r="V377" s="225">
        <f t="shared" si="28"/>
        <v>3</v>
      </c>
      <c r="W377" s="237">
        <f ca="1">$U377*EWSpacingFt+XOffset+PanArrayWidthHighEndFt</f>
        <v>10.80282152230971</v>
      </c>
      <c r="X377" s="241">
        <f ca="1">$V377*NSSpacingFt+YOffset+PanArrayLenFt*COS(RADIANS(Latitude+DecAng))</f>
        <v>70.43963254593173</v>
      </c>
      <c r="Y377" s="245">
        <f ca="1">+$V377*NSGradeFt+PedHeight+PanArrayLenFt*SIN(RADIANS(Latitude+DecAng))</f>
        <v>7.401410761154855</v>
      </c>
      <c r="Z377" s="214">
        <f ca="1">+$W377</f>
        <v>10.80282152230971</v>
      </c>
      <c r="AA377" s="214">
        <f ca="1">+$Y377</f>
        <v>7.401410761154855</v>
      </c>
      <c r="AB377" s="214">
        <f ca="1">+$X377</f>
        <v>70.43963254593173</v>
      </c>
      <c r="AC377" s="214">
        <f ca="1">+$W377-XOffset</f>
        <v>10.80282152230971</v>
      </c>
    </row>
    <row r="378" spans="8:29" s="213" customFormat="1" ht="9" customHeight="1">
      <c r="H378" s="212"/>
      <c r="I378" s="212"/>
      <c r="S378" s="307"/>
      <c r="T378" s="226">
        <f t="shared" si="29"/>
        <v>375</v>
      </c>
      <c r="U378" s="224">
        <f t="shared" si="27"/>
        <v>0</v>
      </c>
      <c r="V378" s="225">
        <f t="shared" si="28"/>
        <v>3</v>
      </c>
      <c r="W378" s="238">
        <f ca="1">$U378*EWSpacingFt+XOffset+0</f>
        <v>0</v>
      </c>
      <c r="X378" s="242">
        <f ca="1">$V378*NSSpacingFt+YOffset+PanArrayLenFt*COS(RADIANS(Latitude+DecAng))</f>
        <v>70.43963254593173</v>
      </c>
      <c r="Y378" s="246">
        <f ca="1">+$V378*NSGradeFt+PedHeight+PanArrayLenFt*SIN(RADIANS(Latitude+DecAng))</f>
        <v>7.401410761154855</v>
      </c>
      <c r="Z378" s="214">
        <f ca="1">+$W378</f>
        <v>0</v>
      </c>
      <c r="AA378" s="214">
        <f ca="1">+$Y378</f>
        <v>7.401410761154855</v>
      </c>
      <c r="AB378" s="214">
        <f ca="1">+$X378</f>
        <v>70.43963254593173</v>
      </c>
      <c r="AC378" s="214">
        <f ca="1">+$W378-XOffset</f>
        <v>0</v>
      </c>
    </row>
    <row r="379" spans="8:29" s="213" customFormat="1" ht="9" customHeight="1">
      <c r="H379" s="212"/>
      <c r="I379" s="212"/>
      <c r="S379" s="307"/>
      <c r="T379" s="226">
        <f t="shared" si="29"/>
        <v>376</v>
      </c>
      <c r="U379" s="224">
        <f t="shared" si="27"/>
        <v>0</v>
      </c>
      <c r="V379" s="225">
        <f t="shared" si="28"/>
        <v>3</v>
      </c>
      <c r="W379" s="239">
        <f ca="1">$U379*EWSpacingFt+XOffset+(PanArrayWidthHighEndFt-PanArrayWidthLowEndFt)/2</f>
        <v>0</v>
      </c>
      <c r="X379" s="243">
        <f ca="1">$V379*NSSpacingFt+YOffset+0</f>
        <v>53.999999999999972</v>
      </c>
      <c r="Y379" s="247">
        <f ca="1">+$V379*NSGradeFt+PedHeight+0</f>
        <v>7.401410761154855</v>
      </c>
      <c r="Z379" s="214">
        <f ca="1">+$W379</f>
        <v>0</v>
      </c>
      <c r="AA379" s="214">
        <f ca="1">+$Y379</f>
        <v>7.401410761154855</v>
      </c>
      <c r="AB379" s="214">
        <f ca="1">+$X379</f>
        <v>53.999999999999972</v>
      </c>
      <c r="AC379" s="214">
        <f ca="1">+$W379-XOffset</f>
        <v>0</v>
      </c>
    </row>
    <row r="380" spans="8:29" s="213" customFormat="1" ht="9" customHeight="1">
      <c r="H380" s="212"/>
      <c r="I380" s="212"/>
      <c r="S380" s="307"/>
      <c r="T380" s="226">
        <f t="shared" si="29"/>
        <v>377</v>
      </c>
      <c r="U380" s="224">
        <f t="shared" si="27"/>
        <v>0</v>
      </c>
      <c r="V380" s="225">
        <f t="shared" si="28"/>
        <v>3</v>
      </c>
      <c r="W380" s="217"/>
      <c r="X380" s="217"/>
      <c r="Y380" s="217"/>
      <c r="Z380" s="214"/>
      <c r="AA380" s="214"/>
      <c r="AB380" s="214"/>
      <c r="AC380" s="214"/>
    </row>
    <row r="381" spans="8:29" s="213" customFormat="1" ht="9" customHeight="1">
      <c r="H381" s="212"/>
      <c r="I381" s="212"/>
      <c r="S381" s="307">
        <f>INT((T381-0)/6)+1</f>
        <v>64</v>
      </c>
      <c r="T381" s="226">
        <f t="shared" si="29"/>
        <v>378</v>
      </c>
      <c r="U381" s="224">
        <f t="shared" si="27"/>
        <v>1</v>
      </c>
      <c r="V381" s="225">
        <f t="shared" si="28"/>
        <v>3</v>
      </c>
      <c r="W381" s="233">
        <f ca="1">$U381*EWSpacingFt+XOffset+(PanArrayWidthHighEndFt-PanArrayWidthLowEndFt)/2</f>
        <v>30.000006832286932</v>
      </c>
      <c r="X381" s="234">
        <f ca="1">$V381*NSSpacingFt+YOffset+0</f>
        <v>53.999999999999972</v>
      </c>
      <c r="Y381" s="235">
        <f ca="1">+$V381*NSGradeFt+PedHeight+0</f>
        <v>7.401410761154855</v>
      </c>
      <c r="Z381" s="214">
        <f ca="1">+$W381</f>
        <v>30.000006832286932</v>
      </c>
      <c r="AA381" s="214">
        <f ca="1">+$Y381</f>
        <v>7.401410761154855</v>
      </c>
      <c r="AB381" s="214">
        <f ca="1">+$X381</f>
        <v>53.999999999999972</v>
      </c>
      <c r="AC381" s="214">
        <f ca="1">+$W381-XOffset</f>
        <v>30.000006832286932</v>
      </c>
    </row>
    <row r="382" spans="8:29" s="213" customFormat="1" ht="9" customHeight="1">
      <c r="H382" s="212"/>
      <c r="I382" s="212"/>
      <c r="S382" s="307"/>
      <c r="T382" s="226">
        <f t="shared" si="29"/>
        <v>379</v>
      </c>
      <c r="U382" s="224">
        <f t="shared" si="27"/>
        <v>1</v>
      </c>
      <c r="V382" s="225">
        <f t="shared" si="28"/>
        <v>3</v>
      </c>
      <c r="W382" s="236">
        <f ca="1">+$U382*EWSpacingFt+XOffset+PanArrayWidthHighEndFt-(PanArrayWidthHighEndFt-PanArrayWidthLowEndFt)/2</f>
        <v>40.802828354596642</v>
      </c>
      <c r="X382" s="240">
        <f ca="1">$V382*NSSpacingFt+YOffset+0</f>
        <v>53.999999999999972</v>
      </c>
      <c r="Y382" s="244">
        <f ca="1">+$V382*NSGradeFt+PedHeight+0</f>
        <v>7.401410761154855</v>
      </c>
      <c r="Z382" s="214">
        <f ca="1">+$W382</f>
        <v>40.802828354596642</v>
      </c>
      <c r="AA382" s="214">
        <f ca="1">+$Y382</f>
        <v>7.401410761154855</v>
      </c>
      <c r="AB382" s="214">
        <f ca="1">+$X382</f>
        <v>53.999999999999972</v>
      </c>
      <c r="AC382" s="214">
        <f ca="1">+$W382-XOffset</f>
        <v>40.802828354596642</v>
      </c>
    </row>
    <row r="383" spans="8:29" s="213" customFormat="1" ht="9" customHeight="1">
      <c r="H383" s="212"/>
      <c r="I383" s="212"/>
      <c r="S383" s="307"/>
      <c r="T383" s="226">
        <f t="shared" si="29"/>
        <v>380</v>
      </c>
      <c r="U383" s="224">
        <f t="shared" si="27"/>
        <v>1</v>
      </c>
      <c r="V383" s="225">
        <f t="shared" si="28"/>
        <v>3</v>
      </c>
      <c r="W383" s="237">
        <f ca="1">$U383*EWSpacingFt+XOffset+PanArrayWidthHighEndFt</f>
        <v>40.802828354596642</v>
      </c>
      <c r="X383" s="241">
        <f ca="1">$V383*NSSpacingFt+YOffset+PanArrayLenFt*COS(RADIANS(Latitude+DecAng))</f>
        <v>70.43963254593173</v>
      </c>
      <c r="Y383" s="245">
        <f ca="1">+$V383*NSGradeFt+PedHeight+PanArrayLenFt*SIN(RADIANS(Latitude+DecAng))</f>
        <v>7.401410761154855</v>
      </c>
      <c r="Z383" s="214">
        <f ca="1">+$W383</f>
        <v>40.802828354596642</v>
      </c>
      <c r="AA383" s="214">
        <f ca="1">+$Y383</f>
        <v>7.401410761154855</v>
      </c>
      <c r="AB383" s="214">
        <f ca="1">+$X383</f>
        <v>70.43963254593173</v>
      </c>
      <c r="AC383" s="214">
        <f ca="1">+$W383-XOffset</f>
        <v>40.802828354596642</v>
      </c>
    </row>
    <row r="384" spans="8:29" s="213" customFormat="1" ht="9" customHeight="1">
      <c r="H384" s="212"/>
      <c r="I384" s="212"/>
      <c r="S384" s="307"/>
      <c r="T384" s="226">
        <f t="shared" si="29"/>
        <v>381</v>
      </c>
      <c r="U384" s="224">
        <f t="shared" si="27"/>
        <v>1</v>
      </c>
      <c r="V384" s="225">
        <f t="shared" si="28"/>
        <v>3</v>
      </c>
      <c r="W384" s="238">
        <f ca="1">$U384*EWSpacingFt+XOffset+0</f>
        <v>30.000006832286932</v>
      </c>
      <c r="X384" s="242">
        <f ca="1">$V384*NSSpacingFt+YOffset+PanArrayLenFt*COS(RADIANS(Latitude+DecAng))</f>
        <v>70.43963254593173</v>
      </c>
      <c r="Y384" s="246">
        <f ca="1">+$V384*NSGradeFt+PedHeight+PanArrayLenFt*SIN(RADIANS(Latitude+DecAng))</f>
        <v>7.401410761154855</v>
      </c>
      <c r="Z384" s="214">
        <f ca="1">+$W384</f>
        <v>30.000006832286932</v>
      </c>
      <c r="AA384" s="214">
        <f ca="1">+$Y384</f>
        <v>7.401410761154855</v>
      </c>
      <c r="AB384" s="214">
        <f ca="1">+$X384</f>
        <v>70.43963254593173</v>
      </c>
      <c r="AC384" s="214">
        <f ca="1">+$W384-XOffset</f>
        <v>30.000006832286932</v>
      </c>
    </row>
    <row r="385" spans="8:29" s="213" customFormat="1" ht="9" customHeight="1">
      <c r="H385" s="212"/>
      <c r="I385" s="212"/>
      <c r="S385" s="307"/>
      <c r="T385" s="226">
        <f t="shared" si="29"/>
        <v>382</v>
      </c>
      <c r="U385" s="224">
        <f t="shared" si="27"/>
        <v>1</v>
      </c>
      <c r="V385" s="225">
        <f t="shared" si="28"/>
        <v>3</v>
      </c>
      <c r="W385" s="239">
        <f ca="1">$U385*EWSpacingFt+XOffset+(PanArrayWidthHighEndFt-PanArrayWidthLowEndFt)/2</f>
        <v>30.000006832286932</v>
      </c>
      <c r="X385" s="243">
        <f ca="1">$V385*NSSpacingFt+YOffset+0</f>
        <v>53.999999999999972</v>
      </c>
      <c r="Y385" s="247">
        <f ca="1">+$V385*NSGradeFt+PedHeight+0</f>
        <v>7.401410761154855</v>
      </c>
      <c r="Z385" s="214">
        <f ca="1">+$W385</f>
        <v>30.000006832286932</v>
      </c>
      <c r="AA385" s="214">
        <f ca="1">+$Y385</f>
        <v>7.401410761154855</v>
      </c>
      <c r="AB385" s="214">
        <f ca="1">+$X385</f>
        <v>53.999999999999972</v>
      </c>
      <c r="AC385" s="214">
        <f ca="1">+$W385-XOffset</f>
        <v>30.000006832286932</v>
      </c>
    </row>
    <row r="386" spans="8:29" s="213" customFormat="1" ht="9" customHeight="1">
      <c r="H386" s="212"/>
      <c r="I386" s="212"/>
      <c r="S386" s="307"/>
      <c r="T386" s="226">
        <f t="shared" si="29"/>
        <v>383</v>
      </c>
      <c r="U386" s="224">
        <f t="shared" si="27"/>
        <v>1</v>
      </c>
      <c r="V386" s="225">
        <f t="shared" si="28"/>
        <v>3</v>
      </c>
      <c r="W386" s="217"/>
      <c r="X386" s="217"/>
      <c r="Y386" s="217"/>
      <c r="Z386" s="214"/>
      <c r="AA386" s="214"/>
      <c r="AB386" s="214"/>
      <c r="AC386" s="214"/>
    </row>
    <row r="387" spans="8:29" s="213" customFormat="1" ht="9" customHeight="1">
      <c r="H387" s="212"/>
      <c r="I387" s="212"/>
      <c r="S387" s="307">
        <f>INT((T387-0)/6)+1</f>
        <v>65</v>
      </c>
      <c r="T387" s="226">
        <f t="shared" si="29"/>
        <v>384</v>
      </c>
      <c r="U387" s="224">
        <f t="shared" ref="U387:U450" si="30">+MOD(INT(T387/6),ColumnsOfMounts)</f>
        <v>0</v>
      </c>
      <c r="V387" s="225">
        <f t="shared" ref="V387:V450" si="31">+MOD(INT(T387/6/ColumnsOfMounts),RowsOfMounts)</f>
        <v>0</v>
      </c>
      <c r="W387" s="233">
        <f ca="1">$U387*EWSpacingFt+XOffset+(PanArrayWidthHighEndFt-PanArrayWidthLowEndFt)/2</f>
        <v>0</v>
      </c>
      <c r="X387" s="234">
        <f ca="1">$V387*NSSpacingFt+YOffset+0</f>
        <v>0</v>
      </c>
      <c r="Y387" s="235">
        <f ca="1">+$V387*NSGradeFt+PedHeight+0</f>
        <v>7.401410761154855</v>
      </c>
      <c r="Z387" s="214">
        <f ca="1">+$W387</f>
        <v>0</v>
      </c>
      <c r="AA387" s="214">
        <f ca="1">+$Y387</f>
        <v>7.401410761154855</v>
      </c>
      <c r="AB387" s="214">
        <f ca="1">+$X387</f>
        <v>0</v>
      </c>
      <c r="AC387" s="214">
        <f ca="1">+$W387-XOffset</f>
        <v>0</v>
      </c>
    </row>
    <row r="388" spans="8:29" s="213" customFormat="1" ht="9" customHeight="1">
      <c r="H388" s="212"/>
      <c r="I388" s="212"/>
      <c r="S388" s="307"/>
      <c r="T388" s="226">
        <f t="shared" si="29"/>
        <v>385</v>
      </c>
      <c r="U388" s="224">
        <f t="shared" si="30"/>
        <v>0</v>
      </c>
      <c r="V388" s="225">
        <f t="shared" si="31"/>
        <v>0</v>
      </c>
      <c r="W388" s="236">
        <f ca="1">+$U388*EWSpacingFt+XOffset+PanArrayWidthHighEndFt-(PanArrayWidthHighEndFt-PanArrayWidthLowEndFt)/2</f>
        <v>10.80282152230971</v>
      </c>
      <c r="X388" s="240">
        <f ca="1">$V388*NSSpacingFt+YOffset+0</f>
        <v>0</v>
      </c>
      <c r="Y388" s="244">
        <f ca="1">+$V388*NSGradeFt+PedHeight+0</f>
        <v>7.401410761154855</v>
      </c>
      <c r="Z388" s="214">
        <f ca="1">+$W388</f>
        <v>10.80282152230971</v>
      </c>
      <c r="AA388" s="214">
        <f ca="1">+$Y388</f>
        <v>7.401410761154855</v>
      </c>
      <c r="AB388" s="214">
        <f ca="1">+$X388</f>
        <v>0</v>
      </c>
      <c r="AC388" s="214">
        <f ca="1">+$W388-XOffset</f>
        <v>10.80282152230971</v>
      </c>
    </row>
    <row r="389" spans="8:29" s="213" customFormat="1" ht="9" customHeight="1">
      <c r="H389" s="212"/>
      <c r="I389" s="212"/>
      <c r="S389" s="307"/>
      <c r="T389" s="226">
        <f t="shared" si="29"/>
        <v>386</v>
      </c>
      <c r="U389" s="224">
        <f t="shared" si="30"/>
        <v>0</v>
      </c>
      <c r="V389" s="225">
        <f t="shared" si="31"/>
        <v>0</v>
      </c>
      <c r="W389" s="237">
        <f ca="1">$U389*EWSpacingFt+XOffset+PanArrayWidthHighEndFt</f>
        <v>10.80282152230971</v>
      </c>
      <c r="X389" s="241">
        <f ca="1">$V389*NSSpacingFt+YOffset+PanArrayLenFt*COS(RADIANS(Latitude+DecAng))</f>
        <v>16.439632545931762</v>
      </c>
      <c r="Y389" s="245">
        <f ca="1">+$V389*NSGradeFt+PedHeight+PanArrayLenFt*SIN(RADIANS(Latitude+DecAng))</f>
        <v>7.401410761154855</v>
      </c>
      <c r="Z389" s="214">
        <f ca="1">+$W389</f>
        <v>10.80282152230971</v>
      </c>
      <c r="AA389" s="214">
        <f ca="1">+$Y389</f>
        <v>7.401410761154855</v>
      </c>
      <c r="AB389" s="214">
        <f ca="1">+$X389</f>
        <v>16.439632545931762</v>
      </c>
      <c r="AC389" s="214">
        <f ca="1">+$W389-XOffset</f>
        <v>10.80282152230971</v>
      </c>
    </row>
    <row r="390" spans="8:29" s="213" customFormat="1" ht="9" customHeight="1">
      <c r="H390" s="212"/>
      <c r="I390" s="212"/>
      <c r="S390" s="307"/>
      <c r="T390" s="226">
        <f t="shared" si="29"/>
        <v>387</v>
      </c>
      <c r="U390" s="224">
        <f t="shared" si="30"/>
        <v>0</v>
      </c>
      <c r="V390" s="225">
        <f t="shared" si="31"/>
        <v>0</v>
      </c>
      <c r="W390" s="238">
        <f ca="1">$U390*EWSpacingFt+XOffset+0</f>
        <v>0</v>
      </c>
      <c r="X390" s="242">
        <f ca="1">$V390*NSSpacingFt+YOffset+PanArrayLenFt*COS(RADIANS(Latitude+DecAng))</f>
        <v>16.439632545931762</v>
      </c>
      <c r="Y390" s="246">
        <f ca="1">+$V390*NSGradeFt+PedHeight+PanArrayLenFt*SIN(RADIANS(Latitude+DecAng))</f>
        <v>7.401410761154855</v>
      </c>
      <c r="Z390" s="214">
        <f ca="1">+$W390</f>
        <v>0</v>
      </c>
      <c r="AA390" s="214">
        <f ca="1">+$Y390</f>
        <v>7.401410761154855</v>
      </c>
      <c r="AB390" s="214">
        <f ca="1">+$X390</f>
        <v>16.439632545931762</v>
      </c>
      <c r="AC390" s="214">
        <f ca="1">+$W390-XOffset</f>
        <v>0</v>
      </c>
    </row>
    <row r="391" spans="8:29" s="213" customFormat="1" ht="9" customHeight="1">
      <c r="H391" s="212"/>
      <c r="I391" s="212"/>
      <c r="S391" s="307"/>
      <c r="T391" s="226">
        <f t="shared" si="29"/>
        <v>388</v>
      </c>
      <c r="U391" s="224">
        <f t="shared" si="30"/>
        <v>0</v>
      </c>
      <c r="V391" s="225">
        <f t="shared" si="31"/>
        <v>0</v>
      </c>
      <c r="W391" s="239">
        <f ca="1">$U391*EWSpacingFt+XOffset+(PanArrayWidthHighEndFt-PanArrayWidthLowEndFt)/2</f>
        <v>0</v>
      </c>
      <c r="X391" s="243">
        <f ca="1">$V391*NSSpacingFt+YOffset+0</f>
        <v>0</v>
      </c>
      <c r="Y391" s="247">
        <f ca="1">+$V391*NSGradeFt+PedHeight+0</f>
        <v>7.401410761154855</v>
      </c>
      <c r="Z391" s="214">
        <f ca="1">+$W391</f>
        <v>0</v>
      </c>
      <c r="AA391" s="214">
        <f ca="1">+$Y391</f>
        <v>7.401410761154855</v>
      </c>
      <c r="AB391" s="214">
        <f ca="1">+$X391</f>
        <v>0</v>
      </c>
      <c r="AC391" s="214">
        <f ca="1">+$W391-XOffset</f>
        <v>0</v>
      </c>
    </row>
    <row r="392" spans="8:29" s="213" customFormat="1" ht="9" customHeight="1">
      <c r="H392" s="212"/>
      <c r="I392" s="212"/>
      <c r="S392" s="307"/>
      <c r="T392" s="226">
        <f t="shared" si="29"/>
        <v>389</v>
      </c>
      <c r="U392" s="224">
        <f t="shared" si="30"/>
        <v>0</v>
      </c>
      <c r="V392" s="225">
        <f t="shared" si="31"/>
        <v>0</v>
      </c>
      <c r="W392" s="217"/>
      <c r="X392" s="217"/>
      <c r="Y392" s="217"/>
      <c r="Z392" s="214"/>
      <c r="AA392" s="214"/>
      <c r="AB392" s="214"/>
      <c r="AC392" s="214"/>
    </row>
    <row r="393" spans="8:29" s="213" customFormat="1" ht="9" customHeight="1">
      <c r="H393" s="212"/>
      <c r="I393" s="212"/>
      <c r="S393" s="307">
        <f>INT((T393-0)/6)+1</f>
        <v>66</v>
      </c>
      <c r="T393" s="226">
        <f t="shared" si="29"/>
        <v>390</v>
      </c>
      <c r="U393" s="224">
        <f t="shared" si="30"/>
        <v>1</v>
      </c>
      <c r="V393" s="225">
        <f t="shared" si="31"/>
        <v>0</v>
      </c>
      <c r="W393" s="233">
        <f ca="1">$U393*EWSpacingFt+XOffset+(PanArrayWidthHighEndFt-PanArrayWidthLowEndFt)/2</f>
        <v>30.000006832286932</v>
      </c>
      <c r="X393" s="234">
        <f ca="1">$V393*NSSpacingFt+YOffset+0</f>
        <v>0</v>
      </c>
      <c r="Y393" s="235">
        <f ca="1">+$V393*NSGradeFt+PedHeight+0</f>
        <v>7.401410761154855</v>
      </c>
      <c r="Z393" s="214">
        <f ca="1">+$W393</f>
        <v>30.000006832286932</v>
      </c>
      <c r="AA393" s="214">
        <f ca="1">+$Y393</f>
        <v>7.401410761154855</v>
      </c>
      <c r="AB393" s="214">
        <f ca="1">+$X393</f>
        <v>0</v>
      </c>
      <c r="AC393" s="214">
        <f ca="1">+$W393-XOffset</f>
        <v>30.000006832286932</v>
      </c>
    </row>
    <row r="394" spans="8:29" s="213" customFormat="1" ht="9" customHeight="1">
      <c r="H394" s="212"/>
      <c r="I394" s="212"/>
      <c r="S394" s="307"/>
      <c r="T394" s="226">
        <f t="shared" si="29"/>
        <v>391</v>
      </c>
      <c r="U394" s="224">
        <f t="shared" si="30"/>
        <v>1</v>
      </c>
      <c r="V394" s="225">
        <f t="shared" si="31"/>
        <v>0</v>
      </c>
      <c r="W394" s="236">
        <f ca="1">+$U394*EWSpacingFt+XOffset+PanArrayWidthHighEndFt-(PanArrayWidthHighEndFt-PanArrayWidthLowEndFt)/2</f>
        <v>40.802828354596642</v>
      </c>
      <c r="X394" s="240">
        <f ca="1">$V394*NSSpacingFt+YOffset+0</f>
        <v>0</v>
      </c>
      <c r="Y394" s="244">
        <f ca="1">+$V394*NSGradeFt+PedHeight+0</f>
        <v>7.401410761154855</v>
      </c>
      <c r="Z394" s="214">
        <f ca="1">+$W394</f>
        <v>40.802828354596642</v>
      </c>
      <c r="AA394" s="214">
        <f ca="1">+$Y394</f>
        <v>7.401410761154855</v>
      </c>
      <c r="AB394" s="214">
        <f ca="1">+$X394</f>
        <v>0</v>
      </c>
      <c r="AC394" s="214">
        <f ca="1">+$W394-XOffset</f>
        <v>40.802828354596642</v>
      </c>
    </row>
    <row r="395" spans="8:29" s="213" customFormat="1" ht="9" customHeight="1">
      <c r="H395" s="212"/>
      <c r="I395" s="212"/>
      <c r="S395" s="307"/>
      <c r="T395" s="226">
        <f t="shared" si="29"/>
        <v>392</v>
      </c>
      <c r="U395" s="224">
        <f t="shared" si="30"/>
        <v>1</v>
      </c>
      <c r="V395" s="225">
        <f t="shared" si="31"/>
        <v>0</v>
      </c>
      <c r="W395" s="237">
        <f ca="1">$U395*EWSpacingFt+XOffset+PanArrayWidthHighEndFt</f>
        <v>40.802828354596642</v>
      </c>
      <c r="X395" s="241">
        <f ca="1">$V395*NSSpacingFt+YOffset+PanArrayLenFt*COS(RADIANS(Latitude+DecAng))</f>
        <v>16.439632545931762</v>
      </c>
      <c r="Y395" s="245">
        <f ca="1">+$V395*NSGradeFt+PedHeight+PanArrayLenFt*SIN(RADIANS(Latitude+DecAng))</f>
        <v>7.401410761154855</v>
      </c>
      <c r="Z395" s="214">
        <f ca="1">+$W395</f>
        <v>40.802828354596642</v>
      </c>
      <c r="AA395" s="214">
        <f ca="1">+$Y395</f>
        <v>7.401410761154855</v>
      </c>
      <c r="AB395" s="214">
        <f ca="1">+$X395</f>
        <v>16.439632545931762</v>
      </c>
      <c r="AC395" s="214">
        <f ca="1">+$W395-XOffset</f>
        <v>40.802828354596642</v>
      </c>
    </row>
    <row r="396" spans="8:29" s="213" customFormat="1" ht="9" customHeight="1">
      <c r="H396" s="212"/>
      <c r="I396" s="212"/>
      <c r="S396" s="307"/>
      <c r="T396" s="226">
        <f t="shared" si="29"/>
        <v>393</v>
      </c>
      <c r="U396" s="224">
        <f t="shared" si="30"/>
        <v>1</v>
      </c>
      <c r="V396" s="225">
        <f t="shared" si="31"/>
        <v>0</v>
      </c>
      <c r="W396" s="238">
        <f ca="1">$U396*EWSpacingFt+XOffset+0</f>
        <v>30.000006832286932</v>
      </c>
      <c r="X396" s="242">
        <f ca="1">$V396*NSSpacingFt+YOffset+PanArrayLenFt*COS(RADIANS(Latitude+DecAng))</f>
        <v>16.439632545931762</v>
      </c>
      <c r="Y396" s="246">
        <f ca="1">+$V396*NSGradeFt+PedHeight+PanArrayLenFt*SIN(RADIANS(Latitude+DecAng))</f>
        <v>7.401410761154855</v>
      </c>
      <c r="Z396" s="214">
        <f ca="1">+$W396</f>
        <v>30.000006832286932</v>
      </c>
      <c r="AA396" s="214">
        <f ca="1">+$Y396</f>
        <v>7.401410761154855</v>
      </c>
      <c r="AB396" s="214">
        <f ca="1">+$X396</f>
        <v>16.439632545931762</v>
      </c>
      <c r="AC396" s="214">
        <f ca="1">+$W396-XOffset</f>
        <v>30.000006832286932</v>
      </c>
    </row>
    <row r="397" spans="8:29" s="213" customFormat="1" ht="9" customHeight="1">
      <c r="H397" s="212"/>
      <c r="I397" s="212"/>
      <c r="S397" s="307"/>
      <c r="T397" s="226">
        <f t="shared" si="29"/>
        <v>394</v>
      </c>
      <c r="U397" s="224">
        <f t="shared" si="30"/>
        <v>1</v>
      </c>
      <c r="V397" s="225">
        <f t="shared" si="31"/>
        <v>0</v>
      </c>
      <c r="W397" s="239">
        <f ca="1">$U397*EWSpacingFt+XOffset+(PanArrayWidthHighEndFt-PanArrayWidthLowEndFt)/2</f>
        <v>30.000006832286932</v>
      </c>
      <c r="X397" s="243">
        <f ca="1">$V397*NSSpacingFt+YOffset+0</f>
        <v>0</v>
      </c>
      <c r="Y397" s="247">
        <f ca="1">+$V397*NSGradeFt+PedHeight+0</f>
        <v>7.401410761154855</v>
      </c>
      <c r="Z397" s="214">
        <f ca="1">+$W397</f>
        <v>30.000006832286932</v>
      </c>
      <c r="AA397" s="214">
        <f ca="1">+$Y397</f>
        <v>7.401410761154855</v>
      </c>
      <c r="AB397" s="214">
        <f ca="1">+$X397</f>
        <v>0</v>
      </c>
      <c r="AC397" s="214">
        <f ca="1">+$W397-XOffset</f>
        <v>30.000006832286932</v>
      </c>
    </row>
    <row r="398" spans="8:29" s="213" customFormat="1" ht="9" customHeight="1">
      <c r="H398" s="212"/>
      <c r="I398" s="212"/>
      <c r="S398" s="307"/>
      <c r="T398" s="226">
        <f t="shared" si="29"/>
        <v>395</v>
      </c>
      <c r="U398" s="224">
        <f t="shared" si="30"/>
        <v>1</v>
      </c>
      <c r="V398" s="225">
        <f t="shared" si="31"/>
        <v>0</v>
      </c>
      <c r="W398" s="217"/>
      <c r="X398" s="217"/>
      <c r="Y398" s="217"/>
      <c r="Z398" s="214"/>
      <c r="AA398" s="214"/>
      <c r="AB398" s="214"/>
      <c r="AC398" s="214"/>
    </row>
    <row r="399" spans="8:29" s="213" customFormat="1" ht="9" customHeight="1">
      <c r="H399" s="212"/>
      <c r="I399" s="212"/>
      <c r="S399" s="307">
        <f>INT((T399-0)/6)+1</f>
        <v>67</v>
      </c>
      <c r="T399" s="226">
        <f t="shared" si="29"/>
        <v>396</v>
      </c>
      <c r="U399" s="224">
        <f t="shared" si="30"/>
        <v>0</v>
      </c>
      <c r="V399" s="225">
        <f t="shared" si="31"/>
        <v>1</v>
      </c>
      <c r="W399" s="233">
        <f ca="1">$U399*EWSpacingFt+XOffset+(PanArrayWidthHighEndFt-PanArrayWidthLowEndFt)/2</f>
        <v>0</v>
      </c>
      <c r="X399" s="234">
        <f ca="1">$V399*NSSpacingFt+YOffset+0</f>
        <v>17.999999999999989</v>
      </c>
      <c r="Y399" s="235">
        <f ca="1">+$V399*NSGradeFt+PedHeight+0</f>
        <v>7.401410761154855</v>
      </c>
      <c r="Z399" s="214">
        <f ca="1">+$W399</f>
        <v>0</v>
      </c>
      <c r="AA399" s="214">
        <f ca="1">+$Y399</f>
        <v>7.401410761154855</v>
      </c>
      <c r="AB399" s="214">
        <f ca="1">+$X399</f>
        <v>17.999999999999989</v>
      </c>
      <c r="AC399" s="214">
        <f ca="1">+$W399-XOffset</f>
        <v>0</v>
      </c>
    </row>
    <row r="400" spans="8:29" s="213" customFormat="1" ht="9" customHeight="1">
      <c r="H400" s="212"/>
      <c r="I400" s="212"/>
      <c r="S400" s="307"/>
      <c r="T400" s="226">
        <f t="shared" si="29"/>
        <v>397</v>
      </c>
      <c r="U400" s="224">
        <f t="shared" si="30"/>
        <v>0</v>
      </c>
      <c r="V400" s="225">
        <f t="shared" si="31"/>
        <v>1</v>
      </c>
      <c r="W400" s="236">
        <f ca="1">+$U400*EWSpacingFt+XOffset+PanArrayWidthHighEndFt-(PanArrayWidthHighEndFt-PanArrayWidthLowEndFt)/2</f>
        <v>10.80282152230971</v>
      </c>
      <c r="X400" s="240">
        <f ca="1">$V400*NSSpacingFt+YOffset+0</f>
        <v>17.999999999999989</v>
      </c>
      <c r="Y400" s="244">
        <f ca="1">+$V400*NSGradeFt+PedHeight+0</f>
        <v>7.401410761154855</v>
      </c>
      <c r="Z400" s="214">
        <f ca="1">+$W400</f>
        <v>10.80282152230971</v>
      </c>
      <c r="AA400" s="214">
        <f ca="1">+$Y400</f>
        <v>7.401410761154855</v>
      </c>
      <c r="AB400" s="214">
        <f ca="1">+$X400</f>
        <v>17.999999999999989</v>
      </c>
      <c r="AC400" s="214">
        <f ca="1">+$W400-XOffset</f>
        <v>10.80282152230971</v>
      </c>
    </row>
    <row r="401" spans="8:29" s="213" customFormat="1" ht="9" customHeight="1">
      <c r="H401" s="212"/>
      <c r="I401" s="212"/>
      <c r="S401" s="307"/>
      <c r="T401" s="226">
        <f t="shared" ref="T401:T464" si="32">+T400+1</f>
        <v>398</v>
      </c>
      <c r="U401" s="224">
        <f t="shared" si="30"/>
        <v>0</v>
      </c>
      <c r="V401" s="225">
        <f t="shared" si="31"/>
        <v>1</v>
      </c>
      <c r="W401" s="237">
        <f ca="1">$U401*EWSpacingFt+XOffset+PanArrayWidthHighEndFt</f>
        <v>10.80282152230971</v>
      </c>
      <c r="X401" s="241">
        <f ca="1">$V401*NSSpacingFt+YOffset+PanArrayLenFt*COS(RADIANS(Latitude+DecAng))</f>
        <v>34.439632545931751</v>
      </c>
      <c r="Y401" s="245">
        <f ca="1">+$V401*NSGradeFt+PedHeight+PanArrayLenFt*SIN(RADIANS(Latitude+DecAng))</f>
        <v>7.401410761154855</v>
      </c>
      <c r="Z401" s="214">
        <f ca="1">+$W401</f>
        <v>10.80282152230971</v>
      </c>
      <c r="AA401" s="214">
        <f ca="1">+$Y401</f>
        <v>7.401410761154855</v>
      </c>
      <c r="AB401" s="214">
        <f ca="1">+$X401</f>
        <v>34.439632545931751</v>
      </c>
      <c r="AC401" s="214">
        <f ca="1">+$W401-XOffset</f>
        <v>10.80282152230971</v>
      </c>
    </row>
    <row r="402" spans="8:29" s="213" customFormat="1" ht="9" customHeight="1">
      <c r="H402" s="212"/>
      <c r="I402" s="212"/>
      <c r="S402" s="307"/>
      <c r="T402" s="226">
        <f t="shared" si="32"/>
        <v>399</v>
      </c>
      <c r="U402" s="224">
        <f t="shared" si="30"/>
        <v>0</v>
      </c>
      <c r="V402" s="225">
        <f t="shared" si="31"/>
        <v>1</v>
      </c>
      <c r="W402" s="238">
        <f ca="1">$U402*EWSpacingFt+XOffset+0</f>
        <v>0</v>
      </c>
      <c r="X402" s="242">
        <f ca="1">$V402*NSSpacingFt+YOffset+PanArrayLenFt*COS(RADIANS(Latitude+DecAng))</f>
        <v>34.439632545931751</v>
      </c>
      <c r="Y402" s="246">
        <f ca="1">+$V402*NSGradeFt+PedHeight+PanArrayLenFt*SIN(RADIANS(Latitude+DecAng))</f>
        <v>7.401410761154855</v>
      </c>
      <c r="Z402" s="214">
        <f ca="1">+$W402</f>
        <v>0</v>
      </c>
      <c r="AA402" s="214">
        <f ca="1">+$Y402</f>
        <v>7.401410761154855</v>
      </c>
      <c r="AB402" s="214">
        <f ca="1">+$X402</f>
        <v>34.439632545931751</v>
      </c>
      <c r="AC402" s="214">
        <f ca="1">+$W402-XOffset</f>
        <v>0</v>
      </c>
    </row>
    <row r="403" spans="8:29" s="213" customFormat="1" ht="9" customHeight="1">
      <c r="H403" s="212"/>
      <c r="I403" s="212"/>
      <c r="S403" s="307"/>
      <c r="T403" s="226">
        <f t="shared" si="32"/>
        <v>400</v>
      </c>
      <c r="U403" s="224">
        <f t="shared" si="30"/>
        <v>0</v>
      </c>
      <c r="V403" s="225">
        <f t="shared" si="31"/>
        <v>1</v>
      </c>
      <c r="W403" s="239">
        <f ca="1">$U403*EWSpacingFt+XOffset+(PanArrayWidthHighEndFt-PanArrayWidthLowEndFt)/2</f>
        <v>0</v>
      </c>
      <c r="X403" s="243">
        <f ca="1">$V403*NSSpacingFt+YOffset+0</f>
        <v>17.999999999999989</v>
      </c>
      <c r="Y403" s="247">
        <f ca="1">+$V403*NSGradeFt+PedHeight+0</f>
        <v>7.401410761154855</v>
      </c>
      <c r="Z403" s="214">
        <f ca="1">+$W403</f>
        <v>0</v>
      </c>
      <c r="AA403" s="214">
        <f ca="1">+$Y403</f>
        <v>7.401410761154855</v>
      </c>
      <c r="AB403" s="214">
        <f ca="1">+$X403</f>
        <v>17.999999999999989</v>
      </c>
      <c r="AC403" s="214">
        <f ca="1">+$W403-XOffset</f>
        <v>0</v>
      </c>
    </row>
    <row r="404" spans="8:29" s="213" customFormat="1" ht="9" customHeight="1">
      <c r="H404" s="212"/>
      <c r="I404" s="212"/>
      <c r="S404" s="307"/>
      <c r="T404" s="226">
        <f t="shared" si="32"/>
        <v>401</v>
      </c>
      <c r="U404" s="224">
        <f t="shared" si="30"/>
        <v>0</v>
      </c>
      <c r="V404" s="225">
        <f t="shared" si="31"/>
        <v>1</v>
      </c>
      <c r="W404" s="217"/>
      <c r="X404" s="217"/>
      <c r="Y404" s="217"/>
      <c r="Z404" s="214"/>
      <c r="AA404" s="214"/>
      <c r="AB404" s="214"/>
      <c r="AC404" s="214"/>
    </row>
    <row r="405" spans="8:29" s="213" customFormat="1" ht="9" customHeight="1">
      <c r="H405" s="212"/>
      <c r="I405" s="212"/>
      <c r="S405" s="307">
        <f>INT((T405-0)/6)+1</f>
        <v>68</v>
      </c>
      <c r="T405" s="226">
        <f t="shared" si="32"/>
        <v>402</v>
      </c>
      <c r="U405" s="224">
        <f t="shared" si="30"/>
        <v>1</v>
      </c>
      <c r="V405" s="225">
        <f t="shared" si="31"/>
        <v>1</v>
      </c>
      <c r="W405" s="233">
        <f ca="1">$U405*EWSpacingFt+XOffset+(PanArrayWidthHighEndFt-PanArrayWidthLowEndFt)/2</f>
        <v>30.000006832286932</v>
      </c>
      <c r="X405" s="234">
        <f ca="1">$V405*NSSpacingFt+YOffset+0</f>
        <v>17.999999999999989</v>
      </c>
      <c r="Y405" s="235">
        <f ca="1">+$V405*NSGradeFt+PedHeight+0</f>
        <v>7.401410761154855</v>
      </c>
      <c r="Z405" s="214">
        <f ca="1">+$W405</f>
        <v>30.000006832286932</v>
      </c>
      <c r="AA405" s="214">
        <f ca="1">+$Y405</f>
        <v>7.401410761154855</v>
      </c>
      <c r="AB405" s="214">
        <f ca="1">+$X405</f>
        <v>17.999999999999989</v>
      </c>
      <c r="AC405" s="214">
        <f ca="1">+$W405-XOffset</f>
        <v>30.000006832286932</v>
      </c>
    </row>
    <row r="406" spans="8:29" s="213" customFormat="1" ht="9" customHeight="1">
      <c r="H406" s="212"/>
      <c r="I406" s="212"/>
      <c r="S406" s="307"/>
      <c r="T406" s="226">
        <f t="shared" si="32"/>
        <v>403</v>
      </c>
      <c r="U406" s="224">
        <f t="shared" si="30"/>
        <v>1</v>
      </c>
      <c r="V406" s="225">
        <f t="shared" si="31"/>
        <v>1</v>
      </c>
      <c r="W406" s="236">
        <f ca="1">+$U406*EWSpacingFt+XOffset+PanArrayWidthHighEndFt-(PanArrayWidthHighEndFt-PanArrayWidthLowEndFt)/2</f>
        <v>40.802828354596642</v>
      </c>
      <c r="X406" s="240">
        <f ca="1">$V406*NSSpacingFt+YOffset+0</f>
        <v>17.999999999999989</v>
      </c>
      <c r="Y406" s="244">
        <f ca="1">+$V406*NSGradeFt+PedHeight+0</f>
        <v>7.401410761154855</v>
      </c>
      <c r="Z406" s="214">
        <f ca="1">+$W406</f>
        <v>40.802828354596642</v>
      </c>
      <c r="AA406" s="214">
        <f ca="1">+$Y406</f>
        <v>7.401410761154855</v>
      </c>
      <c r="AB406" s="214">
        <f ca="1">+$X406</f>
        <v>17.999999999999989</v>
      </c>
      <c r="AC406" s="214">
        <f ca="1">+$W406-XOffset</f>
        <v>40.802828354596642</v>
      </c>
    </row>
    <row r="407" spans="8:29" s="213" customFormat="1" ht="9" customHeight="1">
      <c r="H407" s="212"/>
      <c r="I407" s="212"/>
      <c r="S407" s="307"/>
      <c r="T407" s="226">
        <f t="shared" si="32"/>
        <v>404</v>
      </c>
      <c r="U407" s="224">
        <f t="shared" si="30"/>
        <v>1</v>
      </c>
      <c r="V407" s="225">
        <f t="shared" si="31"/>
        <v>1</v>
      </c>
      <c r="W407" s="237">
        <f ca="1">$U407*EWSpacingFt+XOffset+PanArrayWidthHighEndFt</f>
        <v>40.802828354596642</v>
      </c>
      <c r="X407" s="241">
        <f ca="1">$V407*NSSpacingFt+YOffset+PanArrayLenFt*COS(RADIANS(Latitude+DecAng))</f>
        <v>34.439632545931751</v>
      </c>
      <c r="Y407" s="245">
        <f ca="1">+$V407*NSGradeFt+PedHeight+PanArrayLenFt*SIN(RADIANS(Latitude+DecAng))</f>
        <v>7.401410761154855</v>
      </c>
      <c r="Z407" s="214">
        <f ca="1">+$W407</f>
        <v>40.802828354596642</v>
      </c>
      <c r="AA407" s="214">
        <f ca="1">+$Y407</f>
        <v>7.401410761154855</v>
      </c>
      <c r="AB407" s="214">
        <f ca="1">+$X407</f>
        <v>34.439632545931751</v>
      </c>
      <c r="AC407" s="214">
        <f ca="1">+$W407-XOffset</f>
        <v>40.802828354596642</v>
      </c>
    </row>
    <row r="408" spans="8:29" s="213" customFormat="1" ht="9" customHeight="1">
      <c r="H408" s="212"/>
      <c r="I408" s="212"/>
      <c r="S408" s="307"/>
      <c r="T408" s="226">
        <f t="shared" si="32"/>
        <v>405</v>
      </c>
      <c r="U408" s="224">
        <f t="shared" si="30"/>
        <v>1</v>
      </c>
      <c r="V408" s="225">
        <f t="shared" si="31"/>
        <v>1</v>
      </c>
      <c r="W408" s="238">
        <f ca="1">$U408*EWSpacingFt+XOffset+0</f>
        <v>30.000006832286932</v>
      </c>
      <c r="X408" s="242">
        <f ca="1">$V408*NSSpacingFt+YOffset+PanArrayLenFt*COS(RADIANS(Latitude+DecAng))</f>
        <v>34.439632545931751</v>
      </c>
      <c r="Y408" s="246">
        <f ca="1">+$V408*NSGradeFt+PedHeight+PanArrayLenFt*SIN(RADIANS(Latitude+DecAng))</f>
        <v>7.401410761154855</v>
      </c>
      <c r="Z408" s="214">
        <f ca="1">+$W408</f>
        <v>30.000006832286932</v>
      </c>
      <c r="AA408" s="214">
        <f ca="1">+$Y408</f>
        <v>7.401410761154855</v>
      </c>
      <c r="AB408" s="214">
        <f ca="1">+$X408</f>
        <v>34.439632545931751</v>
      </c>
      <c r="AC408" s="214">
        <f ca="1">+$W408-XOffset</f>
        <v>30.000006832286932</v>
      </c>
    </row>
    <row r="409" spans="8:29" s="213" customFormat="1" ht="9" customHeight="1">
      <c r="H409" s="212"/>
      <c r="I409" s="212"/>
      <c r="S409" s="307"/>
      <c r="T409" s="226">
        <f t="shared" si="32"/>
        <v>406</v>
      </c>
      <c r="U409" s="224">
        <f t="shared" si="30"/>
        <v>1</v>
      </c>
      <c r="V409" s="225">
        <f t="shared" si="31"/>
        <v>1</v>
      </c>
      <c r="W409" s="239">
        <f ca="1">$U409*EWSpacingFt+XOffset+(PanArrayWidthHighEndFt-PanArrayWidthLowEndFt)/2</f>
        <v>30.000006832286932</v>
      </c>
      <c r="X409" s="243">
        <f ca="1">$V409*NSSpacingFt+YOffset+0</f>
        <v>17.999999999999989</v>
      </c>
      <c r="Y409" s="247">
        <f ca="1">+$V409*NSGradeFt+PedHeight+0</f>
        <v>7.401410761154855</v>
      </c>
      <c r="Z409" s="214">
        <f ca="1">+$W409</f>
        <v>30.000006832286932</v>
      </c>
      <c r="AA409" s="214">
        <f ca="1">+$Y409</f>
        <v>7.401410761154855</v>
      </c>
      <c r="AB409" s="214">
        <f ca="1">+$X409</f>
        <v>17.999999999999989</v>
      </c>
      <c r="AC409" s="214">
        <f ca="1">+$W409-XOffset</f>
        <v>30.000006832286932</v>
      </c>
    </row>
    <row r="410" spans="8:29" s="213" customFormat="1" ht="9" customHeight="1">
      <c r="H410" s="212"/>
      <c r="I410" s="212"/>
      <c r="S410" s="307"/>
      <c r="T410" s="226">
        <f t="shared" si="32"/>
        <v>407</v>
      </c>
      <c r="U410" s="224">
        <f t="shared" si="30"/>
        <v>1</v>
      </c>
      <c r="V410" s="225">
        <f t="shared" si="31"/>
        <v>1</v>
      </c>
      <c r="W410" s="217"/>
      <c r="X410" s="217"/>
      <c r="Y410" s="217"/>
      <c r="Z410" s="214"/>
      <c r="AA410" s="214"/>
      <c r="AB410" s="214"/>
      <c r="AC410" s="214"/>
    </row>
    <row r="411" spans="8:29" s="213" customFormat="1" ht="9" customHeight="1">
      <c r="H411" s="212"/>
      <c r="I411" s="212"/>
      <c r="S411" s="307">
        <f>INT((T411-0)/6)+1</f>
        <v>69</v>
      </c>
      <c r="T411" s="226">
        <f t="shared" si="32"/>
        <v>408</v>
      </c>
      <c r="U411" s="224">
        <f t="shared" si="30"/>
        <v>0</v>
      </c>
      <c r="V411" s="225">
        <f t="shared" si="31"/>
        <v>2</v>
      </c>
      <c r="W411" s="233">
        <f ca="1">$U411*EWSpacingFt+XOffset+(PanArrayWidthHighEndFt-PanArrayWidthLowEndFt)/2</f>
        <v>0</v>
      </c>
      <c r="X411" s="234">
        <f ca="1">$V411*NSSpacingFt+YOffset+0</f>
        <v>35.999999999999979</v>
      </c>
      <c r="Y411" s="235">
        <f ca="1">+$V411*NSGradeFt+PedHeight+0</f>
        <v>7.401410761154855</v>
      </c>
      <c r="Z411" s="214">
        <f ca="1">+$W411</f>
        <v>0</v>
      </c>
      <c r="AA411" s="214">
        <f ca="1">+$Y411</f>
        <v>7.401410761154855</v>
      </c>
      <c r="AB411" s="214">
        <f ca="1">+$X411</f>
        <v>35.999999999999979</v>
      </c>
      <c r="AC411" s="214">
        <f ca="1">+$W411-XOffset</f>
        <v>0</v>
      </c>
    </row>
    <row r="412" spans="8:29" s="213" customFormat="1" ht="9" customHeight="1">
      <c r="H412" s="212"/>
      <c r="I412" s="212"/>
      <c r="S412" s="307"/>
      <c r="T412" s="226">
        <f t="shared" si="32"/>
        <v>409</v>
      </c>
      <c r="U412" s="224">
        <f t="shared" si="30"/>
        <v>0</v>
      </c>
      <c r="V412" s="225">
        <f t="shared" si="31"/>
        <v>2</v>
      </c>
      <c r="W412" s="236">
        <f ca="1">+$U412*EWSpacingFt+XOffset+PanArrayWidthHighEndFt-(PanArrayWidthHighEndFt-PanArrayWidthLowEndFt)/2</f>
        <v>10.80282152230971</v>
      </c>
      <c r="X412" s="240">
        <f ca="1">$V412*NSSpacingFt+YOffset+0</f>
        <v>35.999999999999979</v>
      </c>
      <c r="Y412" s="244">
        <f ca="1">+$V412*NSGradeFt+PedHeight+0</f>
        <v>7.401410761154855</v>
      </c>
      <c r="Z412" s="214">
        <f ca="1">+$W412</f>
        <v>10.80282152230971</v>
      </c>
      <c r="AA412" s="214">
        <f ca="1">+$Y412</f>
        <v>7.401410761154855</v>
      </c>
      <c r="AB412" s="214">
        <f ca="1">+$X412</f>
        <v>35.999999999999979</v>
      </c>
      <c r="AC412" s="214">
        <f ca="1">+$W412-XOffset</f>
        <v>10.80282152230971</v>
      </c>
    </row>
    <row r="413" spans="8:29" s="213" customFormat="1" ht="9" customHeight="1">
      <c r="H413" s="212"/>
      <c r="I413" s="212"/>
      <c r="S413" s="307"/>
      <c r="T413" s="226">
        <f t="shared" si="32"/>
        <v>410</v>
      </c>
      <c r="U413" s="224">
        <f t="shared" si="30"/>
        <v>0</v>
      </c>
      <c r="V413" s="225">
        <f t="shared" si="31"/>
        <v>2</v>
      </c>
      <c r="W413" s="237">
        <f ca="1">$U413*EWSpacingFt+XOffset+PanArrayWidthHighEndFt</f>
        <v>10.80282152230971</v>
      </c>
      <c r="X413" s="241">
        <f ca="1">$V413*NSSpacingFt+YOffset+PanArrayLenFt*COS(RADIANS(Latitude+DecAng))</f>
        <v>52.439632545931744</v>
      </c>
      <c r="Y413" s="245">
        <f ca="1">+$V413*NSGradeFt+PedHeight+PanArrayLenFt*SIN(RADIANS(Latitude+DecAng))</f>
        <v>7.401410761154855</v>
      </c>
      <c r="Z413" s="214">
        <f ca="1">+$W413</f>
        <v>10.80282152230971</v>
      </c>
      <c r="AA413" s="214">
        <f ca="1">+$Y413</f>
        <v>7.401410761154855</v>
      </c>
      <c r="AB413" s="214">
        <f ca="1">+$X413</f>
        <v>52.439632545931744</v>
      </c>
      <c r="AC413" s="214">
        <f ca="1">+$W413-XOffset</f>
        <v>10.80282152230971</v>
      </c>
    </row>
    <row r="414" spans="8:29" s="213" customFormat="1" ht="9" customHeight="1">
      <c r="H414" s="212"/>
      <c r="I414" s="212"/>
      <c r="S414" s="307"/>
      <c r="T414" s="226">
        <f t="shared" si="32"/>
        <v>411</v>
      </c>
      <c r="U414" s="224">
        <f t="shared" si="30"/>
        <v>0</v>
      </c>
      <c r="V414" s="225">
        <f t="shared" si="31"/>
        <v>2</v>
      </c>
      <c r="W414" s="238">
        <f ca="1">$U414*EWSpacingFt+XOffset+0</f>
        <v>0</v>
      </c>
      <c r="X414" s="242">
        <f ca="1">$V414*NSSpacingFt+YOffset+PanArrayLenFt*COS(RADIANS(Latitude+DecAng))</f>
        <v>52.439632545931744</v>
      </c>
      <c r="Y414" s="246">
        <f ca="1">+$V414*NSGradeFt+PedHeight+PanArrayLenFt*SIN(RADIANS(Latitude+DecAng))</f>
        <v>7.401410761154855</v>
      </c>
      <c r="Z414" s="214">
        <f ca="1">+$W414</f>
        <v>0</v>
      </c>
      <c r="AA414" s="214">
        <f ca="1">+$Y414</f>
        <v>7.401410761154855</v>
      </c>
      <c r="AB414" s="214">
        <f ca="1">+$X414</f>
        <v>52.439632545931744</v>
      </c>
      <c r="AC414" s="214">
        <f ca="1">+$W414-XOffset</f>
        <v>0</v>
      </c>
    </row>
    <row r="415" spans="8:29" s="213" customFormat="1" ht="9" customHeight="1">
      <c r="H415" s="212"/>
      <c r="I415" s="212"/>
      <c r="S415" s="307"/>
      <c r="T415" s="226">
        <f t="shared" si="32"/>
        <v>412</v>
      </c>
      <c r="U415" s="224">
        <f t="shared" si="30"/>
        <v>0</v>
      </c>
      <c r="V415" s="225">
        <f t="shared" si="31"/>
        <v>2</v>
      </c>
      <c r="W415" s="239">
        <f ca="1">$U415*EWSpacingFt+XOffset+(PanArrayWidthHighEndFt-PanArrayWidthLowEndFt)/2</f>
        <v>0</v>
      </c>
      <c r="X415" s="243">
        <f ca="1">$V415*NSSpacingFt+YOffset+0</f>
        <v>35.999999999999979</v>
      </c>
      <c r="Y415" s="247">
        <f ca="1">+$V415*NSGradeFt+PedHeight+0</f>
        <v>7.401410761154855</v>
      </c>
      <c r="Z415" s="214">
        <f ca="1">+$W415</f>
        <v>0</v>
      </c>
      <c r="AA415" s="214">
        <f ca="1">+$Y415</f>
        <v>7.401410761154855</v>
      </c>
      <c r="AB415" s="214">
        <f ca="1">+$X415</f>
        <v>35.999999999999979</v>
      </c>
      <c r="AC415" s="214">
        <f ca="1">+$W415-XOffset</f>
        <v>0</v>
      </c>
    </row>
    <row r="416" spans="8:29" s="213" customFormat="1" ht="9" customHeight="1">
      <c r="H416" s="212"/>
      <c r="I416" s="212"/>
      <c r="S416" s="307"/>
      <c r="T416" s="226">
        <f t="shared" si="32"/>
        <v>413</v>
      </c>
      <c r="U416" s="224">
        <f t="shared" si="30"/>
        <v>0</v>
      </c>
      <c r="V416" s="225">
        <f t="shared" si="31"/>
        <v>2</v>
      </c>
      <c r="W416" s="217"/>
      <c r="X416" s="217"/>
      <c r="Y416" s="217"/>
      <c r="Z416" s="214"/>
      <c r="AA416" s="214"/>
      <c r="AB416" s="214"/>
      <c r="AC416" s="214"/>
    </row>
    <row r="417" spans="8:29" s="213" customFormat="1" ht="9" customHeight="1">
      <c r="H417" s="212"/>
      <c r="I417" s="212"/>
      <c r="S417" s="307">
        <f>INT((T417-0)/6)+1</f>
        <v>70</v>
      </c>
      <c r="T417" s="226">
        <f t="shared" si="32"/>
        <v>414</v>
      </c>
      <c r="U417" s="224">
        <f t="shared" si="30"/>
        <v>1</v>
      </c>
      <c r="V417" s="225">
        <f t="shared" si="31"/>
        <v>2</v>
      </c>
      <c r="W417" s="233">
        <f ca="1">$U417*EWSpacingFt+XOffset+(PanArrayWidthHighEndFt-PanArrayWidthLowEndFt)/2</f>
        <v>30.000006832286932</v>
      </c>
      <c r="X417" s="234">
        <f ca="1">$V417*NSSpacingFt+YOffset+0</f>
        <v>35.999999999999979</v>
      </c>
      <c r="Y417" s="235">
        <f ca="1">+$V417*NSGradeFt+PedHeight+0</f>
        <v>7.401410761154855</v>
      </c>
      <c r="Z417" s="214">
        <f ca="1">+$W417</f>
        <v>30.000006832286932</v>
      </c>
      <c r="AA417" s="214">
        <f ca="1">+$Y417</f>
        <v>7.401410761154855</v>
      </c>
      <c r="AB417" s="214">
        <f ca="1">+$X417</f>
        <v>35.999999999999979</v>
      </c>
      <c r="AC417" s="214">
        <f ca="1">+$W417-XOffset</f>
        <v>30.000006832286932</v>
      </c>
    </row>
    <row r="418" spans="8:29" s="213" customFormat="1" ht="9" customHeight="1">
      <c r="H418" s="212"/>
      <c r="I418" s="212"/>
      <c r="S418" s="307"/>
      <c r="T418" s="226">
        <f t="shared" si="32"/>
        <v>415</v>
      </c>
      <c r="U418" s="224">
        <f t="shared" si="30"/>
        <v>1</v>
      </c>
      <c r="V418" s="225">
        <f t="shared" si="31"/>
        <v>2</v>
      </c>
      <c r="W418" s="236">
        <f ca="1">+$U418*EWSpacingFt+XOffset+PanArrayWidthHighEndFt-(PanArrayWidthHighEndFt-PanArrayWidthLowEndFt)/2</f>
        <v>40.802828354596642</v>
      </c>
      <c r="X418" s="240">
        <f ca="1">$V418*NSSpacingFt+YOffset+0</f>
        <v>35.999999999999979</v>
      </c>
      <c r="Y418" s="244">
        <f ca="1">+$V418*NSGradeFt+PedHeight+0</f>
        <v>7.401410761154855</v>
      </c>
      <c r="Z418" s="214">
        <f ca="1">+$W418</f>
        <v>40.802828354596642</v>
      </c>
      <c r="AA418" s="214">
        <f ca="1">+$Y418</f>
        <v>7.401410761154855</v>
      </c>
      <c r="AB418" s="214">
        <f ca="1">+$X418</f>
        <v>35.999999999999979</v>
      </c>
      <c r="AC418" s="214">
        <f ca="1">+$W418-XOffset</f>
        <v>40.802828354596642</v>
      </c>
    </row>
    <row r="419" spans="8:29" s="213" customFormat="1" ht="9" customHeight="1">
      <c r="H419" s="212"/>
      <c r="I419" s="212"/>
      <c r="S419" s="307"/>
      <c r="T419" s="226">
        <f t="shared" si="32"/>
        <v>416</v>
      </c>
      <c r="U419" s="224">
        <f t="shared" si="30"/>
        <v>1</v>
      </c>
      <c r="V419" s="225">
        <f t="shared" si="31"/>
        <v>2</v>
      </c>
      <c r="W419" s="237">
        <f ca="1">$U419*EWSpacingFt+XOffset+PanArrayWidthHighEndFt</f>
        <v>40.802828354596642</v>
      </c>
      <c r="X419" s="241">
        <f ca="1">$V419*NSSpacingFt+YOffset+PanArrayLenFt*COS(RADIANS(Latitude+DecAng))</f>
        <v>52.439632545931744</v>
      </c>
      <c r="Y419" s="245">
        <f ca="1">+$V419*NSGradeFt+PedHeight+PanArrayLenFt*SIN(RADIANS(Latitude+DecAng))</f>
        <v>7.401410761154855</v>
      </c>
      <c r="Z419" s="214">
        <f ca="1">+$W419</f>
        <v>40.802828354596642</v>
      </c>
      <c r="AA419" s="214">
        <f ca="1">+$Y419</f>
        <v>7.401410761154855</v>
      </c>
      <c r="AB419" s="214">
        <f ca="1">+$X419</f>
        <v>52.439632545931744</v>
      </c>
      <c r="AC419" s="214">
        <f ca="1">+$W419-XOffset</f>
        <v>40.802828354596642</v>
      </c>
    </row>
    <row r="420" spans="8:29" s="213" customFormat="1" ht="9" customHeight="1">
      <c r="H420" s="212"/>
      <c r="I420" s="212"/>
      <c r="S420" s="307"/>
      <c r="T420" s="226">
        <f t="shared" si="32"/>
        <v>417</v>
      </c>
      <c r="U420" s="224">
        <f t="shared" si="30"/>
        <v>1</v>
      </c>
      <c r="V420" s="225">
        <f t="shared" si="31"/>
        <v>2</v>
      </c>
      <c r="W420" s="238">
        <f ca="1">$U420*EWSpacingFt+XOffset+0</f>
        <v>30.000006832286932</v>
      </c>
      <c r="X420" s="242">
        <f ca="1">$V420*NSSpacingFt+YOffset+PanArrayLenFt*COS(RADIANS(Latitude+DecAng))</f>
        <v>52.439632545931744</v>
      </c>
      <c r="Y420" s="246">
        <f ca="1">+$V420*NSGradeFt+PedHeight+PanArrayLenFt*SIN(RADIANS(Latitude+DecAng))</f>
        <v>7.401410761154855</v>
      </c>
      <c r="Z420" s="214">
        <f ca="1">+$W420</f>
        <v>30.000006832286932</v>
      </c>
      <c r="AA420" s="214">
        <f ca="1">+$Y420</f>
        <v>7.401410761154855</v>
      </c>
      <c r="AB420" s="214">
        <f ca="1">+$X420</f>
        <v>52.439632545931744</v>
      </c>
      <c r="AC420" s="214">
        <f ca="1">+$W420-XOffset</f>
        <v>30.000006832286932</v>
      </c>
    </row>
    <row r="421" spans="8:29" s="213" customFormat="1" ht="9" customHeight="1">
      <c r="H421" s="212"/>
      <c r="I421" s="212"/>
      <c r="S421" s="307"/>
      <c r="T421" s="226">
        <f t="shared" si="32"/>
        <v>418</v>
      </c>
      <c r="U421" s="224">
        <f t="shared" si="30"/>
        <v>1</v>
      </c>
      <c r="V421" s="225">
        <f t="shared" si="31"/>
        <v>2</v>
      </c>
      <c r="W421" s="239">
        <f ca="1">$U421*EWSpacingFt+XOffset+(PanArrayWidthHighEndFt-PanArrayWidthLowEndFt)/2</f>
        <v>30.000006832286932</v>
      </c>
      <c r="X421" s="243">
        <f ca="1">$V421*NSSpacingFt+YOffset+0</f>
        <v>35.999999999999979</v>
      </c>
      <c r="Y421" s="247">
        <f ca="1">+$V421*NSGradeFt+PedHeight+0</f>
        <v>7.401410761154855</v>
      </c>
      <c r="Z421" s="214">
        <f ca="1">+$W421</f>
        <v>30.000006832286932</v>
      </c>
      <c r="AA421" s="214">
        <f ca="1">+$Y421</f>
        <v>7.401410761154855</v>
      </c>
      <c r="AB421" s="214">
        <f ca="1">+$X421</f>
        <v>35.999999999999979</v>
      </c>
      <c r="AC421" s="214">
        <f ca="1">+$W421-XOffset</f>
        <v>30.000006832286932</v>
      </c>
    </row>
    <row r="422" spans="8:29" s="213" customFormat="1" ht="9" customHeight="1">
      <c r="H422" s="212"/>
      <c r="I422" s="212"/>
      <c r="S422" s="307"/>
      <c r="T422" s="226">
        <f t="shared" si="32"/>
        <v>419</v>
      </c>
      <c r="U422" s="224">
        <f t="shared" si="30"/>
        <v>1</v>
      </c>
      <c r="V422" s="225">
        <f t="shared" si="31"/>
        <v>2</v>
      </c>
      <c r="W422" s="217"/>
      <c r="X422" s="217"/>
      <c r="Y422" s="217"/>
      <c r="Z422" s="214"/>
      <c r="AA422" s="214"/>
      <c r="AB422" s="214"/>
      <c r="AC422" s="214"/>
    </row>
    <row r="423" spans="8:29" s="213" customFormat="1" ht="9" customHeight="1">
      <c r="H423" s="212"/>
      <c r="I423" s="212"/>
      <c r="S423" s="307">
        <f>INT((T423-0)/6)+1</f>
        <v>71</v>
      </c>
      <c r="T423" s="226">
        <f t="shared" si="32"/>
        <v>420</v>
      </c>
      <c r="U423" s="224">
        <f t="shared" si="30"/>
        <v>0</v>
      </c>
      <c r="V423" s="225">
        <f t="shared" si="31"/>
        <v>3</v>
      </c>
      <c r="W423" s="233">
        <f ca="1">$U423*EWSpacingFt+XOffset+(PanArrayWidthHighEndFt-PanArrayWidthLowEndFt)/2</f>
        <v>0</v>
      </c>
      <c r="X423" s="234">
        <f ca="1">$V423*NSSpacingFt+YOffset+0</f>
        <v>53.999999999999972</v>
      </c>
      <c r="Y423" s="235">
        <f ca="1">+$V423*NSGradeFt+PedHeight+0</f>
        <v>7.401410761154855</v>
      </c>
      <c r="Z423" s="214">
        <f ca="1">+$W423</f>
        <v>0</v>
      </c>
      <c r="AA423" s="214">
        <f ca="1">+$Y423</f>
        <v>7.401410761154855</v>
      </c>
      <c r="AB423" s="214">
        <f ca="1">+$X423</f>
        <v>53.999999999999972</v>
      </c>
      <c r="AC423" s="214">
        <f ca="1">+$W423-XOffset</f>
        <v>0</v>
      </c>
    </row>
    <row r="424" spans="8:29" s="213" customFormat="1" ht="9" customHeight="1">
      <c r="H424" s="212"/>
      <c r="I424" s="212"/>
      <c r="S424" s="307"/>
      <c r="T424" s="226">
        <f t="shared" si="32"/>
        <v>421</v>
      </c>
      <c r="U424" s="224">
        <f t="shared" si="30"/>
        <v>0</v>
      </c>
      <c r="V424" s="225">
        <f t="shared" si="31"/>
        <v>3</v>
      </c>
      <c r="W424" s="236">
        <f ca="1">+$U424*EWSpacingFt+XOffset+PanArrayWidthHighEndFt-(PanArrayWidthHighEndFt-PanArrayWidthLowEndFt)/2</f>
        <v>10.80282152230971</v>
      </c>
      <c r="X424" s="240">
        <f ca="1">$V424*NSSpacingFt+YOffset+0</f>
        <v>53.999999999999972</v>
      </c>
      <c r="Y424" s="244">
        <f ca="1">+$V424*NSGradeFt+PedHeight+0</f>
        <v>7.401410761154855</v>
      </c>
      <c r="Z424" s="214">
        <f ca="1">+$W424</f>
        <v>10.80282152230971</v>
      </c>
      <c r="AA424" s="214">
        <f ca="1">+$Y424</f>
        <v>7.401410761154855</v>
      </c>
      <c r="AB424" s="214">
        <f ca="1">+$X424</f>
        <v>53.999999999999972</v>
      </c>
      <c r="AC424" s="214">
        <f ca="1">+$W424-XOffset</f>
        <v>10.80282152230971</v>
      </c>
    </row>
    <row r="425" spans="8:29" s="213" customFormat="1" ht="9" customHeight="1">
      <c r="H425" s="212"/>
      <c r="I425" s="212"/>
      <c r="S425" s="307"/>
      <c r="T425" s="226">
        <f t="shared" si="32"/>
        <v>422</v>
      </c>
      <c r="U425" s="224">
        <f t="shared" si="30"/>
        <v>0</v>
      </c>
      <c r="V425" s="225">
        <f t="shared" si="31"/>
        <v>3</v>
      </c>
      <c r="W425" s="237">
        <f ca="1">$U425*EWSpacingFt+XOffset+PanArrayWidthHighEndFt</f>
        <v>10.80282152230971</v>
      </c>
      <c r="X425" s="241">
        <f ca="1">$V425*NSSpacingFt+YOffset+PanArrayLenFt*COS(RADIANS(Latitude+DecAng))</f>
        <v>70.43963254593173</v>
      </c>
      <c r="Y425" s="245">
        <f ca="1">+$V425*NSGradeFt+PedHeight+PanArrayLenFt*SIN(RADIANS(Latitude+DecAng))</f>
        <v>7.401410761154855</v>
      </c>
      <c r="Z425" s="214">
        <f ca="1">+$W425</f>
        <v>10.80282152230971</v>
      </c>
      <c r="AA425" s="214">
        <f ca="1">+$Y425</f>
        <v>7.401410761154855</v>
      </c>
      <c r="AB425" s="214">
        <f ca="1">+$X425</f>
        <v>70.43963254593173</v>
      </c>
      <c r="AC425" s="214">
        <f ca="1">+$W425-XOffset</f>
        <v>10.80282152230971</v>
      </c>
    </row>
    <row r="426" spans="8:29" s="213" customFormat="1" ht="9" customHeight="1">
      <c r="H426" s="212"/>
      <c r="I426" s="212"/>
      <c r="S426" s="307"/>
      <c r="T426" s="226">
        <f t="shared" si="32"/>
        <v>423</v>
      </c>
      <c r="U426" s="224">
        <f t="shared" si="30"/>
        <v>0</v>
      </c>
      <c r="V426" s="225">
        <f t="shared" si="31"/>
        <v>3</v>
      </c>
      <c r="W426" s="238">
        <f ca="1">$U426*EWSpacingFt+XOffset+0</f>
        <v>0</v>
      </c>
      <c r="X426" s="242">
        <f ca="1">$V426*NSSpacingFt+YOffset+PanArrayLenFt*COS(RADIANS(Latitude+DecAng))</f>
        <v>70.43963254593173</v>
      </c>
      <c r="Y426" s="246">
        <f ca="1">+$V426*NSGradeFt+PedHeight+PanArrayLenFt*SIN(RADIANS(Latitude+DecAng))</f>
        <v>7.401410761154855</v>
      </c>
      <c r="Z426" s="214">
        <f ca="1">+$W426</f>
        <v>0</v>
      </c>
      <c r="AA426" s="214">
        <f ca="1">+$Y426</f>
        <v>7.401410761154855</v>
      </c>
      <c r="AB426" s="214">
        <f ca="1">+$X426</f>
        <v>70.43963254593173</v>
      </c>
      <c r="AC426" s="214">
        <f ca="1">+$W426-XOffset</f>
        <v>0</v>
      </c>
    </row>
    <row r="427" spans="8:29" s="213" customFormat="1" ht="9" customHeight="1">
      <c r="H427" s="212"/>
      <c r="I427" s="212"/>
      <c r="S427" s="307"/>
      <c r="T427" s="226">
        <f t="shared" si="32"/>
        <v>424</v>
      </c>
      <c r="U427" s="224">
        <f t="shared" si="30"/>
        <v>0</v>
      </c>
      <c r="V427" s="225">
        <f t="shared" si="31"/>
        <v>3</v>
      </c>
      <c r="W427" s="239">
        <f ca="1">$U427*EWSpacingFt+XOffset+(PanArrayWidthHighEndFt-PanArrayWidthLowEndFt)/2</f>
        <v>0</v>
      </c>
      <c r="X427" s="243">
        <f ca="1">$V427*NSSpacingFt+YOffset+0</f>
        <v>53.999999999999972</v>
      </c>
      <c r="Y427" s="247">
        <f ca="1">+$V427*NSGradeFt+PedHeight+0</f>
        <v>7.401410761154855</v>
      </c>
      <c r="Z427" s="214">
        <f ca="1">+$W427</f>
        <v>0</v>
      </c>
      <c r="AA427" s="214">
        <f ca="1">+$Y427</f>
        <v>7.401410761154855</v>
      </c>
      <c r="AB427" s="214">
        <f ca="1">+$X427</f>
        <v>53.999999999999972</v>
      </c>
      <c r="AC427" s="214">
        <f ca="1">+$W427-XOffset</f>
        <v>0</v>
      </c>
    </row>
    <row r="428" spans="8:29" s="213" customFormat="1" ht="9" customHeight="1">
      <c r="H428" s="212"/>
      <c r="I428" s="212"/>
      <c r="S428" s="307"/>
      <c r="T428" s="226">
        <f t="shared" si="32"/>
        <v>425</v>
      </c>
      <c r="U428" s="224">
        <f t="shared" si="30"/>
        <v>0</v>
      </c>
      <c r="V428" s="225">
        <f t="shared" si="31"/>
        <v>3</v>
      </c>
      <c r="W428" s="217"/>
      <c r="X428" s="217"/>
      <c r="Y428" s="217"/>
      <c r="Z428" s="214"/>
      <c r="AA428" s="214"/>
      <c r="AB428" s="214"/>
      <c r="AC428" s="214"/>
    </row>
    <row r="429" spans="8:29" s="213" customFormat="1" ht="9" customHeight="1">
      <c r="H429" s="212"/>
      <c r="I429" s="212"/>
      <c r="S429" s="307">
        <f>INT((T429-0)/6)+1</f>
        <v>72</v>
      </c>
      <c r="T429" s="226">
        <f t="shared" si="32"/>
        <v>426</v>
      </c>
      <c r="U429" s="224">
        <f t="shared" si="30"/>
        <v>1</v>
      </c>
      <c r="V429" s="225">
        <f t="shared" si="31"/>
        <v>3</v>
      </c>
      <c r="W429" s="233">
        <f ca="1">$U429*EWSpacingFt+XOffset+(PanArrayWidthHighEndFt-PanArrayWidthLowEndFt)/2</f>
        <v>30.000006832286932</v>
      </c>
      <c r="X429" s="234">
        <f ca="1">$V429*NSSpacingFt+YOffset+0</f>
        <v>53.999999999999972</v>
      </c>
      <c r="Y429" s="235">
        <f ca="1">+$V429*NSGradeFt+PedHeight+0</f>
        <v>7.401410761154855</v>
      </c>
      <c r="Z429" s="214">
        <f ca="1">+$W429</f>
        <v>30.000006832286932</v>
      </c>
      <c r="AA429" s="214">
        <f ca="1">+$Y429</f>
        <v>7.401410761154855</v>
      </c>
      <c r="AB429" s="214">
        <f ca="1">+$X429</f>
        <v>53.999999999999972</v>
      </c>
      <c r="AC429" s="214">
        <f ca="1">+$W429-XOffset</f>
        <v>30.000006832286932</v>
      </c>
    </row>
    <row r="430" spans="8:29" s="213" customFormat="1" ht="9" customHeight="1">
      <c r="H430" s="212"/>
      <c r="I430" s="212"/>
      <c r="S430" s="307"/>
      <c r="T430" s="226">
        <f t="shared" si="32"/>
        <v>427</v>
      </c>
      <c r="U430" s="224">
        <f t="shared" si="30"/>
        <v>1</v>
      </c>
      <c r="V430" s="225">
        <f t="shared" si="31"/>
        <v>3</v>
      </c>
      <c r="W430" s="236">
        <f ca="1">+$U430*EWSpacingFt+XOffset+PanArrayWidthHighEndFt-(PanArrayWidthHighEndFt-PanArrayWidthLowEndFt)/2</f>
        <v>40.802828354596642</v>
      </c>
      <c r="X430" s="240">
        <f ca="1">$V430*NSSpacingFt+YOffset+0</f>
        <v>53.999999999999972</v>
      </c>
      <c r="Y430" s="244">
        <f ca="1">+$V430*NSGradeFt+PedHeight+0</f>
        <v>7.401410761154855</v>
      </c>
      <c r="Z430" s="214">
        <f ca="1">+$W430</f>
        <v>40.802828354596642</v>
      </c>
      <c r="AA430" s="214">
        <f ca="1">+$Y430</f>
        <v>7.401410761154855</v>
      </c>
      <c r="AB430" s="214">
        <f ca="1">+$X430</f>
        <v>53.999999999999972</v>
      </c>
      <c r="AC430" s="214">
        <f ca="1">+$W430-XOffset</f>
        <v>40.802828354596642</v>
      </c>
    </row>
    <row r="431" spans="8:29" s="213" customFormat="1" ht="9" customHeight="1">
      <c r="H431" s="212"/>
      <c r="I431" s="212"/>
      <c r="S431" s="307"/>
      <c r="T431" s="226">
        <f t="shared" si="32"/>
        <v>428</v>
      </c>
      <c r="U431" s="224">
        <f t="shared" si="30"/>
        <v>1</v>
      </c>
      <c r="V431" s="225">
        <f t="shared" si="31"/>
        <v>3</v>
      </c>
      <c r="W431" s="237">
        <f ca="1">$U431*EWSpacingFt+XOffset+PanArrayWidthHighEndFt</f>
        <v>40.802828354596642</v>
      </c>
      <c r="X431" s="241">
        <f ca="1">$V431*NSSpacingFt+YOffset+PanArrayLenFt*COS(RADIANS(Latitude+DecAng))</f>
        <v>70.43963254593173</v>
      </c>
      <c r="Y431" s="245">
        <f ca="1">+$V431*NSGradeFt+PedHeight+PanArrayLenFt*SIN(RADIANS(Latitude+DecAng))</f>
        <v>7.401410761154855</v>
      </c>
      <c r="Z431" s="214">
        <f ca="1">+$W431</f>
        <v>40.802828354596642</v>
      </c>
      <c r="AA431" s="214">
        <f ca="1">+$Y431</f>
        <v>7.401410761154855</v>
      </c>
      <c r="AB431" s="214">
        <f ca="1">+$X431</f>
        <v>70.43963254593173</v>
      </c>
      <c r="AC431" s="214">
        <f ca="1">+$W431-XOffset</f>
        <v>40.802828354596642</v>
      </c>
    </row>
    <row r="432" spans="8:29" s="213" customFormat="1" ht="9" customHeight="1">
      <c r="H432" s="212"/>
      <c r="I432" s="212"/>
      <c r="S432" s="307"/>
      <c r="T432" s="226">
        <f t="shared" si="32"/>
        <v>429</v>
      </c>
      <c r="U432" s="224">
        <f t="shared" si="30"/>
        <v>1</v>
      </c>
      <c r="V432" s="225">
        <f t="shared" si="31"/>
        <v>3</v>
      </c>
      <c r="W432" s="238">
        <f ca="1">$U432*EWSpacingFt+XOffset+0</f>
        <v>30.000006832286932</v>
      </c>
      <c r="X432" s="242">
        <f ca="1">$V432*NSSpacingFt+YOffset+PanArrayLenFt*COS(RADIANS(Latitude+DecAng))</f>
        <v>70.43963254593173</v>
      </c>
      <c r="Y432" s="246">
        <f ca="1">+$V432*NSGradeFt+PedHeight+PanArrayLenFt*SIN(RADIANS(Latitude+DecAng))</f>
        <v>7.401410761154855</v>
      </c>
      <c r="Z432" s="214">
        <f ca="1">+$W432</f>
        <v>30.000006832286932</v>
      </c>
      <c r="AA432" s="214">
        <f ca="1">+$Y432</f>
        <v>7.401410761154855</v>
      </c>
      <c r="AB432" s="214">
        <f ca="1">+$X432</f>
        <v>70.43963254593173</v>
      </c>
      <c r="AC432" s="214">
        <f ca="1">+$W432-XOffset</f>
        <v>30.000006832286932</v>
      </c>
    </row>
    <row r="433" spans="8:29" s="213" customFormat="1" ht="9" customHeight="1">
      <c r="H433" s="212"/>
      <c r="I433" s="212"/>
      <c r="S433" s="307"/>
      <c r="T433" s="226">
        <f t="shared" si="32"/>
        <v>430</v>
      </c>
      <c r="U433" s="224">
        <f t="shared" si="30"/>
        <v>1</v>
      </c>
      <c r="V433" s="225">
        <f t="shared" si="31"/>
        <v>3</v>
      </c>
      <c r="W433" s="239">
        <f ca="1">$U433*EWSpacingFt+XOffset+(PanArrayWidthHighEndFt-PanArrayWidthLowEndFt)/2</f>
        <v>30.000006832286932</v>
      </c>
      <c r="X433" s="243">
        <f ca="1">$V433*NSSpacingFt+YOffset+0</f>
        <v>53.999999999999972</v>
      </c>
      <c r="Y433" s="247">
        <f ca="1">+$V433*NSGradeFt+PedHeight+0</f>
        <v>7.401410761154855</v>
      </c>
      <c r="Z433" s="214">
        <f ca="1">+$W433</f>
        <v>30.000006832286932</v>
      </c>
      <c r="AA433" s="214">
        <f ca="1">+$Y433</f>
        <v>7.401410761154855</v>
      </c>
      <c r="AB433" s="214">
        <f ca="1">+$X433</f>
        <v>53.999999999999972</v>
      </c>
      <c r="AC433" s="214">
        <f ca="1">+$W433-XOffset</f>
        <v>30.000006832286932</v>
      </c>
    </row>
    <row r="434" spans="8:29" s="213" customFormat="1" ht="9" customHeight="1">
      <c r="H434" s="212"/>
      <c r="I434" s="212"/>
      <c r="S434" s="307"/>
      <c r="T434" s="226">
        <f t="shared" si="32"/>
        <v>431</v>
      </c>
      <c r="U434" s="224">
        <f t="shared" si="30"/>
        <v>1</v>
      </c>
      <c r="V434" s="225">
        <f t="shared" si="31"/>
        <v>3</v>
      </c>
      <c r="W434" s="217"/>
      <c r="X434" s="217"/>
      <c r="Y434" s="217"/>
      <c r="Z434" s="214"/>
      <c r="AA434" s="214"/>
      <c r="AB434" s="214"/>
      <c r="AC434" s="214"/>
    </row>
    <row r="435" spans="8:29" s="213" customFormat="1" ht="9" customHeight="1">
      <c r="H435" s="212"/>
      <c r="I435" s="212"/>
      <c r="S435" s="307">
        <f>INT((T435-0)/6)+1</f>
        <v>73</v>
      </c>
      <c r="T435" s="226">
        <f t="shared" si="32"/>
        <v>432</v>
      </c>
      <c r="U435" s="224">
        <f t="shared" si="30"/>
        <v>0</v>
      </c>
      <c r="V435" s="225">
        <f t="shared" si="31"/>
        <v>0</v>
      </c>
      <c r="W435" s="233">
        <f ca="1">$U435*EWSpacingFt+XOffset+(PanArrayWidthHighEndFt-PanArrayWidthLowEndFt)/2</f>
        <v>0</v>
      </c>
      <c r="X435" s="234">
        <f ca="1">$V435*NSSpacingFt+YOffset+0</f>
        <v>0</v>
      </c>
      <c r="Y435" s="235">
        <f ca="1">+$V435*NSGradeFt+PedHeight+0</f>
        <v>7.401410761154855</v>
      </c>
      <c r="Z435" s="214">
        <f ca="1">+$W435</f>
        <v>0</v>
      </c>
      <c r="AA435" s="214">
        <f ca="1">+$Y435</f>
        <v>7.401410761154855</v>
      </c>
      <c r="AB435" s="214">
        <f ca="1">+$X435</f>
        <v>0</v>
      </c>
      <c r="AC435" s="214">
        <f ca="1">+$W435-XOffset</f>
        <v>0</v>
      </c>
    </row>
    <row r="436" spans="8:29" s="213" customFormat="1" ht="9" customHeight="1">
      <c r="H436" s="212"/>
      <c r="I436" s="212"/>
      <c r="S436" s="307"/>
      <c r="T436" s="226">
        <f t="shared" si="32"/>
        <v>433</v>
      </c>
      <c r="U436" s="224">
        <f t="shared" si="30"/>
        <v>0</v>
      </c>
      <c r="V436" s="225">
        <f t="shared" si="31"/>
        <v>0</v>
      </c>
      <c r="W436" s="236">
        <f ca="1">+$U436*EWSpacingFt+XOffset+PanArrayWidthHighEndFt-(PanArrayWidthHighEndFt-PanArrayWidthLowEndFt)/2</f>
        <v>10.80282152230971</v>
      </c>
      <c r="X436" s="240">
        <f ca="1">$V436*NSSpacingFt+YOffset+0</f>
        <v>0</v>
      </c>
      <c r="Y436" s="244">
        <f ca="1">+$V436*NSGradeFt+PedHeight+0</f>
        <v>7.401410761154855</v>
      </c>
      <c r="Z436" s="214">
        <f ca="1">+$W436</f>
        <v>10.80282152230971</v>
      </c>
      <c r="AA436" s="214">
        <f ca="1">+$Y436</f>
        <v>7.401410761154855</v>
      </c>
      <c r="AB436" s="214">
        <f ca="1">+$X436</f>
        <v>0</v>
      </c>
      <c r="AC436" s="214">
        <f ca="1">+$W436-XOffset</f>
        <v>10.80282152230971</v>
      </c>
    </row>
    <row r="437" spans="8:29" s="213" customFormat="1" ht="9" customHeight="1">
      <c r="H437" s="212"/>
      <c r="I437" s="212"/>
      <c r="S437" s="307"/>
      <c r="T437" s="226">
        <f t="shared" si="32"/>
        <v>434</v>
      </c>
      <c r="U437" s="224">
        <f t="shared" si="30"/>
        <v>0</v>
      </c>
      <c r="V437" s="225">
        <f t="shared" si="31"/>
        <v>0</v>
      </c>
      <c r="W437" s="237">
        <f ca="1">$U437*EWSpacingFt+XOffset+PanArrayWidthHighEndFt</f>
        <v>10.80282152230971</v>
      </c>
      <c r="X437" s="241">
        <f ca="1">$V437*NSSpacingFt+YOffset+PanArrayLenFt*COS(RADIANS(Latitude+DecAng))</f>
        <v>16.439632545931762</v>
      </c>
      <c r="Y437" s="245">
        <f ca="1">+$V437*NSGradeFt+PedHeight+PanArrayLenFt*SIN(RADIANS(Latitude+DecAng))</f>
        <v>7.401410761154855</v>
      </c>
      <c r="Z437" s="214">
        <f ca="1">+$W437</f>
        <v>10.80282152230971</v>
      </c>
      <c r="AA437" s="214">
        <f ca="1">+$Y437</f>
        <v>7.401410761154855</v>
      </c>
      <c r="AB437" s="214">
        <f ca="1">+$X437</f>
        <v>16.439632545931762</v>
      </c>
      <c r="AC437" s="214">
        <f ca="1">+$W437-XOffset</f>
        <v>10.80282152230971</v>
      </c>
    </row>
    <row r="438" spans="8:29" s="213" customFormat="1" ht="9" customHeight="1">
      <c r="H438" s="212"/>
      <c r="I438" s="212"/>
      <c r="S438" s="307"/>
      <c r="T438" s="226">
        <f t="shared" si="32"/>
        <v>435</v>
      </c>
      <c r="U438" s="224">
        <f t="shared" si="30"/>
        <v>0</v>
      </c>
      <c r="V438" s="225">
        <f t="shared" si="31"/>
        <v>0</v>
      </c>
      <c r="W438" s="238">
        <f ca="1">$U438*EWSpacingFt+XOffset+0</f>
        <v>0</v>
      </c>
      <c r="X438" s="242">
        <f ca="1">$V438*NSSpacingFt+YOffset+PanArrayLenFt*COS(RADIANS(Latitude+DecAng))</f>
        <v>16.439632545931762</v>
      </c>
      <c r="Y438" s="246">
        <f ca="1">+$V438*NSGradeFt+PedHeight+PanArrayLenFt*SIN(RADIANS(Latitude+DecAng))</f>
        <v>7.401410761154855</v>
      </c>
      <c r="Z438" s="214">
        <f ca="1">+$W438</f>
        <v>0</v>
      </c>
      <c r="AA438" s="214">
        <f ca="1">+$Y438</f>
        <v>7.401410761154855</v>
      </c>
      <c r="AB438" s="214">
        <f ca="1">+$X438</f>
        <v>16.439632545931762</v>
      </c>
      <c r="AC438" s="214">
        <f ca="1">+$W438-XOffset</f>
        <v>0</v>
      </c>
    </row>
    <row r="439" spans="8:29" s="213" customFormat="1" ht="9" customHeight="1">
      <c r="H439" s="212"/>
      <c r="I439" s="212"/>
      <c r="S439" s="307"/>
      <c r="T439" s="226">
        <f t="shared" si="32"/>
        <v>436</v>
      </c>
      <c r="U439" s="224">
        <f t="shared" si="30"/>
        <v>0</v>
      </c>
      <c r="V439" s="225">
        <f t="shared" si="31"/>
        <v>0</v>
      </c>
      <c r="W439" s="239">
        <f ca="1">$U439*EWSpacingFt+XOffset+(PanArrayWidthHighEndFt-PanArrayWidthLowEndFt)/2</f>
        <v>0</v>
      </c>
      <c r="X439" s="243">
        <f ca="1">$V439*NSSpacingFt+YOffset+0</f>
        <v>0</v>
      </c>
      <c r="Y439" s="247">
        <f ca="1">+$V439*NSGradeFt+PedHeight+0</f>
        <v>7.401410761154855</v>
      </c>
      <c r="Z439" s="214">
        <f ca="1">+$W439</f>
        <v>0</v>
      </c>
      <c r="AA439" s="214">
        <f ca="1">+$Y439</f>
        <v>7.401410761154855</v>
      </c>
      <c r="AB439" s="214">
        <f ca="1">+$X439</f>
        <v>0</v>
      </c>
      <c r="AC439" s="214">
        <f ca="1">+$W439-XOffset</f>
        <v>0</v>
      </c>
    </row>
    <row r="440" spans="8:29" s="213" customFormat="1" ht="9" customHeight="1">
      <c r="H440" s="212"/>
      <c r="I440" s="212"/>
      <c r="S440" s="307"/>
      <c r="T440" s="226">
        <f t="shared" si="32"/>
        <v>437</v>
      </c>
      <c r="U440" s="224">
        <f t="shared" si="30"/>
        <v>0</v>
      </c>
      <c r="V440" s="225">
        <f t="shared" si="31"/>
        <v>0</v>
      </c>
      <c r="W440" s="217"/>
      <c r="X440" s="217"/>
      <c r="Y440" s="217"/>
      <c r="Z440" s="214"/>
      <c r="AA440" s="214"/>
      <c r="AB440" s="214"/>
      <c r="AC440" s="214"/>
    </row>
    <row r="441" spans="8:29" s="213" customFormat="1" ht="9" customHeight="1">
      <c r="H441" s="212"/>
      <c r="I441" s="212"/>
      <c r="S441" s="307">
        <f>INT((T441-0)/6)+1</f>
        <v>74</v>
      </c>
      <c r="T441" s="226">
        <f t="shared" si="32"/>
        <v>438</v>
      </c>
      <c r="U441" s="224">
        <f t="shared" si="30"/>
        <v>1</v>
      </c>
      <c r="V441" s="225">
        <f t="shared" si="31"/>
        <v>0</v>
      </c>
      <c r="W441" s="233">
        <f ca="1">$U441*EWSpacingFt+XOffset+(PanArrayWidthHighEndFt-PanArrayWidthLowEndFt)/2</f>
        <v>30.000006832286932</v>
      </c>
      <c r="X441" s="234">
        <f ca="1">$V441*NSSpacingFt+YOffset+0</f>
        <v>0</v>
      </c>
      <c r="Y441" s="235">
        <f ca="1">+$V441*NSGradeFt+PedHeight+0</f>
        <v>7.401410761154855</v>
      </c>
      <c r="Z441" s="214">
        <f ca="1">+$W441</f>
        <v>30.000006832286932</v>
      </c>
      <c r="AA441" s="214">
        <f ca="1">+$Y441</f>
        <v>7.401410761154855</v>
      </c>
      <c r="AB441" s="214">
        <f ca="1">+$X441</f>
        <v>0</v>
      </c>
      <c r="AC441" s="214">
        <f ca="1">+$W441-XOffset</f>
        <v>30.000006832286932</v>
      </c>
    </row>
    <row r="442" spans="8:29" s="213" customFormat="1" ht="9" customHeight="1">
      <c r="H442" s="212"/>
      <c r="I442" s="212"/>
      <c r="S442" s="307"/>
      <c r="T442" s="226">
        <f t="shared" si="32"/>
        <v>439</v>
      </c>
      <c r="U442" s="224">
        <f t="shared" si="30"/>
        <v>1</v>
      </c>
      <c r="V442" s="225">
        <f t="shared" si="31"/>
        <v>0</v>
      </c>
      <c r="W442" s="236">
        <f ca="1">+$U442*EWSpacingFt+XOffset+PanArrayWidthHighEndFt-(PanArrayWidthHighEndFt-PanArrayWidthLowEndFt)/2</f>
        <v>40.802828354596642</v>
      </c>
      <c r="X442" s="240">
        <f ca="1">$V442*NSSpacingFt+YOffset+0</f>
        <v>0</v>
      </c>
      <c r="Y442" s="244">
        <f ca="1">+$V442*NSGradeFt+PedHeight+0</f>
        <v>7.401410761154855</v>
      </c>
      <c r="Z442" s="214">
        <f ca="1">+$W442</f>
        <v>40.802828354596642</v>
      </c>
      <c r="AA442" s="214">
        <f ca="1">+$Y442</f>
        <v>7.401410761154855</v>
      </c>
      <c r="AB442" s="214">
        <f ca="1">+$X442</f>
        <v>0</v>
      </c>
      <c r="AC442" s="214">
        <f ca="1">+$W442-XOffset</f>
        <v>40.802828354596642</v>
      </c>
    </row>
    <row r="443" spans="8:29" s="213" customFormat="1" ht="9" customHeight="1">
      <c r="H443" s="212"/>
      <c r="I443" s="212"/>
      <c r="S443" s="307"/>
      <c r="T443" s="226">
        <f t="shared" si="32"/>
        <v>440</v>
      </c>
      <c r="U443" s="224">
        <f t="shared" si="30"/>
        <v>1</v>
      </c>
      <c r="V443" s="225">
        <f t="shared" si="31"/>
        <v>0</v>
      </c>
      <c r="W443" s="237">
        <f ca="1">$U443*EWSpacingFt+XOffset+PanArrayWidthHighEndFt</f>
        <v>40.802828354596642</v>
      </c>
      <c r="X443" s="241">
        <f ca="1">$V443*NSSpacingFt+YOffset+PanArrayLenFt*COS(RADIANS(Latitude+DecAng))</f>
        <v>16.439632545931762</v>
      </c>
      <c r="Y443" s="245">
        <f ca="1">+$V443*NSGradeFt+PedHeight+PanArrayLenFt*SIN(RADIANS(Latitude+DecAng))</f>
        <v>7.401410761154855</v>
      </c>
      <c r="Z443" s="214">
        <f ca="1">+$W443</f>
        <v>40.802828354596642</v>
      </c>
      <c r="AA443" s="214">
        <f ca="1">+$Y443</f>
        <v>7.401410761154855</v>
      </c>
      <c r="AB443" s="214">
        <f ca="1">+$X443</f>
        <v>16.439632545931762</v>
      </c>
      <c r="AC443" s="214">
        <f ca="1">+$W443-XOffset</f>
        <v>40.802828354596642</v>
      </c>
    </row>
    <row r="444" spans="8:29" s="213" customFormat="1" ht="9" customHeight="1">
      <c r="H444" s="212"/>
      <c r="I444" s="212"/>
      <c r="S444" s="307"/>
      <c r="T444" s="226">
        <f t="shared" si="32"/>
        <v>441</v>
      </c>
      <c r="U444" s="224">
        <f t="shared" si="30"/>
        <v>1</v>
      </c>
      <c r="V444" s="225">
        <f t="shared" si="31"/>
        <v>0</v>
      </c>
      <c r="W444" s="238">
        <f ca="1">$U444*EWSpacingFt+XOffset+0</f>
        <v>30.000006832286932</v>
      </c>
      <c r="X444" s="242">
        <f ca="1">$V444*NSSpacingFt+YOffset+PanArrayLenFt*COS(RADIANS(Latitude+DecAng))</f>
        <v>16.439632545931762</v>
      </c>
      <c r="Y444" s="246">
        <f ca="1">+$V444*NSGradeFt+PedHeight+PanArrayLenFt*SIN(RADIANS(Latitude+DecAng))</f>
        <v>7.401410761154855</v>
      </c>
      <c r="Z444" s="214">
        <f ca="1">+$W444</f>
        <v>30.000006832286932</v>
      </c>
      <c r="AA444" s="214">
        <f ca="1">+$Y444</f>
        <v>7.401410761154855</v>
      </c>
      <c r="AB444" s="214">
        <f ca="1">+$X444</f>
        <v>16.439632545931762</v>
      </c>
      <c r="AC444" s="214">
        <f ca="1">+$W444-XOffset</f>
        <v>30.000006832286932</v>
      </c>
    </row>
    <row r="445" spans="8:29" s="213" customFormat="1" ht="9" customHeight="1">
      <c r="H445" s="212"/>
      <c r="I445" s="212"/>
      <c r="S445" s="307"/>
      <c r="T445" s="226">
        <f t="shared" si="32"/>
        <v>442</v>
      </c>
      <c r="U445" s="224">
        <f t="shared" si="30"/>
        <v>1</v>
      </c>
      <c r="V445" s="225">
        <f t="shared" si="31"/>
        <v>0</v>
      </c>
      <c r="W445" s="239">
        <f ca="1">$U445*EWSpacingFt+XOffset+(PanArrayWidthHighEndFt-PanArrayWidthLowEndFt)/2</f>
        <v>30.000006832286932</v>
      </c>
      <c r="X445" s="243">
        <f ca="1">$V445*NSSpacingFt+YOffset+0</f>
        <v>0</v>
      </c>
      <c r="Y445" s="247">
        <f ca="1">+$V445*NSGradeFt+PedHeight+0</f>
        <v>7.401410761154855</v>
      </c>
      <c r="Z445" s="214">
        <f ca="1">+$W445</f>
        <v>30.000006832286932</v>
      </c>
      <c r="AA445" s="214">
        <f ca="1">+$Y445</f>
        <v>7.401410761154855</v>
      </c>
      <c r="AB445" s="214">
        <f ca="1">+$X445</f>
        <v>0</v>
      </c>
      <c r="AC445" s="214">
        <f ca="1">+$W445-XOffset</f>
        <v>30.000006832286932</v>
      </c>
    </row>
    <row r="446" spans="8:29" s="213" customFormat="1" ht="9" customHeight="1">
      <c r="H446" s="212"/>
      <c r="I446" s="212"/>
      <c r="S446" s="307"/>
      <c r="T446" s="226">
        <f t="shared" si="32"/>
        <v>443</v>
      </c>
      <c r="U446" s="224">
        <f t="shared" si="30"/>
        <v>1</v>
      </c>
      <c r="V446" s="225">
        <f t="shared" si="31"/>
        <v>0</v>
      </c>
      <c r="W446" s="217"/>
      <c r="X446" s="217"/>
      <c r="Y446" s="217"/>
      <c r="Z446" s="214"/>
      <c r="AA446" s="214"/>
      <c r="AB446" s="214"/>
      <c r="AC446" s="214"/>
    </row>
    <row r="447" spans="8:29" s="213" customFormat="1" ht="9" customHeight="1">
      <c r="H447" s="212"/>
      <c r="I447" s="212"/>
      <c r="S447" s="307">
        <f>INT((T447-0)/6)+1</f>
        <v>75</v>
      </c>
      <c r="T447" s="226">
        <f t="shared" si="32"/>
        <v>444</v>
      </c>
      <c r="U447" s="224">
        <f t="shared" si="30"/>
        <v>0</v>
      </c>
      <c r="V447" s="225">
        <f t="shared" si="31"/>
        <v>1</v>
      </c>
      <c r="W447" s="233">
        <f ca="1">$U447*EWSpacingFt+XOffset+(PanArrayWidthHighEndFt-PanArrayWidthLowEndFt)/2</f>
        <v>0</v>
      </c>
      <c r="X447" s="234">
        <f ca="1">$V447*NSSpacingFt+YOffset+0</f>
        <v>17.999999999999989</v>
      </c>
      <c r="Y447" s="235">
        <f ca="1">+$V447*NSGradeFt+PedHeight+0</f>
        <v>7.401410761154855</v>
      </c>
      <c r="Z447" s="214">
        <f ca="1">+$W447</f>
        <v>0</v>
      </c>
      <c r="AA447" s="214">
        <f ca="1">+$Y447</f>
        <v>7.401410761154855</v>
      </c>
      <c r="AB447" s="214">
        <f ca="1">+$X447</f>
        <v>17.999999999999989</v>
      </c>
      <c r="AC447" s="214">
        <f ca="1">+$W447-XOffset</f>
        <v>0</v>
      </c>
    </row>
    <row r="448" spans="8:29" s="213" customFormat="1" ht="9" customHeight="1">
      <c r="H448" s="212"/>
      <c r="I448" s="212"/>
      <c r="S448" s="307"/>
      <c r="T448" s="226">
        <f t="shared" si="32"/>
        <v>445</v>
      </c>
      <c r="U448" s="224">
        <f t="shared" si="30"/>
        <v>0</v>
      </c>
      <c r="V448" s="225">
        <f t="shared" si="31"/>
        <v>1</v>
      </c>
      <c r="W448" s="236">
        <f ca="1">+$U448*EWSpacingFt+XOffset+PanArrayWidthHighEndFt-(PanArrayWidthHighEndFt-PanArrayWidthLowEndFt)/2</f>
        <v>10.80282152230971</v>
      </c>
      <c r="X448" s="240">
        <f ca="1">$V448*NSSpacingFt+YOffset+0</f>
        <v>17.999999999999989</v>
      </c>
      <c r="Y448" s="244">
        <f ca="1">+$V448*NSGradeFt+PedHeight+0</f>
        <v>7.401410761154855</v>
      </c>
      <c r="Z448" s="214">
        <f ca="1">+$W448</f>
        <v>10.80282152230971</v>
      </c>
      <c r="AA448" s="214">
        <f ca="1">+$Y448</f>
        <v>7.401410761154855</v>
      </c>
      <c r="AB448" s="214">
        <f ca="1">+$X448</f>
        <v>17.999999999999989</v>
      </c>
      <c r="AC448" s="214">
        <f ca="1">+$W448-XOffset</f>
        <v>10.80282152230971</v>
      </c>
    </row>
    <row r="449" spans="8:29" s="213" customFormat="1" ht="9" customHeight="1">
      <c r="H449" s="212"/>
      <c r="I449" s="212"/>
      <c r="S449" s="307"/>
      <c r="T449" s="226">
        <f t="shared" si="32"/>
        <v>446</v>
      </c>
      <c r="U449" s="224">
        <f t="shared" si="30"/>
        <v>0</v>
      </c>
      <c r="V449" s="225">
        <f t="shared" si="31"/>
        <v>1</v>
      </c>
      <c r="W449" s="237">
        <f ca="1">$U449*EWSpacingFt+XOffset+PanArrayWidthHighEndFt</f>
        <v>10.80282152230971</v>
      </c>
      <c r="X449" s="241">
        <f ca="1">$V449*NSSpacingFt+YOffset+PanArrayLenFt*COS(RADIANS(Latitude+DecAng))</f>
        <v>34.439632545931751</v>
      </c>
      <c r="Y449" s="245">
        <f ca="1">+$V449*NSGradeFt+PedHeight+PanArrayLenFt*SIN(RADIANS(Latitude+DecAng))</f>
        <v>7.401410761154855</v>
      </c>
      <c r="Z449" s="214">
        <f ca="1">+$W449</f>
        <v>10.80282152230971</v>
      </c>
      <c r="AA449" s="214">
        <f ca="1">+$Y449</f>
        <v>7.401410761154855</v>
      </c>
      <c r="AB449" s="214">
        <f ca="1">+$X449</f>
        <v>34.439632545931751</v>
      </c>
      <c r="AC449" s="214">
        <f ca="1">+$W449-XOffset</f>
        <v>10.80282152230971</v>
      </c>
    </row>
    <row r="450" spans="8:29" s="213" customFormat="1" ht="9" customHeight="1">
      <c r="H450" s="212"/>
      <c r="I450" s="212"/>
      <c r="S450" s="307"/>
      <c r="T450" s="226">
        <f t="shared" si="32"/>
        <v>447</v>
      </c>
      <c r="U450" s="224">
        <f t="shared" si="30"/>
        <v>0</v>
      </c>
      <c r="V450" s="225">
        <f t="shared" si="31"/>
        <v>1</v>
      </c>
      <c r="W450" s="238">
        <f ca="1">$U450*EWSpacingFt+XOffset+0</f>
        <v>0</v>
      </c>
      <c r="X450" s="242">
        <f ca="1">$V450*NSSpacingFt+YOffset+PanArrayLenFt*COS(RADIANS(Latitude+DecAng))</f>
        <v>34.439632545931751</v>
      </c>
      <c r="Y450" s="246">
        <f ca="1">+$V450*NSGradeFt+PedHeight+PanArrayLenFt*SIN(RADIANS(Latitude+DecAng))</f>
        <v>7.401410761154855</v>
      </c>
      <c r="Z450" s="214">
        <f ca="1">+$W450</f>
        <v>0</v>
      </c>
      <c r="AA450" s="214">
        <f ca="1">+$Y450</f>
        <v>7.401410761154855</v>
      </c>
      <c r="AB450" s="214">
        <f ca="1">+$X450</f>
        <v>34.439632545931751</v>
      </c>
      <c r="AC450" s="214">
        <f ca="1">+$W450-XOffset</f>
        <v>0</v>
      </c>
    </row>
    <row r="451" spans="8:29" s="213" customFormat="1" ht="9" customHeight="1">
      <c r="H451" s="212"/>
      <c r="I451" s="212"/>
      <c r="S451" s="307"/>
      <c r="T451" s="226">
        <f t="shared" si="32"/>
        <v>448</v>
      </c>
      <c r="U451" s="224">
        <f t="shared" ref="U451:U514" si="33">+MOD(INT(T451/6),ColumnsOfMounts)</f>
        <v>0</v>
      </c>
      <c r="V451" s="225">
        <f t="shared" ref="V451:V514" si="34">+MOD(INT(T451/6/ColumnsOfMounts),RowsOfMounts)</f>
        <v>1</v>
      </c>
      <c r="W451" s="239">
        <f ca="1">$U451*EWSpacingFt+XOffset+(PanArrayWidthHighEndFt-PanArrayWidthLowEndFt)/2</f>
        <v>0</v>
      </c>
      <c r="X451" s="243">
        <f ca="1">$V451*NSSpacingFt+YOffset+0</f>
        <v>17.999999999999989</v>
      </c>
      <c r="Y451" s="247">
        <f ca="1">+$V451*NSGradeFt+PedHeight+0</f>
        <v>7.401410761154855</v>
      </c>
      <c r="Z451" s="214">
        <f ca="1">+$W451</f>
        <v>0</v>
      </c>
      <c r="AA451" s="214">
        <f ca="1">+$Y451</f>
        <v>7.401410761154855</v>
      </c>
      <c r="AB451" s="214">
        <f ca="1">+$X451</f>
        <v>17.999999999999989</v>
      </c>
      <c r="AC451" s="214">
        <f ca="1">+$W451-XOffset</f>
        <v>0</v>
      </c>
    </row>
    <row r="452" spans="8:29" s="213" customFormat="1" ht="9" customHeight="1">
      <c r="H452" s="212"/>
      <c r="I452" s="212"/>
      <c r="S452" s="307"/>
      <c r="T452" s="226">
        <f t="shared" si="32"/>
        <v>449</v>
      </c>
      <c r="U452" s="224">
        <f t="shared" si="33"/>
        <v>0</v>
      </c>
      <c r="V452" s="225">
        <f t="shared" si="34"/>
        <v>1</v>
      </c>
      <c r="W452" s="217"/>
      <c r="X452" s="217"/>
      <c r="Y452" s="217"/>
      <c r="Z452" s="214"/>
      <c r="AA452" s="214"/>
      <c r="AB452" s="214"/>
      <c r="AC452" s="214"/>
    </row>
    <row r="453" spans="8:29" s="213" customFormat="1" ht="9" customHeight="1">
      <c r="H453" s="212"/>
      <c r="I453" s="212"/>
      <c r="S453" s="307">
        <f>INT((T453-0)/6)+1</f>
        <v>76</v>
      </c>
      <c r="T453" s="226">
        <f t="shared" si="32"/>
        <v>450</v>
      </c>
      <c r="U453" s="224">
        <f t="shared" si="33"/>
        <v>1</v>
      </c>
      <c r="V453" s="225">
        <f t="shared" si="34"/>
        <v>1</v>
      </c>
      <c r="W453" s="233">
        <f ca="1">$U453*EWSpacingFt+XOffset+(PanArrayWidthHighEndFt-PanArrayWidthLowEndFt)/2</f>
        <v>30.000006832286932</v>
      </c>
      <c r="X453" s="234">
        <f ca="1">$V453*NSSpacingFt+YOffset+0</f>
        <v>17.999999999999989</v>
      </c>
      <c r="Y453" s="235">
        <f ca="1">+$V453*NSGradeFt+PedHeight+0</f>
        <v>7.401410761154855</v>
      </c>
      <c r="Z453" s="214">
        <f ca="1">+$W453</f>
        <v>30.000006832286932</v>
      </c>
      <c r="AA453" s="214">
        <f ca="1">+$Y453</f>
        <v>7.401410761154855</v>
      </c>
      <c r="AB453" s="214">
        <f ca="1">+$X453</f>
        <v>17.999999999999989</v>
      </c>
      <c r="AC453" s="214">
        <f ca="1">+$W453-XOffset</f>
        <v>30.000006832286932</v>
      </c>
    </row>
    <row r="454" spans="8:29" s="213" customFormat="1" ht="9" customHeight="1">
      <c r="H454" s="212"/>
      <c r="I454" s="212"/>
      <c r="S454" s="307"/>
      <c r="T454" s="226">
        <f t="shared" si="32"/>
        <v>451</v>
      </c>
      <c r="U454" s="224">
        <f t="shared" si="33"/>
        <v>1</v>
      </c>
      <c r="V454" s="225">
        <f t="shared" si="34"/>
        <v>1</v>
      </c>
      <c r="W454" s="236">
        <f ca="1">+$U454*EWSpacingFt+XOffset+PanArrayWidthHighEndFt-(PanArrayWidthHighEndFt-PanArrayWidthLowEndFt)/2</f>
        <v>40.802828354596642</v>
      </c>
      <c r="X454" s="240">
        <f ca="1">$V454*NSSpacingFt+YOffset+0</f>
        <v>17.999999999999989</v>
      </c>
      <c r="Y454" s="244">
        <f ca="1">+$V454*NSGradeFt+PedHeight+0</f>
        <v>7.401410761154855</v>
      </c>
      <c r="Z454" s="214">
        <f ca="1">+$W454</f>
        <v>40.802828354596642</v>
      </c>
      <c r="AA454" s="214">
        <f ca="1">+$Y454</f>
        <v>7.401410761154855</v>
      </c>
      <c r="AB454" s="214">
        <f ca="1">+$X454</f>
        <v>17.999999999999989</v>
      </c>
      <c r="AC454" s="214">
        <f ca="1">+$W454-XOffset</f>
        <v>40.802828354596642</v>
      </c>
    </row>
    <row r="455" spans="8:29" s="213" customFormat="1" ht="9" customHeight="1">
      <c r="H455" s="212"/>
      <c r="I455" s="212"/>
      <c r="S455" s="307"/>
      <c r="T455" s="226">
        <f t="shared" si="32"/>
        <v>452</v>
      </c>
      <c r="U455" s="224">
        <f t="shared" si="33"/>
        <v>1</v>
      </c>
      <c r="V455" s="225">
        <f t="shared" si="34"/>
        <v>1</v>
      </c>
      <c r="W455" s="237">
        <f ca="1">$U455*EWSpacingFt+XOffset+PanArrayWidthHighEndFt</f>
        <v>40.802828354596642</v>
      </c>
      <c r="X455" s="241">
        <f ca="1">$V455*NSSpacingFt+YOffset+PanArrayLenFt*COS(RADIANS(Latitude+DecAng))</f>
        <v>34.439632545931751</v>
      </c>
      <c r="Y455" s="245">
        <f ca="1">+$V455*NSGradeFt+PedHeight+PanArrayLenFt*SIN(RADIANS(Latitude+DecAng))</f>
        <v>7.401410761154855</v>
      </c>
      <c r="Z455" s="214">
        <f ca="1">+$W455</f>
        <v>40.802828354596642</v>
      </c>
      <c r="AA455" s="214">
        <f ca="1">+$Y455</f>
        <v>7.401410761154855</v>
      </c>
      <c r="AB455" s="214">
        <f ca="1">+$X455</f>
        <v>34.439632545931751</v>
      </c>
      <c r="AC455" s="214">
        <f ca="1">+$W455-XOffset</f>
        <v>40.802828354596642</v>
      </c>
    </row>
    <row r="456" spans="8:29" s="213" customFormat="1" ht="9" customHeight="1">
      <c r="H456" s="212"/>
      <c r="I456" s="212"/>
      <c r="S456" s="307"/>
      <c r="T456" s="226">
        <f t="shared" si="32"/>
        <v>453</v>
      </c>
      <c r="U456" s="224">
        <f t="shared" si="33"/>
        <v>1</v>
      </c>
      <c r="V456" s="225">
        <f t="shared" si="34"/>
        <v>1</v>
      </c>
      <c r="W456" s="238">
        <f ca="1">$U456*EWSpacingFt+XOffset+0</f>
        <v>30.000006832286932</v>
      </c>
      <c r="X456" s="242">
        <f ca="1">$V456*NSSpacingFt+YOffset+PanArrayLenFt*COS(RADIANS(Latitude+DecAng))</f>
        <v>34.439632545931751</v>
      </c>
      <c r="Y456" s="246">
        <f ca="1">+$V456*NSGradeFt+PedHeight+PanArrayLenFt*SIN(RADIANS(Latitude+DecAng))</f>
        <v>7.401410761154855</v>
      </c>
      <c r="Z456" s="214">
        <f ca="1">+$W456</f>
        <v>30.000006832286932</v>
      </c>
      <c r="AA456" s="214">
        <f ca="1">+$Y456</f>
        <v>7.401410761154855</v>
      </c>
      <c r="AB456" s="214">
        <f ca="1">+$X456</f>
        <v>34.439632545931751</v>
      </c>
      <c r="AC456" s="214">
        <f ca="1">+$W456-XOffset</f>
        <v>30.000006832286932</v>
      </c>
    </row>
    <row r="457" spans="8:29" s="213" customFormat="1" ht="9" customHeight="1">
      <c r="H457" s="212"/>
      <c r="I457" s="212"/>
      <c r="S457" s="307"/>
      <c r="T457" s="226">
        <f t="shared" si="32"/>
        <v>454</v>
      </c>
      <c r="U457" s="224">
        <f t="shared" si="33"/>
        <v>1</v>
      </c>
      <c r="V457" s="225">
        <f t="shared" si="34"/>
        <v>1</v>
      </c>
      <c r="W457" s="239">
        <f ca="1">$U457*EWSpacingFt+XOffset+(PanArrayWidthHighEndFt-PanArrayWidthLowEndFt)/2</f>
        <v>30.000006832286932</v>
      </c>
      <c r="X457" s="243">
        <f ca="1">$V457*NSSpacingFt+YOffset+0</f>
        <v>17.999999999999989</v>
      </c>
      <c r="Y457" s="247">
        <f ca="1">+$V457*NSGradeFt+PedHeight+0</f>
        <v>7.401410761154855</v>
      </c>
      <c r="Z457" s="214">
        <f ca="1">+$W457</f>
        <v>30.000006832286932</v>
      </c>
      <c r="AA457" s="214">
        <f ca="1">+$Y457</f>
        <v>7.401410761154855</v>
      </c>
      <c r="AB457" s="214">
        <f ca="1">+$X457</f>
        <v>17.999999999999989</v>
      </c>
      <c r="AC457" s="214">
        <f ca="1">+$W457-XOffset</f>
        <v>30.000006832286932</v>
      </c>
    </row>
    <row r="458" spans="8:29" s="213" customFormat="1" ht="9" customHeight="1">
      <c r="H458" s="212"/>
      <c r="I458" s="212"/>
      <c r="S458" s="307"/>
      <c r="T458" s="226">
        <f t="shared" si="32"/>
        <v>455</v>
      </c>
      <c r="U458" s="224">
        <f t="shared" si="33"/>
        <v>1</v>
      </c>
      <c r="V458" s="225">
        <f t="shared" si="34"/>
        <v>1</v>
      </c>
      <c r="W458" s="217"/>
      <c r="X458" s="217"/>
      <c r="Y458" s="217"/>
      <c r="Z458" s="214"/>
      <c r="AA458" s="214"/>
      <c r="AB458" s="214"/>
      <c r="AC458" s="214"/>
    </row>
    <row r="459" spans="8:29" s="213" customFormat="1" ht="9" customHeight="1">
      <c r="H459" s="212"/>
      <c r="I459" s="212"/>
      <c r="S459" s="307">
        <f>INT((T459-0)/6)+1</f>
        <v>77</v>
      </c>
      <c r="T459" s="226">
        <f t="shared" si="32"/>
        <v>456</v>
      </c>
      <c r="U459" s="224">
        <f t="shared" si="33"/>
        <v>0</v>
      </c>
      <c r="V459" s="225">
        <f t="shared" si="34"/>
        <v>2</v>
      </c>
      <c r="W459" s="233">
        <f ca="1">$U459*EWSpacingFt+XOffset+(PanArrayWidthHighEndFt-PanArrayWidthLowEndFt)/2</f>
        <v>0</v>
      </c>
      <c r="X459" s="234">
        <f ca="1">$V459*NSSpacingFt+YOffset+0</f>
        <v>35.999999999999979</v>
      </c>
      <c r="Y459" s="235">
        <f ca="1">+$V459*NSGradeFt+PedHeight+0</f>
        <v>7.401410761154855</v>
      </c>
      <c r="Z459" s="214">
        <f ca="1">+$W459</f>
        <v>0</v>
      </c>
      <c r="AA459" s="214">
        <f ca="1">+$Y459</f>
        <v>7.401410761154855</v>
      </c>
      <c r="AB459" s="214">
        <f ca="1">+$X459</f>
        <v>35.999999999999979</v>
      </c>
      <c r="AC459" s="214">
        <f ca="1">+$W459-XOffset</f>
        <v>0</v>
      </c>
    </row>
    <row r="460" spans="8:29" s="213" customFormat="1" ht="9" customHeight="1">
      <c r="H460" s="212"/>
      <c r="I460" s="212"/>
      <c r="S460" s="307"/>
      <c r="T460" s="226">
        <f t="shared" si="32"/>
        <v>457</v>
      </c>
      <c r="U460" s="224">
        <f t="shared" si="33"/>
        <v>0</v>
      </c>
      <c r="V460" s="225">
        <f t="shared" si="34"/>
        <v>2</v>
      </c>
      <c r="W460" s="236">
        <f ca="1">+$U460*EWSpacingFt+XOffset+PanArrayWidthHighEndFt-(PanArrayWidthHighEndFt-PanArrayWidthLowEndFt)/2</f>
        <v>10.80282152230971</v>
      </c>
      <c r="X460" s="240">
        <f ca="1">$V460*NSSpacingFt+YOffset+0</f>
        <v>35.999999999999979</v>
      </c>
      <c r="Y460" s="244">
        <f ca="1">+$V460*NSGradeFt+PedHeight+0</f>
        <v>7.401410761154855</v>
      </c>
      <c r="Z460" s="214">
        <f ca="1">+$W460</f>
        <v>10.80282152230971</v>
      </c>
      <c r="AA460" s="214">
        <f ca="1">+$Y460</f>
        <v>7.401410761154855</v>
      </c>
      <c r="AB460" s="214">
        <f ca="1">+$X460</f>
        <v>35.999999999999979</v>
      </c>
      <c r="AC460" s="214">
        <f ca="1">+$W460-XOffset</f>
        <v>10.80282152230971</v>
      </c>
    </row>
    <row r="461" spans="8:29" s="213" customFormat="1" ht="9" customHeight="1">
      <c r="H461" s="212"/>
      <c r="I461" s="212"/>
      <c r="S461" s="307"/>
      <c r="T461" s="226">
        <f t="shared" si="32"/>
        <v>458</v>
      </c>
      <c r="U461" s="224">
        <f t="shared" si="33"/>
        <v>0</v>
      </c>
      <c r="V461" s="225">
        <f t="shared" si="34"/>
        <v>2</v>
      </c>
      <c r="W461" s="237">
        <f ca="1">$U461*EWSpacingFt+XOffset+PanArrayWidthHighEndFt</f>
        <v>10.80282152230971</v>
      </c>
      <c r="X461" s="241">
        <f ca="1">$V461*NSSpacingFt+YOffset+PanArrayLenFt*COS(RADIANS(Latitude+DecAng))</f>
        <v>52.439632545931744</v>
      </c>
      <c r="Y461" s="245">
        <f ca="1">+$V461*NSGradeFt+PedHeight+PanArrayLenFt*SIN(RADIANS(Latitude+DecAng))</f>
        <v>7.401410761154855</v>
      </c>
      <c r="Z461" s="214">
        <f ca="1">+$W461</f>
        <v>10.80282152230971</v>
      </c>
      <c r="AA461" s="214">
        <f ca="1">+$Y461</f>
        <v>7.401410761154855</v>
      </c>
      <c r="AB461" s="214">
        <f ca="1">+$X461</f>
        <v>52.439632545931744</v>
      </c>
      <c r="AC461" s="214">
        <f ca="1">+$W461-XOffset</f>
        <v>10.80282152230971</v>
      </c>
    </row>
    <row r="462" spans="8:29" s="213" customFormat="1" ht="9" customHeight="1">
      <c r="H462" s="212"/>
      <c r="I462" s="212"/>
      <c r="S462" s="307"/>
      <c r="T462" s="226">
        <f t="shared" si="32"/>
        <v>459</v>
      </c>
      <c r="U462" s="224">
        <f t="shared" si="33"/>
        <v>0</v>
      </c>
      <c r="V462" s="225">
        <f t="shared" si="34"/>
        <v>2</v>
      </c>
      <c r="W462" s="238">
        <f ca="1">$U462*EWSpacingFt+XOffset+0</f>
        <v>0</v>
      </c>
      <c r="X462" s="242">
        <f ca="1">$V462*NSSpacingFt+YOffset+PanArrayLenFt*COS(RADIANS(Latitude+DecAng))</f>
        <v>52.439632545931744</v>
      </c>
      <c r="Y462" s="246">
        <f ca="1">+$V462*NSGradeFt+PedHeight+PanArrayLenFt*SIN(RADIANS(Latitude+DecAng))</f>
        <v>7.401410761154855</v>
      </c>
      <c r="Z462" s="214">
        <f ca="1">+$W462</f>
        <v>0</v>
      </c>
      <c r="AA462" s="214">
        <f ca="1">+$Y462</f>
        <v>7.401410761154855</v>
      </c>
      <c r="AB462" s="214">
        <f ca="1">+$X462</f>
        <v>52.439632545931744</v>
      </c>
      <c r="AC462" s="214">
        <f ca="1">+$W462-XOffset</f>
        <v>0</v>
      </c>
    </row>
    <row r="463" spans="8:29" s="213" customFormat="1" ht="9" customHeight="1">
      <c r="H463" s="212"/>
      <c r="I463" s="212"/>
      <c r="S463" s="307"/>
      <c r="T463" s="226">
        <f t="shared" si="32"/>
        <v>460</v>
      </c>
      <c r="U463" s="224">
        <f t="shared" si="33"/>
        <v>0</v>
      </c>
      <c r="V463" s="225">
        <f t="shared" si="34"/>
        <v>2</v>
      </c>
      <c r="W463" s="239">
        <f ca="1">$U463*EWSpacingFt+XOffset+(PanArrayWidthHighEndFt-PanArrayWidthLowEndFt)/2</f>
        <v>0</v>
      </c>
      <c r="X463" s="243">
        <f ca="1">$V463*NSSpacingFt+YOffset+0</f>
        <v>35.999999999999979</v>
      </c>
      <c r="Y463" s="247">
        <f ca="1">+$V463*NSGradeFt+PedHeight+0</f>
        <v>7.401410761154855</v>
      </c>
      <c r="Z463" s="214">
        <f ca="1">+$W463</f>
        <v>0</v>
      </c>
      <c r="AA463" s="214">
        <f ca="1">+$Y463</f>
        <v>7.401410761154855</v>
      </c>
      <c r="AB463" s="214">
        <f ca="1">+$X463</f>
        <v>35.999999999999979</v>
      </c>
      <c r="AC463" s="214">
        <f ca="1">+$W463-XOffset</f>
        <v>0</v>
      </c>
    </row>
    <row r="464" spans="8:29" s="213" customFormat="1" ht="9" customHeight="1">
      <c r="H464" s="212"/>
      <c r="I464" s="212"/>
      <c r="S464" s="307"/>
      <c r="T464" s="226">
        <f t="shared" si="32"/>
        <v>461</v>
      </c>
      <c r="U464" s="224">
        <f t="shared" si="33"/>
        <v>0</v>
      </c>
      <c r="V464" s="225">
        <f t="shared" si="34"/>
        <v>2</v>
      </c>
      <c r="W464" s="217"/>
      <c r="X464" s="217"/>
      <c r="Y464" s="217"/>
      <c r="Z464" s="214"/>
      <c r="AA464" s="214"/>
      <c r="AB464" s="214"/>
      <c r="AC464" s="214"/>
    </row>
    <row r="465" spans="8:29" s="213" customFormat="1" ht="9" customHeight="1">
      <c r="H465" s="212"/>
      <c r="I465" s="212"/>
      <c r="S465" s="307">
        <f>INT((T465-0)/6)+1</f>
        <v>78</v>
      </c>
      <c r="T465" s="226">
        <f t="shared" ref="T465:T528" si="35">+T464+1</f>
        <v>462</v>
      </c>
      <c r="U465" s="224">
        <f t="shared" si="33"/>
        <v>1</v>
      </c>
      <c r="V465" s="225">
        <f t="shared" si="34"/>
        <v>2</v>
      </c>
      <c r="W465" s="233">
        <f ca="1">$U465*EWSpacingFt+XOffset+(PanArrayWidthHighEndFt-PanArrayWidthLowEndFt)/2</f>
        <v>30.000006832286932</v>
      </c>
      <c r="X465" s="234">
        <f ca="1">$V465*NSSpacingFt+YOffset+0</f>
        <v>35.999999999999979</v>
      </c>
      <c r="Y465" s="235">
        <f ca="1">+$V465*NSGradeFt+PedHeight+0</f>
        <v>7.401410761154855</v>
      </c>
      <c r="Z465" s="214">
        <f ca="1">+$W465</f>
        <v>30.000006832286932</v>
      </c>
      <c r="AA465" s="214">
        <f ca="1">+$Y465</f>
        <v>7.401410761154855</v>
      </c>
      <c r="AB465" s="214">
        <f ca="1">+$X465</f>
        <v>35.999999999999979</v>
      </c>
      <c r="AC465" s="214">
        <f ca="1">+$W465-XOffset</f>
        <v>30.000006832286932</v>
      </c>
    </row>
    <row r="466" spans="8:29" s="213" customFormat="1" ht="9" customHeight="1">
      <c r="H466" s="212"/>
      <c r="I466" s="212"/>
      <c r="S466" s="307"/>
      <c r="T466" s="226">
        <f t="shared" si="35"/>
        <v>463</v>
      </c>
      <c r="U466" s="224">
        <f t="shared" si="33"/>
        <v>1</v>
      </c>
      <c r="V466" s="225">
        <f t="shared" si="34"/>
        <v>2</v>
      </c>
      <c r="W466" s="236">
        <f ca="1">+$U466*EWSpacingFt+XOffset+PanArrayWidthHighEndFt-(PanArrayWidthHighEndFt-PanArrayWidthLowEndFt)/2</f>
        <v>40.802828354596642</v>
      </c>
      <c r="X466" s="240">
        <f ca="1">$V466*NSSpacingFt+YOffset+0</f>
        <v>35.999999999999979</v>
      </c>
      <c r="Y466" s="244">
        <f ca="1">+$V466*NSGradeFt+PedHeight+0</f>
        <v>7.401410761154855</v>
      </c>
      <c r="Z466" s="214">
        <f ca="1">+$W466</f>
        <v>40.802828354596642</v>
      </c>
      <c r="AA466" s="214">
        <f ca="1">+$Y466</f>
        <v>7.401410761154855</v>
      </c>
      <c r="AB466" s="214">
        <f ca="1">+$X466</f>
        <v>35.999999999999979</v>
      </c>
      <c r="AC466" s="214">
        <f ca="1">+$W466-XOffset</f>
        <v>40.802828354596642</v>
      </c>
    </row>
    <row r="467" spans="8:29" s="213" customFormat="1" ht="9" customHeight="1">
      <c r="H467" s="212"/>
      <c r="I467" s="212"/>
      <c r="S467" s="307"/>
      <c r="T467" s="226">
        <f t="shared" si="35"/>
        <v>464</v>
      </c>
      <c r="U467" s="224">
        <f t="shared" si="33"/>
        <v>1</v>
      </c>
      <c r="V467" s="225">
        <f t="shared" si="34"/>
        <v>2</v>
      </c>
      <c r="W467" s="237">
        <f ca="1">$U467*EWSpacingFt+XOffset+PanArrayWidthHighEndFt</f>
        <v>40.802828354596642</v>
      </c>
      <c r="X467" s="241">
        <f ca="1">$V467*NSSpacingFt+YOffset+PanArrayLenFt*COS(RADIANS(Latitude+DecAng))</f>
        <v>52.439632545931744</v>
      </c>
      <c r="Y467" s="245">
        <f ca="1">+$V467*NSGradeFt+PedHeight+PanArrayLenFt*SIN(RADIANS(Latitude+DecAng))</f>
        <v>7.401410761154855</v>
      </c>
      <c r="Z467" s="214">
        <f ca="1">+$W467</f>
        <v>40.802828354596642</v>
      </c>
      <c r="AA467" s="214">
        <f ca="1">+$Y467</f>
        <v>7.401410761154855</v>
      </c>
      <c r="AB467" s="214">
        <f ca="1">+$X467</f>
        <v>52.439632545931744</v>
      </c>
      <c r="AC467" s="214">
        <f ca="1">+$W467-XOffset</f>
        <v>40.802828354596642</v>
      </c>
    </row>
    <row r="468" spans="8:29" s="213" customFormat="1" ht="9" customHeight="1">
      <c r="H468" s="212"/>
      <c r="I468" s="212"/>
      <c r="S468" s="307"/>
      <c r="T468" s="226">
        <f t="shared" si="35"/>
        <v>465</v>
      </c>
      <c r="U468" s="224">
        <f t="shared" si="33"/>
        <v>1</v>
      </c>
      <c r="V468" s="225">
        <f t="shared" si="34"/>
        <v>2</v>
      </c>
      <c r="W468" s="238">
        <f ca="1">$U468*EWSpacingFt+XOffset+0</f>
        <v>30.000006832286932</v>
      </c>
      <c r="X468" s="242">
        <f ca="1">$V468*NSSpacingFt+YOffset+PanArrayLenFt*COS(RADIANS(Latitude+DecAng))</f>
        <v>52.439632545931744</v>
      </c>
      <c r="Y468" s="246">
        <f ca="1">+$V468*NSGradeFt+PedHeight+PanArrayLenFt*SIN(RADIANS(Latitude+DecAng))</f>
        <v>7.401410761154855</v>
      </c>
      <c r="Z468" s="214">
        <f ca="1">+$W468</f>
        <v>30.000006832286932</v>
      </c>
      <c r="AA468" s="214">
        <f ca="1">+$Y468</f>
        <v>7.401410761154855</v>
      </c>
      <c r="AB468" s="214">
        <f ca="1">+$X468</f>
        <v>52.439632545931744</v>
      </c>
      <c r="AC468" s="214">
        <f ca="1">+$W468-XOffset</f>
        <v>30.000006832286932</v>
      </c>
    </row>
    <row r="469" spans="8:29" s="213" customFormat="1" ht="9" customHeight="1">
      <c r="H469" s="212"/>
      <c r="I469" s="212"/>
      <c r="S469" s="307"/>
      <c r="T469" s="226">
        <f t="shared" si="35"/>
        <v>466</v>
      </c>
      <c r="U469" s="224">
        <f t="shared" si="33"/>
        <v>1</v>
      </c>
      <c r="V469" s="225">
        <f t="shared" si="34"/>
        <v>2</v>
      </c>
      <c r="W469" s="239">
        <f ca="1">$U469*EWSpacingFt+XOffset+(PanArrayWidthHighEndFt-PanArrayWidthLowEndFt)/2</f>
        <v>30.000006832286932</v>
      </c>
      <c r="X469" s="243">
        <f ca="1">$V469*NSSpacingFt+YOffset+0</f>
        <v>35.999999999999979</v>
      </c>
      <c r="Y469" s="247">
        <f ca="1">+$V469*NSGradeFt+PedHeight+0</f>
        <v>7.401410761154855</v>
      </c>
      <c r="Z469" s="214">
        <f ca="1">+$W469</f>
        <v>30.000006832286932</v>
      </c>
      <c r="AA469" s="214">
        <f ca="1">+$Y469</f>
        <v>7.401410761154855</v>
      </c>
      <c r="AB469" s="214">
        <f ca="1">+$X469</f>
        <v>35.999999999999979</v>
      </c>
      <c r="AC469" s="214">
        <f ca="1">+$W469-XOffset</f>
        <v>30.000006832286932</v>
      </c>
    </row>
    <row r="470" spans="8:29" s="213" customFormat="1" ht="9" customHeight="1">
      <c r="H470" s="212"/>
      <c r="I470" s="212"/>
      <c r="S470" s="307"/>
      <c r="T470" s="226">
        <f t="shared" si="35"/>
        <v>467</v>
      </c>
      <c r="U470" s="224">
        <f t="shared" si="33"/>
        <v>1</v>
      </c>
      <c r="V470" s="225">
        <f t="shared" si="34"/>
        <v>2</v>
      </c>
      <c r="W470" s="217"/>
      <c r="X470" s="217"/>
      <c r="Y470" s="217"/>
      <c r="Z470" s="214"/>
      <c r="AA470" s="214"/>
      <c r="AB470" s="214"/>
      <c r="AC470" s="214"/>
    </row>
    <row r="471" spans="8:29" s="213" customFormat="1" ht="9" customHeight="1">
      <c r="H471" s="212"/>
      <c r="I471" s="212"/>
      <c r="S471" s="307">
        <f>INT((T471-0)/6)+1</f>
        <v>79</v>
      </c>
      <c r="T471" s="226">
        <f t="shared" si="35"/>
        <v>468</v>
      </c>
      <c r="U471" s="224">
        <f t="shared" si="33"/>
        <v>0</v>
      </c>
      <c r="V471" s="225">
        <f t="shared" si="34"/>
        <v>3</v>
      </c>
      <c r="W471" s="233">
        <f ca="1">$U471*EWSpacingFt+XOffset+(PanArrayWidthHighEndFt-PanArrayWidthLowEndFt)/2</f>
        <v>0</v>
      </c>
      <c r="X471" s="234">
        <f ca="1">$V471*NSSpacingFt+YOffset+0</f>
        <v>53.999999999999972</v>
      </c>
      <c r="Y471" s="235">
        <f ca="1">+$V471*NSGradeFt+PedHeight+0</f>
        <v>7.401410761154855</v>
      </c>
      <c r="Z471" s="214">
        <f ca="1">+$W471</f>
        <v>0</v>
      </c>
      <c r="AA471" s="214">
        <f ca="1">+$Y471</f>
        <v>7.401410761154855</v>
      </c>
      <c r="AB471" s="214">
        <f ca="1">+$X471</f>
        <v>53.999999999999972</v>
      </c>
      <c r="AC471" s="214">
        <f ca="1">+$W471-XOffset</f>
        <v>0</v>
      </c>
    </row>
    <row r="472" spans="8:29" s="213" customFormat="1" ht="9" customHeight="1">
      <c r="H472" s="212"/>
      <c r="I472" s="212"/>
      <c r="S472" s="307"/>
      <c r="T472" s="226">
        <f t="shared" si="35"/>
        <v>469</v>
      </c>
      <c r="U472" s="224">
        <f t="shared" si="33"/>
        <v>0</v>
      </c>
      <c r="V472" s="225">
        <f t="shared" si="34"/>
        <v>3</v>
      </c>
      <c r="W472" s="236">
        <f ca="1">+$U472*EWSpacingFt+XOffset+PanArrayWidthHighEndFt-(PanArrayWidthHighEndFt-PanArrayWidthLowEndFt)/2</f>
        <v>10.80282152230971</v>
      </c>
      <c r="X472" s="240">
        <f ca="1">$V472*NSSpacingFt+YOffset+0</f>
        <v>53.999999999999972</v>
      </c>
      <c r="Y472" s="244">
        <f ca="1">+$V472*NSGradeFt+PedHeight+0</f>
        <v>7.401410761154855</v>
      </c>
      <c r="Z472" s="214">
        <f ca="1">+$W472</f>
        <v>10.80282152230971</v>
      </c>
      <c r="AA472" s="214">
        <f ca="1">+$Y472</f>
        <v>7.401410761154855</v>
      </c>
      <c r="AB472" s="214">
        <f ca="1">+$X472</f>
        <v>53.999999999999972</v>
      </c>
      <c r="AC472" s="214">
        <f ca="1">+$W472-XOffset</f>
        <v>10.80282152230971</v>
      </c>
    </row>
    <row r="473" spans="8:29" s="213" customFormat="1" ht="9" customHeight="1">
      <c r="H473" s="212"/>
      <c r="I473" s="212"/>
      <c r="S473" s="307"/>
      <c r="T473" s="226">
        <f t="shared" si="35"/>
        <v>470</v>
      </c>
      <c r="U473" s="224">
        <f t="shared" si="33"/>
        <v>0</v>
      </c>
      <c r="V473" s="225">
        <f t="shared" si="34"/>
        <v>3</v>
      </c>
      <c r="W473" s="237">
        <f ca="1">$U473*EWSpacingFt+XOffset+PanArrayWidthHighEndFt</f>
        <v>10.80282152230971</v>
      </c>
      <c r="X473" s="241">
        <f ca="1">$V473*NSSpacingFt+YOffset+PanArrayLenFt*COS(RADIANS(Latitude+DecAng))</f>
        <v>70.43963254593173</v>
      </c>
      <c r="Y473" s="245">
        <f ca="1">+$V473*NSGradeFt+PedHeight+PanArrayLenFt*SIN(RADIANS(Latitude+DecAng))</f>
        <v>7.401410761154855</v>
      </c>
      <c r="Z473" s="214">
        <f ca="1">+$W473</f>
        <v>10.80282152230971</v>
      </c>
      <c r="AA473" s="214">
        <f ca="1">+$Y473</f>
        <v>7.401410761154855</v>
      </c>
      <c r="AB473" s="214">
        <f ca="1">+$X473</f>
        <v>70.43963254593173</v>
      </c>
      <c r="AC473" s="214">
        <f ca="1">+$W473-XOffset</f>
        <v>10.80282152230971</v>
      </c>
    </row>
    <row r="474" spans="8:29" s="213" customFormat="1" ht="9" customHeight="1">
      <c r="H474" s="212"/>
      <c r="I474" s="212"/>
      <c r="S474" s="307"/>
      <c r="T474" s="226">
        <f t="shared" si="35"/>
        <v>471</v>
      </c>
      <c r="U474" s="224">
        <f t="shared" si="33"/>
        <v>0</v>
      </c>
      <c r="V474" s="225">
        <f t="shared" si="34"/>
        <v>3</v>
      </c>
      <c r="W474" s="238">
        <f ca="1">$U474*EWSpacingFt+XOffset+0</f>
        <v>0</v>
      </c>
      <c r="X474" s="242">
        <f ca="1">$V474*NSSpacingFt+YOffset+PanArrayLenFt*COS(RADIANS(Latitude+DecAng))</f>
        <v>70.43963254593173</v>
      </c>
      <c r="Y474" s="246">
        <f ca="1">+$V474*NSGradeFt+PedHeight+PanArrayLenFt*SIN(RADIANS(Latitude+DecAng))</f>
        <v>7.401410761154855</v>
      </c>
      <c r="Z474" s="214">
        <f ca="1">+$W474</f>
        <v>0</v>
      </c>
      <c r="AA474" s="214">
        <f ca="1">+$Y474</f>
        <v>7.401410761154855</v>
      </c>
      <c r="AB474" s="214">
        <f ca="1">+$X474</f>
        <v>70.43963254593173</v>
      </c>
      <c r="AC474" s="214">
        <f ca="1">+$W474-XOffset</f>
        <v>0</v>
      </c>
    </row>
    <row r="475" spans="8:29" s="213" customFormat="1" ht="9" customHeight="1">
      <c r="H475" s="212"/>
      <c r="I475" s="212"/>
      <c r="S475" s="307"/>
      <c r="T475" s="226">
        <f t="shared" si="35"/>
        <v>472</v>
      </c>
      <c r="U475" s="224">
        <f t="shared" si="33"/>
        <v>0</v>
      </c>
      <c r="V475" s="225">
        <f t="shared" si="34"/>
        <v>3</v>
      </c>
      <c r="W475" s="239">
        <f ca="1">$U475*EWSpacingFt+XOffset+(PanArrayWidthHighEndFt-PanArrayWidthLowEndFt)/2</f>
        <v>0</v>
      </c>
      <c r="X475" s="243">
        <f ca="1">$V475*NSSpacingFt+YOffset+0</f>
        <v>53.999999999999972</v>
      </c>
      <c r="Y475" s="247">
        <f ca="1">+$V475*NSGradeFt+PedHeight+0</f>
        <v>7.401410761154855</v>
      </c>
      <c r="Z475" s="214">
        <f ca="1">+$W475</f>
        <v>0</v>
      </c>
      <c r="AA475" s="214">
        <f ca="1">+$Y475</f>
        <v>7.401410761154855</v>
      </c>
      <c r="AB475" s="214">
        <f ca="1">+$X475</f>
        <v>53.999999999999972</v>
      </c>
      <c r="AC475" s="214">
        <f ca="1">+$W475-XOffset</f>
        <v>0</v>
      </c>
    </row>
    <row r="476" spans="8:29" s="213" customFormat="1" ht="9" customHeight="1">
      <c r="H476" s="212"/>
      <c r="I476" s="212"/>
      <c r="S476" s="307"/>
      <c r="T476" s="226">
        <f t="shared" si="35"/>
        <v>473</v>
      </c>
      <c r="U476" s="224">
        <f t="shared" si="33"/>
        <v>0</v>
      </c>
      <c r="V476" s="225">
        <f t="shared" si="34"/>
        <v>3</v>
      </c>
      <c r="W476" s="217"/>
      <c r="X476" s="217"/>
      <c r="Y476" s="217"/>
      <c r="Z476" s="214"/>
      <c r="AA476" s="214"/>
      <c r="AB476" s="214"/>
      <c r="AC476" s="214"/>
    </row>
    <row r="477" spans="8:29" s="213" customFormat="1" ht="9" customHeight="1">
      <c r="H477" s="212"/>
      <c r="I477" s="212"/>
      <c r="S477" s="307">
        <f>INT((T477-0)/6)+1</f>
        <v>80</v>
      </c>
      <c r="T477" s="226">
        <f t="shared" si="35"/>
        <v>474</v>
      </c>
      <c r="U477" s="224">
        <f t="shared" si="33"/>
        <v>1</v>
      </c>
      <c r="V477" s="225">
        <f t="shared" si="34"/>
        <v>3</v>
      </c>
      <c r="W477" s="233">
        <f ca="1">$U477*EWSpacingFt+XOffset+(PanArrayWidthHighEndFt-PanArrayWidthLowEndFt)/2</f>
        <v>30.000006832286932</v>
      </c>
      <c r="X477" s="234">
        <f ca="1">$V477*NSSpacingFt+YOffset+0</f>
        <v>53.999999999999972</v>
      </c>
      <c r="Y477" s="235">
        <f ca="1">+$V477*NSGradeFt+PedHeight+0</f>
        <v>7.401410761154855</v>
      </c>
      <c r="Z477" s="214">
        <f ca="1">+$W477</f>
        <v>30.000006832286932</v>
      </c>
      <c r="AA477" s="214">
        <f ca="1">+$Y477</f>
        <v>7.401410761154855</v>
      </c>
      <c r="AB477" s="214">
        <f ca="1">+$X477</f>
        <v>53.999999999999972</v>
      </c>
      <c r="AC477" s="214">
        <f ca="1">+$W477-XOffset</f>
        <v>30.000006832286932</v>
      </c>
    </row>
    <row r="478" spans="8:29" s="213" customFormat="1" ht="9" customHeight="1">
      <c r="H478" s="212"/>
      <c r="I478" s="212"/>
      <c r="S478" s="307"/>
      <c r="T478" s="226">
        <f t="shared" si="35"/>
        <v>475</v>
      </c>
      <c r="U478" s="224">
        <f t="shared" si="33"/>
        <v>1</v>
      </c>
      <c r="V478" s="225">
        <f t="shared" si="34"/>
        <v>3</v>
      </c>
      <c r="W478" s="236">
        <f ca="1">+$U478*EWSpacingFt+XOffset+PanArrayWidthHighEndFt-(PanArrayWidthHighEndFt-PanArrayWidthLowEndFt)/2</f>
        <v>40.802828354596642</v>
      </c>
      <c r="X478" s="240">
        <f ca="1">$V478*NSSpacingFt+YOffset+0</f>
        <v>53.999999999999972</v>
      </c>
      <c r="Y478" s="244">
        <f ca="1">+$V478*NSGradeFt+PedHeight+0</f>
        <v>7.401410761154855</v>
      </c>
      <c r="Z478" s="214">
        <f ca="1">+$W478</f>
        <v>40.802828354596642</v>
      </c>
      <c r="AA478" s="214">
        <f ca="1">+$Y478</f>
        <v>7.401410761154855</v>
      </c>
      <c r="AB478" s="214">
        <f ca="1">+$X478</f>
        <v>53.999999999999972</v>
      </c>
      <c r="AC478" s="214">
        <f ca="1">+$W478-XOffset</f>
        <v>40.802828354596642</v>
      </c>
    </row>
    <row r="479" spans="8:29" s="213" customFormat="1" ht="9" customHeight="1">
      <c r="H479" s="212"/>
      <c r="I479" s="212"/>
      <c r="S479" s="307"/>
      <c r="T479" s="226">
        <f t="shared" si="35"/>
        <v>476</v>
      </c>
      <c r="U479" s="224">
        <f t="shared" si="33"/>
        <v>1</v>
      </c>
      <c r="V479" s="225">
        <f t="shared" si="34"/>
        <v>3</v>
      </c>
      <c r="W479" s="237">
        <f ca="1">$U479*EWSpacingFt+XOffset+PanArrayWidthHighEndFt</f>
        <v>40.802828354596642</v>
      </c>
      <c r="X479" s="241">
        <f ca="1">$V479*NSSpacingFt+YOffset+PanArrayLenFt*COS(RADIANS(Latitude+DecAng))</f>
        <v>70.43963254593173</v>
      </c>
      <c r="Y479" s="245">
        <f ca="1">+$V479*NSGradeFt+PedHeight+PanArrayLenFt*SIN(RADIANS(Latitude+DecAng))</f>
        <v>7.401410761154855</v>
      </c>
      <c r="Z479" s="214">
        <f ca="1">+$W479</f>
        <v>40.802828354596642</v>
      </c>
      <c r="AA479" s="214">
        <f ca="1">+$Y479</f>
        <v>7.401410761154855</v>
      </c>
      <c r="AB479" s="214">
        <f ca="1">+$X479</f>
        <v>70.43963254593173</v>
      </c>
      <c r="AC479" s="214">
        <f ca="1">+$W479-XOffset</f>
        <v>40.802828354596642</v>
      </c>
    </row>
    <row r="480" spans="8:29" s="213" customFormat="1" ht="9" customHeight="1">
      <c r="H480" s="212"/>
      <c r="I480" s="212"/>
      <c r="S480" s="307"/>
      <c r="T480" s="226">
        <f t="shared" si="35"/>
        <v>477</v>
      </c>
      <c r="U480" s="224">
        <f t="shared" si="33"/>
        <v>1</v>
      </c>
      <c r="V480" s="225">
        <f t="shared" si="34"/>
        <v>3</v>
      </c>
      <c r="W480" s="238">
        <f ca="1">$U480*EWSpacingFt+XOffset+0</f>
        <v>30.000006832286932</v>
      </c>
      <c r="X480" s="242">
        <f ca="1">$V480*NSSpacingFt+YOffset+PanArrayLenFt*COS(RADIANS(Latitude+DecAng))</f>
        <v>70.43963254593173</v>
      </c>
      <c r="Y480" s="246">
        <f ca="1">+$V480*NSGradeFt+PedHeight+PanArrayLenFt*SIN(RADIANS(Latitude+DecAng))</f>
        <v>7.401410761154855</v>
      </c>
      <c r="Z480" s="214">
        <f ca="1">+$W480</f>
        <v>30.000006832286932</v>
      </c>
      <c r="AA480" s="214">
        <f ca="1">+$Y480</f>
        <v>7.401410761154855</v>
      </c>
      <c r="AB480" s="214">
        <f ca="1">+$X480</f>
        <v>70.43963254593173</v>
      </c>
      <c r="AC480" s="214">
        <f ca="1">+$W480-XOffset</f>
        <v>30.000006832286932</v>
      </c>
    </row>
    <row r="481" spans="8:29" s="213" customFormat="1" ht="9" customHeight="1">
      <c r="H481" s="212"/>
      <c r="I481" s="212"/>
      <c r="S481" s="307"/>
      <c r="T481" s="226">
        <f t="shared" si="35"/>
        <v>478</v>
      </c>
      <c r="U481" s="224">
        <f t="shared" si="33"/>
        <v>1</v>
      </c>
      <c r="V481" s="225">
        <f t="shared" si="34"/>
        <v>3</v>
      </c>
      <c r="W481" s="239">
        <f ca="1">$U481*EWSpacingFt+XOffset+(PanArrayWidthHighEndFt-PanArrayWidthLowEndFt)/2</f>
        <v>30.000006832286932</v>
      </c>
      <c r="X481" s="243">
        <f ca="1">$V481*NSSpacingFt+YOffset+0</f>
        <v>53.999999999999972</v>
      </c>
      <c r="Y481" s="247">
        <f ca="1">+$V481*NSGradeFt+PedHeight+0</f>
        <v>7.401410761154855</v>
      </c>
      <c r="Z481" s="214">
        <f ca="1">+$W481</f>
        <v>30.000006832286932</v>
      </c>
      <c r="AA481" s="214">
        <f ca="1">+$Y481</f>
        <v>7.401410761154855</v>
      </c>
      <c r="AB481" s="214">
        <f ca="1">+$X481</f>
        <v>53.999999999999972</v>
      </c>
      <c r="AC481" s="214">
        <f ca="1">+$W481-XOffset</f>
        <v>30.000006832286932</v>
      </c>
    </row>
    <row r="482" spans="8:29" s="213" customFormat="1" ht="9" customHeight="1">
      <c r="H482" s="212"/>
      <c r="I482" s="212"/>
      <c r="S482" s="307"/>
      <c r="T482" s="226">
        <f t="shared" si="35"/>
        <v>479</v>
      </c>
      <c r="U482" s="224">
        <f t="shared" si="33"/>
        <v>1</v>
      </c>
      <c r="V482" s="225">
        <f t="shared" si="34"/>
        <v>3</v>
      </c>
      <c r="W482" s="217"/>
      <c r="X482" s="217"/>
      <c r="Y482" s="217"/>
      <c r="Z482" s="214"/>
      <c r="AA482" s="214"/>
      <c r="AB482" s="214"/>
      <c r="AC482" s="214"/>
    </row>
    <row r="483" spans="8:29" s="213" customFormat="1" ht="9" customHeight="1">
      <c r="H483" s="212"/>
      <c r="I483" s="212"/>
      <c r="S483" s="307">
        <f>INT((T483-0)/6)+1</f>
        <v>81</v>
      </c>
      <c r="T483" s="226">
        <f t="shared" si="35"/>
        <v>480</v>
      </c>
      <c r="U483" s="224">
        <f t="shared" si="33"/>
        <v>0</v>
      </c>
      <c r="V483" s="225">
        <f t="shared" si="34"/>
        <v>0</v>
      </c>
      <c r="W483" s="233">
        <f ca="1">$U483*EWSpacingFt+XOffset+(PanArrayWidthHighEndFt-PanArrayWidthLowEndFt)/2</f>
        <v>0</v>
      </c>
      <c r="X483" s="234">
        <f ca="1">$V483*NSSpacingFt+YOffset+0</f>
        <v>0</v>
      </c>
      <c r="Y483" s="235">
        <f ca="1">+$V483*NSGradeFt+PedHeight+0</f>
        <v>7.401410761154855</v>
      </c>
      <c r="Z483" s="214">
        <f ca="1">+$W483</f>
        <v>0</v>
      </c>
      <c r="AA483" s="214">
        <f ca="1">+$Y483</f>
        <v>7.401410761154855</v>
      </c>
      <c r="AB483" s="214">
        <f ca="1">+$X483</f>
        <v>0</v>
      </c>
      <c r="AC483" s="214">
        <f ca="1">+$W483-XOffset</f>
        <v>0</v>
      </c>
    </row>
    <row r="484" spans="8:29" s="213" customFormat="1" ht="9" customHeight="1">
      <c r="H484" s="212"/>
      <c r="I484" s="212"/>
      <c r="S484" s="307"/>
      <c r="T484" s="226">
        <f t="shared" si="35"/>
        <v>481</v>
      </c>
      <c r="U484" s="224">
        <f t="shared" si="33"/>
        <v>0</v>
      </c>
      <c r="V484" s="225">
        <f t="shared" si="34"/>
        <v>0</v>
      </c>
      <c r="W484" s="236">
        <f ca="1">+$U484*EWSpacingFt+XOffset+PanArrayWidthHighEndFt-(PanArrayWidthHighEndFt-PanArrayWidthLowEndFt)/2</f>
        <v>10.80282152230971</v>
      </c>
      <c r="X484" s="240">
        <f ca="1">$V484*NSSpacingFt+YOffset+0</f>
        <v>0</v>
      </c>
      <c r="Y484" s="244">
        <f ca="1">+$V484*NSGradeFt+PedHeight+0</f>
        <v>7.401410761154855</v>
      </c>
      <c r="Z484" s="214">
        <f ca="1">+$W484</f>
        <v>10.80282152230971</v>
      </c>
      <c r="AA484" s="214">
        <f ca="1">+$Y484</f>
        <v>7.401410761154855</v>
      </c>
      <c r="AB484" s="214">
        <f ca="1">+$X484</f>
        <v>0</v>
      </c>
      <c r="AC484" s="214">
        <f ca="1">+$W484-XOffset</f>
        <v>10.80282152230971</v>
      </c>
    </row>
    <row r="485" spans="8:29" s="213" customFormat="1" ht="9" customHeight="1">
      <c r="H485" s="212"/>
      <c r="I485" s="212"/>
      <c r="S485" s="307"/>
      <c r="T485" s="226">
        <f t="shared" si="35"/>
        <v>482</v>
      </c>
      <c r="U485" s="224">
        <f t="shared" si="33"/>
        <v>0</v>
      </c>
      <c r="V485" s="225">
        <f t="shared" si="34"/>
        <v>0</v>
      </c>
      <c r="W485" s="237">
        <f ca="1">$U485*EWSpacingFt+XOffset+PanArrayWidthHighEndFt</f>
        <v>10.80282152230971</v>
      </c>
      <c r="X485" s="241">
        <f ca="1">$V485*NSSpacingFt+YOffset+PanArrayLenFt*COS(RADIANS(Latitude+DecAng))</f>
        <v>16.439632545931762</v>
      </c>
      <c r="Y485" s="245">
        <f ca="1">+$V485*NSGradeFt+PedHeight+PanArrayLenFt*SIN(RADIANS(Latitude+DecAng))</f>
        <v>7.401410761154855</v>
      </c>
      <c r="Z485" s="214">
        <f ca="1">+$W485</f>
        <v>10.80282152230971</v>
      </c>
      <c r="AA485" s="214">
        <f ca="1">+$Y485</f>
        <v>7.401410761154855</v>
      </c>
      <c r="AB485" s="214">
        <f ca="1">+$X485</f>
        <v>16.439632545931762</v>
      </c>
      <c r="AC485" s="214">
        <f ca="1">+$W485-XOffset</f>
        <v>10.80282152230971</v>
      </c>
    </row>
    <row r="486" spans="8:29" s="213" customFormat="1" ht="9" customHeight="1">
      <c r="H486" s="212"/>
      <c r="I486" s="212"/>
      <c r="S486" s="307"/>
      <c r="T486" s="226">
        <f t="shared" si="35"/>
        <v>483</v>
      </c>
      <c r="U486" s="224">
        <f t="shared" si="33"/>
        <v>0</v>
      </c>
      <c r="V486" s="225">
        <f t="shared" si="34"/>
        <v>0</v>
      </c>
      <c r="W486" s="238">
        <f ca="1">$U486*EWSpacingFt+XOffset+0</f>
        <v>0</v>
      </c>
      <c r="X486" s="242">
        <f ca="1">$V486*NSSpacingFt+YOffset+PanArrayLenFt*COS(RADIANS(Latitude+DecAng))</f>
        <v>16.439632545931762</v>
      </c>
      <c r="Y486" s="246">
        <f ca="1">+$V486*NSGradeFt+PedHeight+PanArrayLenFt*SIN(RADIANS(Latitude+DecAng))</f>
        <v>7.401410761154855</v>
      </c>
      <c r="Z486" s="214">
        <f ca="1">+$W486</f>
        <v>0</v>
      </c>
      <c r="AA486" s="214">
        <f ca="1">+$Y486</f>
        <v>7.401410761154855</v>
      </c>
      <c r="AB486" s="214">
        <f ca="1">+$X486</f>
        <v>16.439632545931762</v>
      </c>
      <c r="AC486" s="214">
        <f ca="1">+$W486-XOffset</f>
        <v>0</v>
      </c>
    </row>
    <row r="487" spans="8:29" s="213" customFormat="1" ht="9" customHeight="1">
      <c r="H487" s="212"/>
      <c r="I487" s="212"/>
      <c r="S487" s="307"/>
      <c r="T487" s="226">
        <f t="shared" si="35"/>
        <v>484</v>
      </c>
      <c r="U487" s="224">
        <f t="shared" si="33"/>
        <v>0</v>
      </c>
      <c r="V487" s="225">
        <f t="shared" si="34"/>
        <v>0</v>
      </c>
      <c r="W487" s="239">
        <f ca="1">$U487*EWSpacingFt+XOffset+(PanArrayWidthHighEndFt-PanArrayWidthLowEndFt)/2</f>
        <v>0</v>
      </c>
      <c r="X487" s="243">
        <f ca="1">$V487*NSSpacingFt+YOffset+0</f>
        <v>0</v>
      </c>
      <c r="Y487" s="247">
        <f ca="1">+$V487*NSGradeFt+PedHeight+0</f>
        <v>7.401410761154855</v>
      </c>
      <c r="Z487" s="214">
        <f ca="1">+$W487</f>
        <v>0</v>
      </c>
      <c r="AA487" s="214">
        <f ca="1">+$Y487</f>
        <v>7.401410761154855</v>
      </c>
      <c r="AB487" s="214">
        <f ca="1">+$X487</f>
        <v>0</v>
      </c>
      <c r="AC487" s="214">
        <f ca="1">+$W487-XOffset</f>
        <v>0</v>
      </c>
    </row>
    <row r="488" spans="8:29" s="213" customFormat="1" ht="9" customHeight="1">
      <c r="H488" s="212"/>
      <c r="I488" s="212"/>
      <c r="S488" s="307"/>
      <c r="T488" s="226">
        <f t="shared" si="35"/>
        <v>485</v>
      </c>
      <c r="U488" s="224">
        <f t="shared" si="33"/>
        <v>0</v>
      </c>
      <c r="V488" s="225">
        <f t="shared" si="34"/>
        <v>0</v>
      </c>
      <c r="W488" s="217"/>
      <c r="X488" s="217"/>
      <c r="Y488" s="217"/>
      <c r="Z488" s="214"/>
      <c r="AA488" s="214"/>
      <c r="AB488" s="214"/>
      <c r="AC488" s="214"/>
    </row>
    <row r="489" spans="8:29" s="213" customFormat="1" ht="9" customHeight="1">
      <c r="H489" s="212"/>
      <c r="I489" s="212"/>
      <c r="S489" s="307">
        <f>INT((T489-0)/6)+1</f>
        <v>82</v>
      </c>
      <c r="T489" s="226">
        <f t="shared" si="35"/>
        <v>486</v>
      </c>
      <c r="U489" s="224">
        <f t="shared" si="33"/>
        <v>1</v>
      </c>
      <c r="V489" s="225">
        <f t="shared" si="34"/>
        <v>0</v>
      </c>
      <c r="W489" s="233">
        <f ca="1">$U489*EWSpacingFt+XOffset+(PanArrayWidthHighEndFt-PanArrayWidthLowEndFt)/2</f>
        <v>30.000006832286932</v>
      </c>
      <c r="X489" s="234">
        <f ca="1">$V489*NSSpacingFt+YOffset+0</f>
        <v>0</v>
      </c>
      <c r="Y489" s="235">
        <f ca="1">+$V489*NSGradeFt+PedHeight+0</f>
        <v>7.401410761154855</v>
      </c>
      <c r="Z489" s="214">
        <f ca="1">+$W489</f>
        <v>30.000006832286932</v>
      </c>
      <c r="AA489" s="214">
        <f ca="1">+$Y489</f>
        <v>7.401410761154855</v>
      </c>
      <c r="AB489" s="214">
        <f ca="1">+$X489</f>
        <v>0</v>
      </c>
      <c r="AC489" s="214">
        <f ca="1">+$W489-XOffset</f>
        <v>30.000006832286932</v>
      </c>
    </row>
    <row r="490" spans="8:29" s="213" customFormat="1" ht="9" customHeight="1">
      <c r="H490" s="212"/>
      <c r="I490" s="212"/>
      <c r="S490" s="307"/>
      <c r="T490" s="226">
        <f t="shared" si="35"/>
        <v>487</v>
      </c>
      <c r="U490" s="224">
        <f t="shared" si="33"/>
        <v>1</v>
      </c>
      <c r="V490" s="225">
        <f t="shared" si="34"/>
        <v>0</v>
      </c>
      <c r="W490" s="236">
        <f ca="1">+$U490*EWSpacingFt+XOffset+PanArrayWidthHighEndFt-(PanArrayWidthHighEndFt-PanArrayWidthLowEndFt)/2</f>
        <v>40.802828354596642</v>
      </c>
      <c r="X490" s="240">
        <f ca="1">$V490*NSSpacingFt+YOffset+0</f>
        <v>0</v>
      </c>
      <c r="Y490" s="244">
        <f ca="1">+$V490*NSGradeFt+PedHeight+0</f>
        <v>7.401410761154855</v>
      </c>
      <c r="Z490" s="214">
        <f ca="1">+$W490</f>
        <v>40.802828354596642</v>
      </c>
      <c r="AA490" s="214">
        <f ca="1">+$Y490</f>
        <v>7.401410761154855</v>
      </c>
      <c r="AB490" s="214">
        <f ca="1">+$X490</f>
        <v>0</v>
      </c>
      <c r="AC490" s="214">
        <f ca="1">+$W490-XOffset</f>
        <v>40.802828354596642</v>
      </c>
    </row>
    <row r="491" spans="8:29" s="213" customFormat="1" ht="9" customHeight="1">
      <c r="H491" s="212"/>
      <c r="I491" s="212"/>
      <c r="S491" s="307"/>
      <c r="T491" s="226">
        <f t="shared" si="35"/>
        <v>488</v>
      </c>
      <c r="U491" s="224">
        <f t="shared" si="33"/>
        <v>1</v>
      </c>
      <c r="V491" s="225">
        <f t="shared" si="34"/>
        <v>0</v>
      </c>
      <c r="W491" s="237">
        <f ca="1">$U491*EWSpacingFt+XOffset+PanArrayWidthHighEndFt</f>
        <v>40.802828354596642</v>
      </c>
      <c r="X491" s="241">
        <f ca="1">$V491*NSSpacingFt+YOffset+PanArrayLenFt*COS(RADIANS(Latitude+DecAng))</f>
        <v>16.439632545931762</v>
      </c>
      <c r="Y491" s="245">
        <f ca="1">+$V491*NSGradeFt+PedHeight+PanArrayLenFt*SIN(RADIANS(Latitude+DecAng))</f>
        <v>7.401410761154855</v>
      </c>
      <c r="Z491" s="214">
        <f ca="1">+$W491</f>
        <v>40.802828354596642</v>
      </c>
      <c r="AA491" s="214">
        <f ca="1">+$Y491</f>
        <v>7.401410761154855</v>
      </c>
      <c r="AB491" s="214">
        <f ca="1">+$X491</f>
        <v>16.439632545931762</v>
      </c>
      <c r="AC491" s="214">
        <f ca="1">+$W491-XOffset</f>
        <v>40.802828354596642</v>
      </c>
    </row>
    <row r="492" spans="8:29" s="213" customFormat="1" ht="9" customHeight="1">
      <c r="H492" s="212"/>
      <c r="I492" s="212"/>
      <c r="S492" s="307"/>
      <c r="T492" s="226">
        <f t="shared" si="35"/>
        <v>489</v>
      </c>
      <c r="U492" s="224">
        <f t="shared" si="33"/>
        <v>1</v>
      </c>
      <c r="V492" s="225">
        <f t="shared" si="34"/>
        <v>0</v>
      </c>
      <c r="W492" s="238">
        <f ca="1">$U492*EWSpacingFt+XOffset+0</f>
        <v>30.000006832286932</v>
      </c>
      <c r="X492" s="242">
        <f ca="1">$V492*NSSpacingFt+YOffset+PanArrayLenFt*COS(RADIANS(Latitude+DecAng))</f>
        <v>16.439632545931762</v>
      </c>
      <c r="Y492" s="246">
        <f ca="1">+$V492*NSGradeFt+PedHeight+PanArrayLenFt*SIN(RADIANS(Latitude+DecAng))</f>
        <v>7.401410761154855</v>
      </c>
      <c r="Z492" s="214">
        <f ca="1">+$W492</f>
        <v>30.000006832286932</v>
      </c>
      <c r="AA492" s="214">
        <f ca="1">+$Y492</f>
        <v>7.401410761154855</v>
      </c>
      <c r="AB492" s="214">
        <f ca="1">+$X492</f>
        <v>16.439632545931762</v>
      </c>
      <c r="AC492" s="214">
        <f ca="1">+$W492-XOffset</f>
        <v>30.000006832286932</v>
      </c>
    </row>
    <row r="493" spans="8:29" s="213" customFormat="1" ht="9" customHeight="1">
      <c r="H493" s="212"/>
      <c r="I493" s="212"/>
      <c r="S493" s="307"/>
      <c r="T493" s="226">
        <f t="shared" si="35"/>
        <v>490</v>
      </c>
      <c r="U493" s="224">
        <f t="shared" si="33"/>
        <v>1</v>
      </c>
      <c r="V493" s="225">
        <f t="shared" si="34"/>
        <v>0</v>
      </c>
      <c r="W493" s="239">
        <f ca="1">$U493*EWSpacingFt+XOffset+(PanArrayWidthHighEndFt-PanArrayWidthLowEndFt)/2</f>
        <v>30.000006832286932</v>
      </c>
      <c r="X493" s="243">
        <f ca="1">$V493*NSSpacingFt+YOffset+0</f>
        <v>0</v>
      </c>
      <c r="Y493" s="247">
        <f ca="1">+$V493*NSGradeFt+PedHeight+0</f>
        <v>7.401410761154855</v>
      </c>
      <c r="Z493" s="214">
        <f ca="1">+$W493</f>
        <v>30.000006832286932</v>
      </c>
      <c r="AA493" s="214">
        <f ca="1">+$Y493</f>
        <v>7.401410761154855</v>
      </c>
      <c r="AB493" s="214">
        <f ca="1">+$X493</f>
        <v>0</v>
      </c>
      <c r="AC493" s="214">
        <f ca="1">+$W493-XOffset</f>
        <v>30.000006832286932</v>
      </c>
    </row>
    <row r="494" spans="8:29" s="213" customFormat="1" ht="9" customHeight="1">
      <c r="H494" s="212"/>
      <c r="I494" s="212"/>
      <c r="S494" s="307"/>
      <c r="T494" s="226">
        <f t="shared" si="35"/>
        <v>491</v>
      </c>
      <c r="U494" s="224">
        <f t="shared" si="33"/>
        <v>1</v>
      </c>
      <c r="V494" s="225">
        <f t="shared" si="34"/>
        <v>0</v>
      </c>
      <c r="W494" s="217"/>
      <c r="X494" s="217"/>
      <c r="Y494" s="217"/>
      <c r="Z494" s="214"/>
      <c r="AA494" s="214"/>
      <c r="AB494" s="214"/>
      <c r="AC494" s="214"/>
    </row>
    <row r="495" spans="8:29" s="213" customFormat="1" ht="9" customHeight="1">
      <c r="H495" s="212"/>
      <c r="I495" s="212"/>
      <c r="S495" s="307">
        <f>INT((T495-0)/6)+1</f>
        <v>83</v>
      </c>
      <c r="T495" s="226">
        <f t="shared" si="35"/>
        <v>492</v>
      </c>
      <c r="U495" s="224">
        <f t="shared" si="33"/>
        <v>0</v>
      </c>
      <c r="V495" s="225">
        <f t="shared" si="34"/>
        <v>1</v>
      </c>
      <c r="W495" s="233">
        <f ca="1">$U495*EWSpacingFt+XOffset+(PanArrayWidthHighEndFt-PanArrayWidthLowEndFt)/2</f>
        <v>0</v>
      </c>
      <c r="X495" s="234">
        <f ca="1">$V495*NSSpacingFt+YOffset+0</f>
        <v>17.999999999999989</v>
      </c>
      <c r="Y495" s="235">
        <f ca="1">+$V495*NSGradeFt+PedHeight+0</f>
        <v>7.401410761154855</v>
      </c>
      <c r="Z495" s="214">
        <f ca="1">+$W495</f>
        <v>0</v>
      </c>
      <c r="AA495" s="214">
        <f ca="1">+$Y495</f>
        <v>7.401410761154855</v>
      </c>
      <c r="AB495" s="214">
        <f ca="1">+$X495</f>
        <v>17.999999999999989</v>
      </c>
      <c r="AC495" s="214">
        <f ca="1">+$W495-XOffset</f>
        <v>0</v>
      </c>
    </row>
    <row r="496" spans="8:29" s="213" customFormat="1" ht="9" customHeight="1">
      <c r="H496" s="212"/>
      <c r="I496" s="212"/>
      <c r="S496" s="307"/>
      <c r="T496" s="226">
        <f t="shared" si="35"/>
        <v>493</v>
      </c>
      <c r="U496" s="224">
        <f t="shared" si="33"/>
        <v>0</v>
      </c>
      <c r="V496" s="225">
        <f t="shared" si="34"/>
        <v>1</v>
      </c>
      <c r="W496" s="236">
        <f ca="1">+$U496*EWSpacingFt+XOffset+PanArrayWidthHighEndFt-(PanArrayWidthHighEndFt-PanArrayWidthLowEndFt)/2</f>
        <v>10.80282152230971</v>
      </c>
      <c r="X496" s="240">
        <f ca="1">$V496*NSSpacingFt+YOffset+0</f>
        <v>17.999999999999989</v>
      </c>
      <c r="Y496" s="244">
        <f ca="1">+$V496*NSGradeFt+PedHeight+0</f>
        <v>7.401410761154855</v>
      </c>
      <c r="Z496" s="214">
        <f ca="1">+$W496</f>
        <v>10.80282152230971</v>
      </c>
      <c r="AA496" s="214">
        <f ca="1">+$Y496</f>
        <v>7.401410761154855</v>
      </c>
      <c r="AB496" s="214">
        <f ca="1">+$X496</f>
        <v>17.999999999999989</v>
      </c>
      <c r="AC496" s="214">
        <f ca="1">+$W496-XOffset</f>
        <v>10.80282152230971</v>
      </c>
    </row>
    <row r="497" spans="8:29" s="213" customFormat="1" ht="9" customHeight="1">
      <c r="H497" s="212"/>
      <c r="I497" s="212"/>
      <c r="S497" s="307"/>
      <c r="T497" s="226">
        <f t="shared" si="35"/>
        <v>494</v>
      </c>
      <c r="U497" s="224">
        <f t="shared" si="33"/>
        <v>0</v>
      </c>
      <c r="V497" s="225">
        <f t="shared" si="34"/>
        <v>1</v>
      </c>
      <c r="W497" s="237">
        <f ca="1">$U497*EWSpacingFt+XOffset+PanArrayWidthHighEndFt</f>
        <v>10.80282152230971</v>
      </c>
      <c r="X497" s="241">
        <f ca="1">$V497*NSSpacingFt+YOffset+PanArrayLenFt*COS(RADIANS(Latitude+DecAng))</f>
        <v>34.439632545931751</v>
      </c>
      <c r="Y497" s="245">
        <f ca="1">+$V497*NSGradeFt+PedHeight+PanArrayLenFt*SIN(RADIANS(Latitude+DecAng))</f>
        <v>7.401410761154855</v>
      </c>
      <c r="Z497" s="214">
        <f ca="1">+$W497</f>
        <v>10.80282152230971</v>
      </c>
      <c r="AA497" s="214">
        <f ca="1">+$Y497</f>
        <v>7.401410761154855</v>
      </c>
      <c r="AB497" s="214">
        <f ca="1">+$X497</f>
        <v>34.439632545931751</v>
      </c>
      <c r="AC497" s="214">
        <f ca="1">+$W497-XOffset</f>
        <v>10.80282152230971</v>
      </c>
    </row>
    <row r="498" spans="8:29" s="213" customFormat="1" ht="9" customHeight="1">
      <c r="H498" s="212"/>
      <c r="I498" s="212"/>
      <c r="S498" s="307"/>
      <c r="T498" s="226">
        <f t="shared" si="35"/>
        <v>495</v>
      </c>
      <c r="U498" s="224">
        <f t="shared" si="33"/>
        <v>0</v>
      </c>
      <c r="V498" s="225">
        <f t="shared" si="34"/>
        <v>1</v>
      </c>
      <c r="W498" s="238">
        <f ca="1">$U498*EWSpacingFt+XOffset+0</f>
        <v>0</v>
      </c>
      <c r="X498" s="242">
        <f ca="1">$V498*NSSpacingFt+YOffset+PanArrayLenFt*COS(RADIANS(Latitude+DecAng))</f>
        <v>34.439632545931751</v>
      </c>
      <c r="Y498" s="246">
        <f ca="1">+$V498*NSGradeFt+PedHeight+PanArrayLenFt*SIN(RADIANS(Latitude+DecAng))</f>
        <v>7.401410761154855</v>
      </c>
      <c r="Z498" s="214">
        <f ca="1">+$W498</f>
        <v>0</v>
      </c>
      <c r="AA498" s="214">
        <f ca="1">+$Y498</f>
        <v>7.401410761154855</v>
      </c>
      <c r="AB498" s="214">
        <f ca="1">+$X498</f>
        <v>34.439632545931751</v>
      </c>
      <c r="AC498" s="214">
        <f ca="1">+$W498-XOffset</f>
        <v>0</v>
      </c>
    </row>
    <row r="499" spans="8:29" s="213" customFormat="1" ht="9" customHeight="1">
      <c r="H499" s="212"/>
      <c r="I499" s="212"/>
      <c r="S499" s="307"/>
      <c r="T499" s="226">
        <f t="shared" si="35"/>
        <v>496</v>
      </c>
      <c r="U499" s="224">
        <f t="shared" si="33"/>
        <v>0</v>
      </c>
      <c r="V499" s="225">
        <f t="shared" si="34"/>
        <v>1</v>
      </c>
      <c r="W499" s="239">
        <f ca="1">$U499*EWSpacingFt+XOffset+(PanArrayWidthHighEndFt-PanArrayWidthLowEndFt)/2</f>
        <v>0</v>
      </c>
      <c r="X499" s="243">
        <f ca="1">$V499*NSSpacingFt+YOffset+0</f>
        <v>17.999999999999989</v>
      </c>
      <c r="Y499" s="247">
        <f ca="1">+$V499*NSGradeFt+PedHeight+0</f>
        <v>7.401410761154855</v>
      </c>
      <c r="Z499" s="214">
        <f ca="1">+$W499</f>
        <v>0</v>
      </c>
      <c r="AA499" s="214">
        <f ca="1">+$Y499</f>
        <v>7.401410761154855</v>
      </c>
      <c r="AB499" s="214">
        <f ca="1">+$X499</f>
        <v>17.999999999999989</v>
      </c>
      <c r="AC499" s="214">
        <f ca="1">+$W499-XOffset</f>
        <v>0</v>
      </c>
    </row>
    <row r="500" spans="8:29" s="213" customFormat="1" ht="9" customHeight="1">
      <c r="H500" s="212"/>
      <c r="I500" s="212"/>
      <c r="S500" s="307"/>
      <c r="T500" s="226">
        <f t="shared" si="35"/>
        <v>497</v>
      </c>
      <c r="U500" s="224">
        <f t="shared" si="33"/>
        <v>0</v>
      </c>
      <c r="V500" s="225">
        <f t="shared" si="34"/>
        <v>1</v>
      </c>
      <c r="W500" s="217"/>
      <c r="X500" s="217"/>
      <c r="Y500" s="217"/>
      <c r="Z500" s="214"/>
      <c r="AA500" s="214"/>
      <c r="AB500" s="214"/>
      <c r="AC500" s="214"/>
    </row>
    <row r="501" spans="8:29" s="213" customFormat="1" ht="9" customHeight="1">
      <c r="H501" s="212"/>
      <c r="I501" s="212"/>
      <c r="S501" s="307">
        <f>INT((T501-0)/6)+1</f>
        <v>84</v>
      </c>
      <c r="T501" s="226">
        <f t="shared" si="35"/>
        <v>498</v>
      </c>
      <c r="U501" s="224">
        <f t="shared" si="33"/>
        <v>1</v>
      </c>
      <c r="V501" s="225">
        <f t="shared" si="34"/>
        <v>1</v>
      </c>
      <c r="W501" s="233">
        <f ca="1">$U501*EWSpacingFt+XOffset+(PanArrayWidthHighEndFt-PanArrayWidthLowEndFt)/2</f>
        <v>30.000006832286932</v>
      </c>
      <c r="X501" s="234">
        <f ca="1">$V501*NSSpacingFt+YOffset+0</f>
        <v>17.999999999999989</v>
      </c>
      <c r="Y501" s="235">
        <f ca="1">+$V501*NSGradeFt+PedHeight+0</f>
        <v>7.401410761154855</v>
      </c>
      <c r="Z501" s="214">
        <f ca="1">+$W501</f>
        <v>30.000006832286932</v>
      </c>
      <c r="AA501" s="214">
        <f ca="1">+$Y501</f>
        <v>7.401410761154855</v>
      </c>
      <c r="AB501" s="214">
        <f ca="1">+$X501</f>
        <v>17.999999999999989</v>
      </c>
      <c r="AC501" s="214">
        <f ca="1">+$W501-XOffset</f>
        <v>30.000006832286932</v>
      </c>
    </row>
    <row r="502" spans="8:29" s="213" customFormat="1" ht="9" customHeight="1">
      <c r="H502" s="212"/>
      <c r="I502" s="212"/>
      <c r="S502" s="307"/>
      <c r="T502" s="226">
        <f t="shared" si="35"/>
        <v>499</v>
      </c>
      <c r="U502" s="224">
        <f t="shared" si="33"/>
        <v>1</v>
      </c>
      <c r="V502" s="225">
        <f t="shared" si="34"/>
        <v>1</v>
      </c>
      <c r="W502" s="236">
        <f ca="1">+$U502*EWSpacingFt+XOffset+PanArrayWidthHighEndFt-(PanArrayWidthHighEndFt-PanArrayWidthLowEndFt)/2</f>
        <v>40.802828354596642</v>
      </c>
      <c r="X502" s="240">
        <f ca="1">$V502*NSSpacingFt+YOffset+0</f>
        <v>17.999999999999989</v>
      </c>
      <c r="Y502" s="244">
        <f ca="1">+$V502*NSGradeFt+PedHeight+0</f>
        <v>7.401410761154855</v>
      </c>
      <c r="Z502" s="214">
        <f ca="1">+$W502</f>
        <v>40.802828354596642</v>
      </c>
      <c r="AA502" s="214">
        <f ca="1">+$Y502</f>
        <v>7.401410761154855</v>
      </c>
      <c r="AB502" s="214">
        <f ca="1">+$X502</f>
        <v>17.999999999999989</v>
      </c>
      <c r="AC502" s="214">
        <f ca="1">+$W502-XOffset</f>
        <v>40.802828354596642</v>
      </c>
    </row>
    <row r="503" spans="8:29" s="213" customFormat="1" ht="9" customHeight="1">
      <c r="H503" s="212"/>
      <c r="I503" s="212"/>
      <c r="S503" s="307"/>
      <c r="T503" s="226">
        <f t="shared" si="35"/>
        <v>500</v>
      </c>
      <c r="U503" s="224">
        <f t="shared" si="33"/>
        <v>1</v>
      </c>
      <c r="V503" s="225">
        <f t="shared" si="34"/>
        <v>1</v>
      </c>
      <c r="W503" s="237">
        <f ca="1">$U503*EWSpacingFt+XOffset+PanArrayWidthHighEndFt</f>
        <v>40.802828354596642</v>
      </c>
      <c r="X503" s="241">
        <f ca="1">$V503*NSSpacingFt+YOffset+PanArrayLenFt*COS(RADIANS(Latitude+DecAng))</f>
        <v>34.439632545931751</v>
      </c>
      <c r="Y503" s="245">
        <f ca="1">+$V503*NSGradeFt+PedHeight+PanArrayLenFt*SIN(RADIANS(Latitude+DecAng))</f>
        <v>7.401410761154855</v>
      </c>
      <c r="Z503" s="214">
        <f ca="1">+$W503</f>
        <v>40.802828354596642</v>
      </c>
      <c r="AA503" s="214">
        <f ca="1">+$Y503</f>
        <v>7.401410761154855</v>
      </c>
      <c r="AB503" s="214">
        <f ca="1">+$X503</f>
        <v>34.439632545931751</v>
      </c>
      <c r="AC503" s="214">
        <f ca="1">+$W503-XOffset</f>
        <v>40.802828354596642</v>
      </c>
    </row>
    <row r="504" spans="8:29" s="213" customFormat="1" ht="9" customHeight="1">
      <c r="H504" s="212"/>
      <c r="I504" s="212"/>
      <c r="S504" s="307"/>
      <c r="T504" s="226">
        <f t="shared" si="35"/>
        <v>501</v>
      </c>
      <c r="U504" s="224">
        <f t="shared" si="33"/>
        <v>1</v>
      </c>
      <c r="V504" s="225">
        <f t="shared" si="34"/>
        <v>1</v>
      </c>
      <c r="W504" s="238">
        <f ca="1">$U504*EWSpacingFt+XOffset+0</f>
        <v>30.000006832286932</v>
      </c>
      <c r="X504" s="242">
        <f ca="1">$V504*NSSpacingFt+YOffset+PanArrayLenFt*COS(RADIANS(Latitude+DecAng))</f>
        <v>34.439632545931751</v>
      </c>
      <c r="Y504" s="246">
        <f ca="1">+$V504*NSGradeFt+PedHeight+PanArrayLenFt*SIN(RADIANS(Latitude+DecAng))</f>
        <v>7.401410761154855</v>
      </c>
      <c r="Z504" s="214">
        <f ca="1">+$W504</f>
        <v>30.000006832286932</v>
      </c>
      <c r="AA504" s="214">
        <f ca="1">+$Y504</f>
        <v>7.401410761154855</v>
      </c>
      <c r="AB504" s="214">
        <f ca="1">+$X504</f>
        <v>34.439632545931751</v>
      </c>
      <c r="AC504" s="214">
        <f ca="1">+$W504-XOffset</f>
        <v>30.000006832286932</v>
      </c>
    </row>
    <row r="505" spans="8:29" s="213" customFormat="1" ht="9" customHeight="1">
      <c r="H505" s="212"/>
      <c r="I505" s="212"/>
      <c r="S505" s="307"/>
      <c r="T505" s="226">
        <f t="shared" si="35"/>
        <v>502</v>
      </c>
      <c r="U505" s="224">
        <f t="shared" si="33"/>
        <v>1</v>
      </c>
      <c r="V505" s="225">
        <f t="shared" si="34"/>
        <v>1</v>
      </c>
      <c r="W505" s="239">
        <f ca="1">$U505*EWSpacingFt+XOffset+(PanArrayWidthHighEndFt-PanArrayWidthLowEndFt)/2</f>
        <v>30.000006832286932</v>
      </c>
      <c r="X505" s="243">
        <f ca="1">$V505*NSSpacingFt+YOffset+0</f>
        <v>17.999999999999989</v>
      </c>
      <c r="Y505" s="247">
        <f ca="1">+$V505*NSGradeFt+PedHeight+0</f>
        <v>7.401410761154855</v>
      </c>
      <c r="Z505" s="214">
        <f ca="1">+$W505</f>
        <v>30.000006832286932</v>
      </c>
      <c r="AA505" s="214">
        <f ca="1">+$Y505</f>
        <v>7.401410761154855</v>
      </c>
      <c r="AB505" s="214">
        <f ca="1">+$X505</f>
        <v>17.999999999999989</v>
      </c>
      <c r="AC505" s="214">
        <f ca="1">+$W505-XOffset</f>
        <v>30.000006832286932</v>
      </c>
    </row>
    <row r="506" spans="8:29" s="213" customFormat="1" ht="9" customHeight="1">
      <c r="H506" s="212"/>
      <c r="I506" s="212"/>
      <c r="S506" s="307"/>
      <c r="T506" s="226">
        <f t="shared" si="35"/>
        <v>503</v>
      </c>
      <c r="U506" s="224">
        <f t="shared" si="33"/>
        <v>1</v>
      </c>
      <c r="V506" s="225">
        <f t="shared" si="34"/>
        <v>1</v>
      </c>
      <c r="W506" s="217"/>
      <c r="X506" s="217"/>
      <c r="Y506" s="217"/>
      <c r="Z506" s="214"/>
      <c r="AA506" s="214"/>
      <c r="AB506" s="214"/>
      <c r="AC506" s="214"/>
    </row>
    <row r="507" spans="8:29" s="213" customFormat="1" ht="9" customHeight="1">
      <c r="H507" s="212"/>
      <c r="I507" s="212"/>
      <c r="S507" s="307">
        <f>INT((T507-0)/6)+1</f>
        <v>85</v>
      </c>
      <c r="T507" s="226">
        <f t="shared" si="35"/>
        <v>504</v>
      </c>
      <c r="U507" s="224">
        <f t="shared" si="33"/>
        <v>0</v>
      </c>
      <c r="V507" s="225">
        <f t="shared" si="34"/>
        <v>2</v>
      </c>
      <c r="W507" s="233">
        <f ca="1">$U507*EWSpacingFt+XOffset+(PanArrayWidthHighEndFt-PanArrayWidthLowEndFt)/2</f>
        <v>0</v>
      </c>
      <c r="X507" s="234">
        <f ca="1">$V507*NSSpacingFt+YOffset+0</f>
        <v>35.999999999999979</v>
      </c>
      <c r="Y507" s="235">
        <f ca="1">+$V507*NSGradeFt+PedHeight+0</f>
        <v>7.401410761154855</v>
      </c>
      <c r="Z507" s="214">
        <f ca="1">+$W507</f>
        <v>0</v>
      </c>
      <c r="AA507" s="214">
        <f ca="1">+$Y507</f>
        <v>7.401410761154855</v>
      </c>
      <c r="AB507" s="214">
        <f ca="1">+$X507</f>
        <v>35.999999999999979</v>
      </c>
      <c r="AC507" s="214">
        <f ca="1">+$W507-XOffset</f>
        <v>0</v>
      </c>
    </row>
    <row r="508" spans="8:29" s="213" customFormat="1" ht="9" customHeight="1">
      <c r="H508" s="212"/>
      <c r="I508" s="212"/>
      <c r="S508" s="307"/>
      <c r="T508" s="226">
        <f t="shared" si="35"/>
        <v>505</v>
      </c>
      <c r="U508" s="224">
        <f t="shared" si="33"/>
        <v>0</v>
      </c>
      <c r="V508" s="225">
        <f t="shared" si="34"/>
        <v>2</v>
      </c>
      <c r="W508" s="236">
        <f ca="1">+$U508*EWSpacingFt+XOffset+PanArrayWidthHighEndFt-(PanArrayWidthHighEndFt-PanArrayWidthLowEndFt)/2</f>
        <v>10.80282152230971</v>
      </c>
      <c r="X508" s="240">
        <f ca="1">$V508*NSSpacingFt+YOffset+0</f>
        <v>35.999999999999979</v>
      </c>
      <c r="Y508" s="244">
        <f ca="1">+$V508*NSGradeFt+PedHeight+0</f>
        <v>7.401410761154855</v>
      </c>
      <c r="Z508" s="214">
        <f ca="1">+$W508</f>
        <v>10.80282152230971</v>
      </c>
      <c r="AA508" s="214">
        <f ca="1">+$Y508</f>
        <v>7.401410761154855</v>
      </c>
      <c r="AB508" s="214">
        <f ca="1">+$X508</f>
        <v>35.999999999999979</v>
      </c>
      <c r="AC508" s="214">
        <f ca="1">+$W508-XOffset</f>
        <v>10.80282152230971</v>
      </c>
    </row>
    <row r="509" spans="8:29" s="213" customFormat="1" ht="9" customHeight="1">
      <c r="H509" s="212"/>
      <c r="I509" s="212"/>
      <c r="S509" s="307"/>
      <c r="T509" s="226">
        <f t="shared" si="35"/>
        <v>506</v>
      </c>
      <c r="U509" s="224">
        <f t="shared" si="33"/>
        <v>0</v>
      </c>
      <c r="V509" s="225">
        <f t="shared" si="34"/>
        <v>2</v>
      </c>
      <c r="W509" s="237">
        <f ca="1">$U509*EWSpacingFt+XOffset+PanArrayWidthHighEndFt</f>
        <v>10.80282152230971</v>
      </c>
      <c r="X509" s="241">
        <f ca="1">$V509*NSSpacingFt+YOffset+PanArrayLenFt*COS(RADIANS(Latitude+DecAng))</f>
        <v>52.439632545931744</v>
      </c>
      <c r="Y509" s="245">
        <f ca="1">+$V509*NSGradeFt+PedHeight+PanArrayLenFt*SIN(RADIANS(Latitude+DecAng))</f>
        <v>7.401410761154855</v>
      </c>
      <c r="Z509" s="214">
        <f ca="1">+$W509</f>
        <v>10.80282152230971</v>
      </c>
      <c r="AA509" s="214">
        <f ca="1">+$Y509</f>
        <v>7.401410761154855</v>
      </c>
      <c r="AB509" s="214">
        <f ca="1">+$X509</f>
        <v>52.439632545931744</v>
      </c>
      <c r="AC509" s="214">
        <f ca="1">+$W509-XOffset</f>
        <v>10.80282152230971</v>
      </c>
    </row>
    <row r="510" spans="8:29" s="213" customFormat="1" ht="9" customHeight="1">
      <c r="H510" s="212"/>
      <c r="I510" s="212"/>
      <c r="S510" s="307"/>
      <c r="T510" s="226">
        <f t="shared" si="35"/>
        <v>507</v>
      </c>
      <c r="U510" s="224">
        <f t="shared" si="33"/>
        <v>0</v>
      </c>
      <c r="V510" s="225">
        <f t="shared" si="34"/>
        <v>2</v>
      </c>
      <c r="W510" s="238">
        <f ca="1">$U510*EWSpacingFt+XOffset+0</f>
        <v>0</v>
      </c>
      <c r="X510" s="242">
        <f ca="1">$V510*NSSpacingFt+YOffset+PanArrayLenFt*COS(RADIANS(Latitude+DecAng))</f>
        <v>52.439632545931744</v>
      </c>
      <c r="Y510" s="246">
        <f ca="1">+$V510*NSGradeFt+PedHeight+PanArrayLenFt*SIN(RADIANS(Latitude+DecAng))</f>
        <v>7.401410761154855</v>
      </c>
      <c r="Z510" s="214">
        <f ca="1">+$W510</f>
        <v>0</v>
      </c>
      <c r="AA510" s="214">
        <f ca="1">+$Y510</f>
        <v>7.401410761154855</v>
      </c>
      <c r="AB510" s="214">
        <f ca="1">+$X510</f>
        <v>52.439632545931744</v>
      </c>
      <c r="AC510" s="214">
        <f ca="1">+$W510-XOffset</f>
        <v>0</v>
      </c>
    </row>
    <row r="511" spans="8:29" s="213" customFormat="1" ht="9" customHeight="1">
      <c r="H511" s="212"/>
      <c r="I511" s="212"/>
      <c r="S511" s="307"/>
      <c r="T511" s="226">
        <f t="shared" si="35"/>
        <v>508</v>
      </c>
      <c r="U511" s="224">
        <f t="shared" si="33"/>
        <v>0</v>
      </c>
      <c r="V511" s="225">
        <f t="shared" si="34"/>
        <v>2</v>
      </c>
      <c r="W511" s="239">
        <f ca="1">$U511*EWSpacingFt+XOffset+(PanArrayWidthHighEndFt-PanArrayWidthLowEndFt)/2</f>
        <v>0</v>
      </c>
      <c r="X511" s="243">
        <f ca="1">$V511*NSSpacingFt+YOffset+0</f>
        <v>35.999999999999979</v>
      </c>
      <c r="Y511" s="247">
        <f ca="1">+$V511*NSGradeFt+PedHeight+0</f>
        <v>7.401410761154855</v>
      </c>
      <c r="Z511" s="214">
        <f ca="1">+$W511</f>
        <v>0</v>
      </c>
      <c r="AA511" s="214">
        <f ca="1">+$Y511</f>
        <v>7.401410761154855</v>
      </c>
      <c r="AB511" s="214">
        <f ca="1">+$X511</f>
        <v>35.999999999999979</v>
      </c>
      <c r="AC511" s="214">
        <f ca="1">+$W511-XOffset</f>
        <v>0</v>
      </c>
    </row>
    <row r="512" spans="8:29" s="213" customFormat="1" ht="9" customHeight="1">
      <c r="H512" s="212"/>
      <c r="I512" s="212"/>
      <c r="S512" s="307"/>
      <c r="T512" s="226">
        <f t="shared" si="35"/>
        <v>509</v>
      </c>
      <c r="U512" s="224">
        <f t="shared" si="33"/>
        <v>0</v>
      </c>
      <c r="V512" s="225">
        <f t="shared" si="34"/>
        <v>2</v>
      </c>
      <c r="W512" s="217"/>
      <c r="X512" s="217"/>
      <c r="Y512" s="217"/>
      <c r="Z512" s="214"/>
      <c r="AA512" s="214"/>
      <c r="AB512" s="214"/>
      <c r="AC512" s="214"/>
    </row>
    <row r="513" spans="8:29" s="213" customFormat="1" ht="9" customHeight="1">
      <c r="H513" s="212"/>
      <c r="I513" s="212"/>
      <c r="S513" s="307">
        <f>INT((T513-0)/6)+1</f>
        <v>86</v>
      </c>
      <c r="T513" s="226">
        <f t="shared" si="35"/>
        <v>510</v>
      </c>
      <c r="U513" s="224">
        <f t="shared" si="33"/>
        <v>1</v>
      </c>
      <c r="V513" s="225">
        <f t="shared" si="34"/>
        <v>2</v>
      </c>
      <c r="W513" s="233">
        <f ca="1">$U513*EWSpacingFt+XOffset+(PanArrayWidthHighEndFt-PanArrayWidthLowEndFt)/2</f>
        <v>30.000006832286932</v>
      </c>
      <c r="X513" s="234">
        <f ca="1">$V513*NSSpacingFt+YOffset+0</f>
        <v>35.999999999999979</v>
      </c>
      <c r="Y513" s="235">
        <f ca="1">+$V513*NSGradeFt+PedHeight+0</f>
        <v>7.401410761154855</v>
      </c>
      <c r="Z513" s="214">
        <f ca="1">+$W513</f>
        <v>30.000006832286932</v>
      </c>
      <c r="AA513" s="214">
        <f ca="1">+$Y513</f>
        <v>7.401410761154855</v>
      </c>
      <c r="AB513" s="214">
        <f ca="1">+$X513</f>
        <v>35.999999999999979</v>
      </c>
      <c r="AC513" s="214">
        <f ca="1">+$W513-XOffset</f>
        <v>30.000006832286932</v>
      </c>
    </row>
    <row r="514" spans="8:29" s="213" customFormat="1" ht="9" customHeight="1">
      <c r="H514" s="212"/>
      <c r="I514" s="212"/>
      <c r="S514" s="307"/>
      <c r="T514" s="226">
        <f t="shared" si="35"/>
        <v>511</v>
      </c>
      <c r="U514" s="224">
        <f t="shared" si="33"/>
        <v>1</v>
      </c>
      <c r="V514" s="225">
        <f t="shared" si="34"/>
        <v>2</v>
      </c>
      <c r="W514" s="236">
        <f ca="1">+$U514*EWSpacingFt+XOffset+PanArrayWidthHighEndFt-(PanArrayWidthHighEndFt-PanArrayWidthLowEndFt)/2</f>
        <v>40.802828354596642</v>
      </c>
      <c r="X514" s="240">
        <f ca="1">$V514*NSSpacingFt+YOffset+0</f>
        <v>35.999999999999979</v>
      </c>
      <c r="Y514" s="244">
        <f ca="1">+$V514*NSGradeFt+PedHeight+0</f>
        <v>7.401410761154855</v>
      </c>
      <c r="Z514" s="214">
        <f ca="1">+$W514</f>
        <v>40.802828354596642</v>
      </c>
      <c r="AA514" s="214">
        <f ca="1">+$Y514</f>
        <v>7.401410761154855</v>
      </c>
      <c r="AB514" s="214">
        <f ca="1">+$X514</f>
        <v>35.999999999999979</v>
      </c>
      <c r="AC514" s="214">
        <f ca="1">+$W514-XOffset</f>
        <v>40.802828354596642</v>
      </c>
    </row>
    <row r="515" spans="8:29" s="213" customFormat="1" ht="9" customHeight="1">
      <c r="H515" s="212"/>
      <c r="I515" s="212"/>
      <c r="S515" s="307"/>
      <c r="T515" s="226">
        <f t="shared" si="35"/>
        <v>512</v>
      </c>
      <c r="U515" s="224">
        <f t="shared" ref="U515:U578" si="36">+MOD(INT(T515/6),ColumnsOfMounts)</f>
        <v>1</v>
      </c>
      <c r="V515" s="225">
        <f t="shared" ref="V515:V578" si="37">+MOD(INT(T515/6/ColumnsOfMounts),RowsOfMounts)</f>
        <v>2</v>
      </c>
      <c r="W515" s="237">
        <f ca="1">$U515*EWSpacingFt+XOffset+PanArrayWidthHighEndFt</f>
        <v>40.802828354596642</v>
      </c>
      <c r="X515" s="241">
        <f ca="1">$V515*NSSpacingFt+YOffset+PanArrayLenFt*COS(RADIANS(Latitude+DecAng))</f>
        <v>52.439632545931744</v>
      </c>
      <c r="Y515" s="245">
        <f ca="1">+$V515*NSGradeFt+PedHeight+PanArrayLenFt*SIN(RADIANS(Latitude+DecAng))</f>
        <v>7.401410761154855</v>
      </c>
      <c r="Z515" s="214">
        <f ca="1">+$W515</f>
        <v>40.802828354596642</v>
      </c>
      <c r="AA515" s="214">
        <f ca="1">+$Y515</f>
        <v>7.401410761154855</v>
      </c>
      <c r="AB515" s="214">
        <f ca="1">+$X515</f>
        <v>52.439632545931744</v>
      </c>
      <c r="AC515" s="214">
        <f ca="1">+$W515-XOffset</f>
        <v>40.802828354596642</v>
      </c>
    </row>
    <row r="516" spans="8:29" s="213" customFormat="1" ht="9" customHeight="1">
      <c r="H516" s="212"/>
      <c r="I516" s="212"/>
      <c r="S516" s="307"/>
      <c r="T516" s="226">
        <f t="shared" si="35"/>
        <v>513</v>
      </c>
      <c r="U516" s="224">
        <f t="shared" si="36"/>
        <v>1</v>
      </c>
      <c r="V516" s="225">
        <f t="shared" si="37"/>
        <v>2</v>
      </c>
      <c r="W516" s="238">
        <f ca="1">$U516*EWSpacingFt+XOffset+0</f>
        <v>30.000006832286932</v>
      </c>
      <c r="X516" s="242">
        <f ca="1">$V516*NSSpacingFt+YOffset+PanArrayLenFt*COS(RADIANS(Latitude+DecAng))</f>
        <v>52.439632545931744</v>
      </c>
      <c r="Y516" s="246">
        <f ca="1">+$V516*NSGradeFt+PedHeight+PanArrayLenFt*SIN(RADIANS(Latitude+DecAng))</f>
        <v>7.401410761154855</v>
      </c>
      <c r="Z516" s="214">
        <f ca="1">+$W516</f>
        <v>30.000006832286932</v>
      </c>
      <c r="AA516" s="214">
        <f ca="1">+$Y516</f>
        <v>7.401410761154855</v>
      </c>
      <c r="AB516" s="214">
        <f ca="1">+$X516</f>
        <v>52.439632545931744</v>
      </c>
      <c r="AC516" s="214">
        <f ca="1">+$W516-XOffset</f>
        <v>30.000006832286932</v>
      </c>
    </row>
    <row r="517" spans="8:29" s="213" customFormat="1" ht="9" customHeight="1">
      <c r="H517" s="212"/>
      <c r="I517" s="212"/>
      <c r="S517" s="307"/>
      <c r="T517" s="226">
        <f t="shared" si="35"/>
        <v>514</v>
      </c>
      <c r="U517" s="224">
        <f t="shared" si="36"/>
        <v>1</v>
      </c>
      <c r="V517" s="225">
        <f t="shared" si="37"/>
        <v>2</v>
      </c>
      <c r="W517" s="239">
        <f ca="1">$U517*EWSpacingFt+XOffset+(PanArrayWidthHighEndFt-PanArrayWidthLowEndFt)/2</f>
        <v>30.000006832286932</v>
      </c>
      <c r="X517" s="243">
        <f ca="1">$V517*NSSpacingFt+YOffset+0</f>
        <v>35.999999999999979</v>
      </c>
      <c r="Y517" s="247">
        <f ca="1">+$V517*NSGradeFt+PedHeight+0</f>
        <v>7.401410761154855</v>
      </c>
      <c r="Z517" s="214">
        <f ca="1">+$W517</f>
        <v>30.000006832286932</v>
      </c>
      <c r="AA517" s="214">
        <f ca="1">+$Y517</f>
        <v>7.401410761154855</v>
      </c>
      <c r="AB517" s="214">
        <f ca="1">+$X517</f>
        <v>35.999999999999979</v>
      </c>
      <c r="AC517" s="214">
        <f ca="1">+$W517-XOffset</f>
        <v>30.000006832286932</v>
      </c>
    </row>
    <row r="518" spans="8:29" s="213" customFormat="1" ht="9" customHeight="1">
      <c r="H518" s="212"/>
      <c r="I518" s="212"/>
      <c r="S518" s="307"/>
      <c r="T518" s="226">
        <f t="shared" si="35"/>
        <v>515</v>
      </c>
      <c r="U518" s="224">
        <f t="shared" si="36"/>
        <v>1</v>
      </c>
      <c r="V518" s="225">
        <f t="shared" si="37"/>
        <v>2</v>
      </c>
      <c r="W518" s="217"/>
      <c r="X518" s="217"/>
      <c r="Y518" s="217"/>
      <c r="Z518" s="214"/>
      <c r="AA518" s="214"/>
      <c r="AB518" s="214"/>
      <c r="AC518" s="214"/>
    </row>
    <row r="519" spans="8:29" s="213" customFormat="1" ht="9" customHeight="1">
      <c r="H519" s="212"/>
      <c r="I519" s="212"/>
      <c r="S519" s="307">
        <f>INT((T519-0)/6)+1</f>
        <v>87</v>
      </c>
      <c r="T519" s="226">
        <f t="shared" si="35"/>
        <v>516</v>
      </c>
      <c r="U519" s="224">
        <f t="shared" si="36"/>
        <v>0</v>
      </c>
      <c r="V519" s="225">
        <f t="shared" si="37"/>
        <v>3</v>
      </c>
      <c r="W519" s="233">
        <f ca="1">$U519*EWSpacingFt+XOffset+(PanArrayWidthHighEndFt-PanArrayWidthLowEndFt)/2</f>
        <v>0</v>
      </c>
      <c r="X519" s="234">
        <f ca="1">$V519*NSSpacingFt+YOffset+0</f>
        <v>53.999999999999972</v>
      </c>
      <c r="Y519" s="235">
        <f ca="1">+$V519*NSGradeFt+PedHeight+0</f>
        <v>7.401410761154855</v>
      </c>
      <c r="Z519" s="214">
        <f ca="1">+$W519</f>
        <v>0</v>
      </c>
      <c r="AA519" s="214">
        <f ca="1">+$Y519</f>
        <v>7.401410761154855</v>
      </c>
      <c r="AB519" s="214">
        <f ca="1">+$X519</f>
        <v>53.999999999999972</v>
      </c>
      <c r="AC519" s="214">
        <f ca="1">+$W519-XOffset</f>
        <v>0</v>
      </c>
    </row>
    <row r="520" spans="8:29" s="213" customFormat="1" ht="9" customHeight="1">
      <c r="H520" s="212"/>
      <c r="I520" s="212"/>
      <c r="S520" s="307"/>
      <c r="T520" s="226">
        <f t="shared" si="35"/>
        <v>517</v>
      </c>
      <c r="U520" s="224">
        <f t="shared" si="36"/>
        <v>0</v>
      </c>
      <c r="V520" s="225">
        <f t="shared" si="37"/>
        <v>3</v>
      </c>
      <c r="W520" s="236">
        <f ca="1">+$U520*EWSpacingFt+XOffset+PanArrayWidthHighEndFt-(PanArrayWidthHighEndFt-PanArrayWidthLowEndFt)/2</f>
        <v>10.80282152230971</v>
      </c>
      <c r="X520" s="240">
        <f ca="1">$V520*NSSpacingFt+YOffset+0</f>
        <v>53.999999999999972</v>
      </c>
      <c r="Y520" s="244">
        <f ca="1">+$V520*NSGradeFt+PedHeight+0</f>
        <v>7.401410761154855</v>
      </c>
      <c r="Z520" s="214">
        <f ca="1">+$W520</f>
        <v>10.80282152230971</v>
      </c>
      <c r="AA520" s="214">
        <f ca="1">+$Y520</f>
        <v>7.401410761154855</v>
      </c>
      <c r="AB520" s="214">
        <f ca="1">+$X520</f>
        <v>53.999999999999972</v>
      </c>
      <c r="AC520" s="214">
        <f ca="1">+$W520-XOffset</f>
        <v>10.80282152230971</v>
      </c>
    </row>
    <row r="521" spans="8:29" s="213" customFormat="1" ht="9" customHeight="1">
      <c r="H521" s="212"/>
      <c r="I521" s="212"/>
      <c r="S521" s="307"/>
      <c r="T521" s="226">
        <f t="shared" si="35"/>
        <v>518</v>
      </c>
      <c r="U521" s="224">
        <f t="shared" si="36"/>
        <v>0</v>
      </c>
      <c r="V521" s="225">
        <f t="shared" si="37"/>
        <v>3</v>
      </c>
      <c r="W521" s="237">
        <f ca="1">$U521*EWSpacingFt+XOffset+PanArrayWidthHighEndFt</f>
        <v>10.80282152230971</v>
      </c>
      <c r="X521" s="241">
        <f ca="1">$V521*NSSpacingFt+YOffset+PanArrayLenFt*COS(RADIANS(Latitude+DecAng))</f>
        <v>70.43963254593173</v>
      </c>
      <c r="Y521" s="245">
        <f ca="1">+$V521*NSGradeFt+PedHeight+PanArrayLenFt*SIN(RADIANS(Latitude+DecAng))</f>
        <v>7.401410761154855</v>
      </c>
      <c r="Z521" s="214">
        <f ca="1">+$W521</f>
        <v>10.80282152230971</v>
      </c>
      <c r="AA521" s="214">
        <f ca="1">+$Y521</f>
        <v>7.401410761154855</v>
      </c>
      <c r="AB521" s="214">
        <f ca="1">+$X521</f>
        <v>70.43963254593173</v>
      </c>
      <c r="AC521" s="214">
        <f ca="1">+$W521-XOffset</f>
        <v>10.80282152230971</v>
      </c>
    </row>
    <row r="522" spans="8:29" s="213" customFormat="1" ht="9" customHeight="1">
      <c r="H522" s="212"/>
      <c r="I522" s="212"/>
      <c r="S522" s="307"/>
      <c r="T522" s="226">
        <f t="shared" si="35"/>
        <v>519</v>
      </c>
      <c r="U522" s="224">
        <f t="shared" si="36"/>
        <v>0</v>
      </c>
      <c r="V522" s="225">
        <f t="shared" si="37"/>
        <v>3</v>
      </c>
      <c r="W522" s="238">
        <f ca="1">$U522*EWSpacingFt+XOffset+0</f>
        <v>0</v>
      </c>
      <c r="X522" s="242">
        <f ca="1">$V522*NSSpacingFt+YOffset+PanArrayLenFt*COS(RADIANS(Latitude+DecAng))</f>
        <v>70.43963254593173</v>
      </c>
      <c r="Y522" s="246">
        <f ca="1">+$V522*NSGradeFt+PedHeight+PanArrayLenFt*SIN(RADIANS(Latitude+DecAng))</f>
        <v>7.401410761154855</v>
      </c>
      <c r="Z522" s="214">
        <f ca="1">+$W522</f>
        <v>0</v>
      </c>
      <c r="AA522" s="214">
        <f ca="1">+$Y522</f>
        <v>7.401410761154855</v>
      </c>
      <c r="AB522" s="214">
        <f ca="1">+$X522</f>
        <v>70.43963254593173</v>
      </c>
      <c r="AC522" s="214">
        <f ca="1">+$W522-XOffset</f>
        <v>0</v>
      </c>
    </row>
    <row r="523" spans="8:29" s="213" customFormat="1" ht="9" customHeight="1">
      <c r="H523" s="212"/>
      <c r="I523" s="212"/>
      <c r="S523" s="307"/>
      <c r="T523" s="226">
        <f t="shared" si="35"/>
        <v>520</v>
      </c>
      <c r="U523" s="224">
        <f t="shared" si="36"/>
        <v>0</v>
      </c>
      <c r="V523" s="225">
        <f t="shared" si="37"/>
        <v>3</v>
      </c>
      <c r="W523" s="239">
        <f ca="1">$U523*EWSpacingFt+XOffset+(PanArrayWidthHighEndFt-PanArrayWidthLowEndFt)/2</f>
        <v>0</v>
      </c>
      <c r="X523" s="243">
        <f ca="1">$V523*NSSpacingFt+YOffset+0</f>
        <v>53.999999999999972</v>
      </c>
      <c r="Y523" s="247">
        <f ca="1">+$V523*NSGradeFt+PedHeight+0</f>
        <v>7.401410761154855</v>
      </c>
      <c r="Z523" s="214">
        <f ca="1">+$W523</f>
        <v>0</v>
      </c>
      <c r="AA523" s="214">
        <f ca="1">+$Y523</f>
        <v>7.401410761154855</v>
      </c>
      <c r="AB523" s="214">
        <f ca="1">+$X523</f>
        <v>53.999999999999972</v>
      </c>
      <c r="AC523" s="214">
        <f ca="1">+$W523-XOffset</f>
        <v>0</v>
      </c>
    </row>
    <row r="524" spans="8:29" s="213" customFormat="1" ht="9" customHeight="1">
      <c r="H524" s="212"/>
      <c r="I524" s="212"/>
      <c r="S524" s="307"/>
      <c r="T524" s="226">
        <f t="shared" si="35"/>
        <v>521</v>
      </c>
      <c r="U524" s="224">
        <f t="shared" si="36"/>
        <v>0</v>
      </c>
      <c r="V524" s="225">
        <f t="shared" si="37"/>
        <v>3</v>
      </c>
      <c r="W524" s="217"/>
      <c r="X524" s="217"/>
      <c r="Y524" s="217"/>
      <c r="Z524" s="214"/>
      <c r="AA524" s="214"/>
      <c r="AB524" s="214"/>
      <c r="AC524" s="214"/>
    </row>
    <row r="525" spans="8:29" s="213" customFormat="1" ht="9" customHeight="1">
      <c r="H525" s="212"/>
      <c r="I525" s="212"/>
      <c r="S525" s="307">
        <f>INT((T525-0)/6)+1</f>
        <v>88</v>
      </c>
      <c r="T525" s="226">
        <f t="shared" si="35"/>
        <v>522</v>
      </c>
      <c r="U525" s="224">
        <f t="shared" si="36"/>
        <v>1</v>
      </c>
      <c r="V525" s="225">
        <f t="shared" si="37"/>
        <v>3</v>
      </c>
      <c r="W525" s="233">
        <f ca="1">$U525*EWSpacingFt+XOffset+(PanArrayWidthHighEndFt-PanArrayWidthLowEndFt)/2</f>
        <v>30.000006832286932</v>
      </c>
      <c r="X525" s="234">
        <f ca="1">$V525*NSSpacingFt+YOffset+0</f>
        <v>53.999999999999972</v>
      </c>
      <c r="Y525" s="235">
        <f ca="1">+$V525*NSGradeFt+PedHeight+0</f>
        <v>7.401410761154855</v>
      </c>
      <c r="Z525" s="214">
        <f ca="1">+$W525</f>
        <v>30.000006832286932</v>
      </c>
      <c r="AA525" s="214">
        <f ca="1">+$Y525</f>
        <v>7.401410761154855</v>
      </c>
      <c r="AB525" s="214">
        <f ca="1">+$X525</f>
        <v>53.999999999999972</v>
      </c>
      <c r="AC525" s="214">
        <f ca="1">+$W525-XOffset</f>
        <v>30.000006832286932</v>
      </c>
    </row>
    <row r="526" spans="8:29" s="213" customFormat="1" ht="9" customHeight="1">
      <c r="H526" s="212"/>
      <c r="I526" s="212"/>
      <c r="S526" s="307"/>
      <c r="T526" s="226">
        <f t="shared" si="35"/>
        <v>523</v>
      </c>
      <c r="U526" s="224">
        <f t="shared" si="36"/>
        <v>1</v>
      </c>
      <c r="V526" s="225">
        <f t="shared" si="37"/>
        <v>3</v>
      </c>
      <c r="W526" s="236">
        <f ca="1">+$U526*EWSpacingFt+XOffset+PanArrayWidthHighEndFt-(PanArrayWidthHighEndFt-PanArrayWidthLowEndFt)/2</f>
        <v>40.802828354596642</v>
      </c>
      <c r="X526" s="240">
        <f ca="1">$V526*NSSpacingFt+YOffset+0</f>
        <v>53.999999999999972</v>
      </c>
      <c r="Y526" s="244">
        <f ca="1">+$V526*NSGradeFt+PedHeight+0</f>
        <v>7.401410761154855</v>
      </c>
      <c r="Z526" s="214">
        <f ca="1">+$W526</f>
        <v>40.802828354596642</v>
      </c>
      <c r="AA526" s="214">
        <f ca="1">+$Y526</f>
        <v>7.401410761154855</v>
      </c>
      <c r="AB526" s="214">
        <f ca="1">+$X526</f>
        <v>53.999999999999972</v>
      </c>
      <c r="AC526" s="214">
        <f ca="1">+$W526-XOffset</f>
        <v>40.802828354596642</v>
      </c>
    </row>
    <row r="527" spans="8:29" s="213" customFormat="1" ht="9" customHeight="1">
      <c r="H527" s="212"/>
      <c r="I527" s="212"/>
      <c r="S527" s="307"/>
      <c r="T527" s="226">
        <f t="shared" si="35"/>
        <v>524</v>
      </c>
      <c r="U527" s="224">
        <f t="shared" si="36"/>
        <v>1</v>
      </c>
      <c r="V527" s="225">
        <f t="shared" si="37"/>
        <v>3</v>
      </c>
      <c r="W527" s="237">
        <f ca="1">$U527*EWSpacingFt+XOffset+PanArrayWidthHighEndFt</f>
        <v>40.802828354596642</v>
      </c>
      <c r="X527" s="241">
        <f ca="1">$V527*NSSpacingFt+YOffset+PanArrayLenFt*COS(RADIANS(Latitude+DecAng))</f>
        <v>70.43963254593173</v>
      </c>
      <c r="Y527" s="245">
        <f ca="1">+$V527*NSGradeFt+PedHeight+PanArrayLenFt*SIN(RADIANS(Latitude+DecAng))</f>
        <v>7.401410761154855</v>
      </c>
      <c r="Z527" s="214">
        <f ca="1">+$W527</f>
        <v>40.802828354596642</v>
      </c>
      <c r="AA527" s="214">
        <f ca="1">+$Y527</f>
        <v>7.401410761154855</v>
      </c>
      <c r="AB527" s="214">
        <f ca="1">+$X527</f>
        <v>70.43963254593173</v>
      </c>
      <c r="AC527" s="214">
        <f ca="1">+$W527-XOffset</f>
        <v>40.802828354596642</v>
      </c>
    </row>
    <row r="528" spans="8:29" s="213" customFormat="1" ht="9" customHeight="1">
      <c r="H528" s="212"/>
      <c r="I528" s="212"/>
      <c r="S528" s="307"/>
      <c r="T528" s="226">
        <f t="shared" si="35"/>
        <v>525</v>
      </c>
      <c r="U528" s="224">
        <f t="shared" si="36"/>
        <v>1</v>
      </c>
      <c r="V528" s="225">
        <f t="shared" si="37"/>
        <v>3</v>
      </c>
      <c r="W528" s="238">
        <f ca="1">$U528*EWSpacingFt+XOffset+0</f>
        <v>30.000006832286932</v>
      </c>
      <c r="X528" s="242">
        <f ca="1">$V528*NSSpacingFt+YOffset+PanArrayLenFt*COS(RADIANS(Latitude+DecAng))</f>
        <v>70.43963254593173</v>
      </c>
      <c r="Y528" s="246">
        <f ca="1">+$V528*NSGradeFt+PedHeight+PanArrayLenFt*SIN(RADIANS(Latitude+DecAng))</f>
        <v>7.401410761154855</v>
      </c>
      <c r="Z528" s="214">
        <f ca="1">+$W528</f>
        <v>30.000006832286932</v>
      </c>
      <c r="AA528" s="214">
        <f ca="1">+$Y528</f>
        <v>7.401410761154855</v>
      </c>
      <c r="AB528" s="214">
        <f ca="1">+$X528</f>
        <v>70.43963254593173</v>
      </c>
      <c r="AC528" s="214">
        <f ca="1">+$W528-XOffset</f>
        <v>30.000006832286932</v>
      </c>
    </row>
    <row r="529" spans="8:29" s="213" customFormat="1" ht="9" customHeight="1">
      <c r="H529" s="212"/>
      <c r="I529" s="212"/>
      <c r="S529" s="307"/>
      <c r="T529" s="226">
        <f t="shared" ref="T529:T592" si="38">+T528+1</f>
        <v>526</v>
      </c>
      <c r="U529" s="224">
        <f t="shared" si="36"/>
        <v>1</v>
      </c>
      <c r="V529" s="225">
        <f t="shared" si="37"/>
        <v>3</v>
      </c>
      <c r="W529" s="239">
        <f ca="1">$U529*EWSpacingFt+XOffset+(PanArrayWidthHighEndFt-PanArrayWidthLowEndFt)/2</f>
        <v>30.000006832286932</v>
      </c>
      <c r="X529" s="243">
        <f ca="1">$V529*NSSpacingFt+YOffset+0</f>
        <v>53.999999999999972</v>
      </c>
      <c r="Y529" s="247">
        <f ca="1">+$V529*NSGradeFt+PedHeight+0</f>
        <v>7.401410761154855</v>
      </c>
      <c r="Z529" s="214">
        <f ca="1">+$W529</f>
        <v>30.000006832286932</v>
      </c>
      <c r="AA529" s="214">
        <f ca="1">+$Y529</f>
        <v>7.401410761154855</v>
      </c>
      <c r="AB529" s="214">
        <f ca="1">+$X529</f>
        <v>53.999999999999972</v>
      </c>
      <c r="AC529" s="214">
        <f ca="1">+$W529-XOffset</f>
        <v>30.000006832286932</v>
      </c>
    </row>
    <row r="530" spans="8:29" s="213" customFormat="1" ht="9" customHeight="1">
      <c r="H530" s="212"/>
      <c r="I530" s="212"/>
      <c r="S530" s="307"/>
      <c r="T530" s="226">
        <f t="shared" si="38"/>
        <v>527</v>
      </c>
      <c r="U530" s="224">
        <f t="shared" si="36"/>
        <v>1</v>
      </c>
      <c r="V530" s="225">
        <f t="shared" si="37"/>
        <v>3</v>
      </c>
      <c r="W530" s="217"/>
      <c r="X530" s="217"/>
      <c r="Y530" s="217"/>
      <c r="Z530" s="214"/>
      <c r="AA530" s="214"/>
      <c r="AB530" s="214"/>
      <c r="AC530" s="214"/>
    </row>
    <row r="531" spans="8:29" s="213" customFormat="1" ht="9" customHeight="1">
      <c r="H531" s="212"/>
      <c r="I531" s="212"/>
      <c r="S531" s="307">
        <f>INT((T531-0)/6)+1</f>
        <v>89</v>
      </c>
      <c r="T531" s="226">
        <f t="shared" si="38"/>
        <v>528</v>
      </c>
      <c r="U531" s="224">
        <f t="shared" si="36"/>
        <v>0</v>
      </c>
      <c r="V531" s="225">
        <f t="shared" si="37"/>
        <v>0</v>
      </c>
      <c r="W531" s="233">
        <f ca="1">$U531*EWSpacingFt+XOffset+(PanArrayWidthHighEndFt-PanArrayWidthLowEndFt)/2</f>
        <v>0</v>
      </c>
      <c r="X531" s="234">
        <f ca="1">$V531*NSSpacingFt+YOffset+0</f>
        <v>0</v>
      </c>
      <c r="Y531" s="235">
        <f ca="1">+$V531*NSGradeFt+PedHeight+0</f>
        <v>7.401410761154855</v>
      </c>
      <c r="Z531" s="214">
        <f ca="1">+$W531</f>
        <v>0</v>
      </c>
      <c r="AA531" s="214">
        <f ca="1">+$Y531</f>
        <v>7.401410761154855</v>
      </c>
      <c r="AB531" s="214">
        <f ca="1">+$X531</f>
        <v>0</v>
      </c>
      <c r="AC531" s="214">
        <f ca="1">+$W531-XOffset</f>
        <v>0</v>
      </c>
    </row>
    <row r="532" spans="8:29" s="213" customFormat="1" ht="9" customHeight="1">
      <c r="H532" s="212"/>
      <c r="I532" s="212"/>
      <c r="S532" s="307"/>
      <c r="T532" s="226">
        <f t="shared" si="38"/>
        <v>529</v>
      </c>
      <c r="U532" s="224">
        <f t="shared" si="36"/>
        <v>0</v>
      </c>
      <c r="V532" s="225">
        <f t="shared" si="37"/>
        <v>0</v>
      </c>
      <c r="W532" s="236">
        <f ca="1">+$U532*EWSpacingFt+XOffset+PanArrayWidthHighEndFt-(PanArrayWidthHighEndFt-PanArrayWidthLowEndFt)/2</f>
        <v>10.80282152230971</v>
      </c>
      <c r="X532" s="240">
        <f ca="1">$V532*NSSpacingFt+YOffset+0</f>
        <v>0</v>
      </c>
      <c r="Y532" s="244">
        <f ca="1">+$V532*NSGradeFt+PedHeight+0</f>
        <v>7.401410761154855</v>
      </c>
      <c r="Z532" s="214">
        <f ca="1">+$W532</f>
        <v>10.80282152230971</v>
      </c>
      <c r="AA532" s="214">
        <f ca="1">+$Y532</f>
        <v>7.401410761154855</v>
      </c>
      <c r="AB532" s="214">
        <f ca="1">+$X532</f>
        <v>0</v>
      </c>
      <c r="AC532" s="214">
        <f ca="1">+$W532-XOffset</f>
        <v>10.80282152230971</v>
      </c>
    </row>
    <row r="533" spans="8:29" s="213" customFormat="1" ht="9" customHeight="1">
      <c r="H533" s="212"/>
      <c r="I533" s="212"/>
      <c r="S533" s="307"/>
      <c r="T533" s="226">
        <f t="shared" si="38"/>
        <v>530</v>
      </c>
      <c r="U533" s="224">
        <f t="shared" si="36"/>
        <v>0</v>
      </c>
      <c r="V533" s="225">
        <f t="shared" si="37"/>
        <v>0</v>
      </c>
      <c r="W533" s="237">
        <f ca="1">$U533*EWSpacingFt+XOffset+PanArrayWidthHighEndFt</f>
        <v>10.80282152230971</v>
      </c>
      <c r="X533" s="241">
        <f ca="1">$V533*NSSpacingFt+YOffset+PanArrayLenFt*COS(RADIANS(Latitude+DecAng))</f>
        <v>16.439632545931762</v>
      </c>
      <c r="Y533" s="245">
        <f ca="1">+$V533*NSGradeFt+PedHeight+PanArrayLenFt*SIN(RADIANS(Latitude+DecAng))</f>
        <v>7.401410761154855</v>
      </c>
      <c r="Z533" s="214">
        <f ca="1">+$W533</f>
        <v>10.80282152230971</v>
      </c>
      <c r="AA533" s="214">
        <f ca="1">+$Y533</f>
        <v>7.401410761154855</v>
      </c>
      <c r="AB533" s="214">
        <f ca="1">+$X533</f>
        <v>16.439632545931762</v>
      </c>
      <c r="AC533" s="214">
        <f ca="1">+$W533-XOffset</f>
        <v>10.80282152230971</v>
      </c>
    </row>
    <row r="534" spans="8:29" s="213" customFormat="1" ht="9" customHeight="1">
      <c r="H534" s="212"/>
      <c r="I534" s="212"/>
      <c r="S534" s="307"/>
      <c r="T534" s="226">
        <f t="shared" si="38"/>
        <v>531</v>
      </c>
      <c r="U534" s="224">
        <f t="shared" si="36"/>
        <v>0</v>
      </c>
      <c r="V534" s="225">
        <f t="shared" si="37"/>
        <v>0</v>
      </c>
      <c r="W534" s="238">
        <f ca="1">$U534*EWSpacingFt+XOffset+0</f>
        <v>0</v>
      </c>
      <c r="X534" s="242">
        <f ca="1">$V534*NSSpacingFt+YOffset+PanArrayLenFt*COS(RADIANS(Latitude+DecAng))</f>
        <v>16.439632545931762</v>
      </c>
      <c r="Y534" s="246">
        <f ca="1">+$V534*NSGradeFt+PedHeight+PanArrayLenFt*SIN(RADIANS(Latitude+DecAng))</f>
        <v>7.401410761154855</v>
      </c>
      <c r="Z534" s="214">
        <f ca="1">+$W534</f>
        <v>0</v>
      </c>
      <c r="AA534" s="214">
        <f ca="1">+$Y534</f>
        <v>7.401410761154855</v>
      </c>
      <c r="AB534" s="214">
        <f ca="1">+$X534</f>
        <v>16.439632545931762</v>
      </c>
      <c r="AC534" s="214">
        <f ca="1">+$W534-XOffset</f>
        <v>0</v>
      </c>
    </row>
    <row r="535" spans="8:29" s="213" customFormat="1" ht="9" customHeight="1">
      <c r="H535" s="212"/>
      <c r="I535" s="212"/>
      <c r="S535" s="307"/>
      <c r="T535" s="226">
        <f t="shared" si="38"/>
        <v>532</v>
      </c>
      <c r="U535" s="224">
        <f t="shared" si="36"/>
        <v>0</v>
      </c>
      <c r="V535" s="225">
        <f t="shared" si="37"/>
        <v>0</v>
      </c>
      <c r="W535" s="239">
        <f ca="1">$U535*EWSpacingFt+XOffset+(PanArrayWidthHighEndFt-PanArrayWidthLowEndFt)/2</f>
        <v>0</v>
      </c>
      <c r="X535" s="243">
        <f ca="1">$V535*NSSpacingFt+YOffset+0</f>
        <v>0</v>
      </c>
      <c r="Y535" s="247">
        <f ca="1">+$V535*NSGradeFt+PedHeight+0</f>
        <v>7.401410761154855</v>
      </c>
      <c r="Z535" s="214">
        <f ca="1">+$W535</f>
        <v>0</v>
      </c>
      <c r="AA535" s="214">
        <f ca="1">+$Y535</f>
        <v>7.401410761154855</v>
      </c>
      <c r="AB535" s="214">
        <f ca="1">+$X535</f>
        <v>0</v>
      </c>
      <c r="AC535" s="214">
        <f ca="1">+$W535-XOffset</f>
        <v>0</v>
      </c>
    </row>
    <row r="536" spans="8:29" s="213" customFormat="1" ht="9" customHeight="1">
      <c r="H536" s="212"/>
      <c r="I536" s="212"/>
      <c r="S536" s="307"/>
      <c r="T536" s="226">
        <f t="shared" si="38"/>
        <v>533</v>
      </c>
      <c r="U536" s="224">
        <f t="shared" si="36"/>
        <v>0</v>
      </c>
      <c r="V536" s="225">
        <f t="shared" si="37"/>
        <v>0</v>
      </c>
      <c r="W536" s="217"/>
      <c r="X536" s="217"/>
      <c r="Y536" s="217"/>
      <c r="Z536" s="214"/>
      <c r="AA536" s="214"/>
      <c r="AB536" s="214"/>
      <c r="AC536" s="214"/>
    </row>
    <row r="537" spans="8:29" s="213" customFormat="1" ht="9" customHeight="1">
      <c r="H537" s="212"/>
      <c r="I537" s="212"/>
      <c r="S537" s="307">
        <f>INT((T537-0)/6)+1</f>
        <v>90</v>
      </c>
      <c r="T537" s="226">
        <f t="shared" si="38"/>
        <v>534</v>
      </c>
      <c r="U537" s="224">
        <f t="shared" si="36"/>
        <v>1</v>
      </c>
      <c r="V537" s="225">
        <f t="shared" si="37"/>
        <v>0</v>
      </c>
      <c r="W537" s="233">
        <f ca="1">$U537*EWSpacingFt+XOffset+(PanArrayWidthHighEndFt-PanArrayWidthLowEndFt)/2</f>
        <v>30.000006832286932</v>
      </c>
      <c r="X537" s="234">
        <f ca="1">$V537*NSSpacingFt+YOffset+0</f>
        <v>0</v>
      </c>
      <c r="Y537" s="235">
        <f ca="1">+$V537*NSGradeFt+PedHeight+0</f>
        <v>7.401410761154855</v>
      </c>
      <c r="Z537" s="214">
        <f ca="1">+$W537</f>
        <v>30.000006832286932</v>
      </c>
      <c r="AA537" s="214">
        <f ca="1">+$Y537</f>
        <v>7.401410761154855</v>
      </c>
      <c r="AB537" s="214">
        <f ca="1">+$X537</f>
        <v>0</v>
      </c>
      <c r="AC537" s="214">
        <f ca="1">+$W537-XOffset</f>
        <v>30.000006832286932</v>
      </c>
    </row>
    <row r="538" spans="8:29" s="213" customFormat="1" ht="9" customHeight="1">
      <c r="H538" s="212"/>
      <c r="I538" s="212"/>
      <c r="S538" s="307"/>
      <c r="T538" s="226">
        <f t="shared" si="38"/>
        <v>535</v>
      </c>
      <c r="U538" s="224">
        <f t="shared" si="36"/>
        <v>1</v>
      </c>
      <c r="V538" s="225">
        <f t="shared" si="37"/>
        <v>0</v>
      </c>
      <c r="W538" s="236">
        <f ca="1">+$U538*EWSpacingFt+XOffset+PanArrayWidthHighEndFt-(PanArrayWidthHighEndFt-PanArrayWidthLowEndFt)/2</f>
        <v>40.802828354596642</v>
      </c>
      <c r="X538" s="240">
        <f ca="1">$V538*NSSpacingFt+YOffset+0</f>
        <v>0</v>
      </c>
      <c r="Y538" s="244">
        <f ca="1">+$V538*NSGradeFt+PedHeight+0</f>
        <v>7.401410761154855</v>
      </c>
      <c r="Z538" s="214">
        <f ca="1">+$W538</f>
        <v>40.802828354596642</v>
      </c>
      <c r="AA538" s="214">
        <f ca="1">+$Y538</f>
        <v>7.401410761154855</v>
      </c>
      <c r="AB538" s="214">
        <f ca="1">+$X538</f>
        <v>0</v>
      </c>
      <c r="AC538" s="214">
        <f ca="1">+$W538-XOffset</f>
        <v>40.802828354596642</v>
      </c>
    </row>
    <row r="539" spans="8:29" s="213" customFormat="1" ht="9" customHeight="1">
      <c r="H539" s="212"/>
      <c r="I539" s="212"/>
      <c r="S539" s="307"/>
      <c r="T539" s="226">
        <f t="shared" si="38"/>
        <v>536</v>
      </c>
      <c r="U539" s="224">
        <f t="shared" si="36"/>
        <v>1</v>
      </c>
      <c r="V539" s="225">
        <f t="shared" si="37"/>
        <v>0</v>
      </c>
      <c r="W539" s="237">
        <f ca="1">$U539*EWSpacingFt+XOffset+PanArrayWidthHighEndFt</f>
        <v>40.802828354596642</v>
      </c>
      <c r="X539" s="241">
        <f ca="1">$V539*NSSpacingFt+YOffset+PanArrayLenFt*COS(RADIANS(Latitude+DecAng))</f>
        <v>16.439632545931762</v>
      </c>
      <c r="Y539" s="245">
        <f ca="1">+$V539*NSGradeFt+PedHeight+PanArrayLenFt*SIN(RADIANS(Latitude+DecAng))</f>
        <v>7.401410761154855</v>
      </c>
      <c r="Z539" s="214">
        <f ca="1">+$W539</f>
        <v>40.802828354596642</v>
      </c>
      <c r="AA539" s="214">
        <f ca="1">+$Y539</f>
        <v>7.401410761154855</v>
      </c>
      <c r="AB539" s="214">
        <f ca="1">+$X539</f>
        <v>16.439632545931762</v>
      </c>
      <c r="AC539" s="214">
        <f ca="1">+$W539-XOffset</f>
        <v>40.802828354596642</v>
      </c>
    </row>
    <row r="540" spans="8:29" s="213" customFormat="1" ht="9" customHeight="1">
      <c r="H540" s="212"/>
      <c r="I540" s="212"/>
      <c r="S540" s="307"/>
      <c r="T540" s="226">
        <f t="shared" si="38"/>
        <v>537</v>
      </c>
      <c r="U540" s="224">
        <f t="shared" si="36"/>
        <v>1</v>
      </c>
      <c r="V540" s="225">
        <f t="shared" si="37"/>
        <v>0</v>
      </c>
      <c r="W540" s="238">
        <f ca="1">$U540*EWSpacingFt+XOffset+0</f>
        <v>30.000006832286932</v>
      </c>
      <c r="X540" s="242">
        <f ca="1">$V540*NSSpacingFt+YOffset+PanArrayLenFt*COS(RADIANS(Latitude+DecAng))</f>
        <v>16.439632545931762</v>
      </c>
      <c r="Y540" s="246">
        <f ca="1">+$V540*NSGradeFt+PedHeight+PanArrayLenFt*SIN(RADIANS(Latitude+DecAng))</f>
        <v>7.401410761154855</v>
      </c>
      <c r="Z540" s="214">
        <f ca="1">+$W540</f>
        <v>30.000006832286932</v>
      </c>
      <c r="AA540" s="214">
        <f ca="1">+$Y540</f>
        <v>7.401410761154855</v>
      </c>
      <c r="AB540" s="214">
        <f ca="1">+$X540</f>
        <v>16.439632545931762</v>
      </c>
      <c r="AC540" s="214">
        <f ca="1">+$W540-XOffset</f>
        <v>30.000006832286932</v>
      </c>
    </row>
    <row r="541" spans="8:29" s="213" customFormat="1" ht="9" customHeight="1">
      <c r="H541" s="212"/>
      <c r="I541" s="212"/>
      <c r="S541" s="307"/>
      <c r="T541" s="226">
        <f t="shared" si="38"/>
        <v>538</v>
      </c>
      <c r="U541" s="224">
        <f t="shared" si="36"/>
        <v>1</v>
      </c>
      <c r="V541" s="225">
        <f t="shared" si="37"/>
        <v>0</v>
      </c>
      <c r="W541" s="239">
        <f ca="1">$U541*EWSpacingFt+XOffset+(PanArrayWidthHighEndFt-PanArrayWidthLowEndFt)/2</f>
        <v>30.000006832286932</v>
      </c>
      <c r="X541" s="243">
        <f ca="1">$V541*NSSpacingFt+YOffset+0</f>
        <v>0</v>
      </c>
      <c r="Y541" s="247">
        <f ca="1">+$V541*NSGradeFt+PedHeight+0</f>
        <v>7.401410761154855</v>
      </c>
      <c r="Z541" s="214">
        <f ca="1">+$W541</f>
        <v>30.000006832286932</v>
      </c>
      <c r="AA541" s="214">
        <f ca="1">+$Y541</f>
        <v>7.401410761154855</v>
      </c>
      <c r="AB541" s="214">
        <f ca="1">+$X541</f>
        <v>0</v>
      </c>
      <c r="AC541" s="214">
        <f ca="1">+$W541-XOffset</f>
        <v>30.000006832286932</v>
      </c>
    </row>
    <row r="542" spans="8:29" s="213" customFormat="1" ht="9" customHeight="1">
      <c r="H542" s="212"/>
      <c r="I542" s="212"/>
      <c r="S542" s="307"/>
      <c r="T542" s="226">
        <f t="shared" si="38"/>
        <v>539</v>
      </c>
      <c r="U542" s="224">
        <f t="shared" si="36"/>
        <v>1</v>
      </c>
      <c r="V542" s="225">
        <f t="shared" si="37"/>
        <v>0</v>
      </c>
      <c r="W542" s="217"/>
      <c r="X542" s="217"/>
      <c r="Y542" s="217"/>
      <c r="Z542" s="214"/>
      <c r="AA542" s="214"/>
      <c r="AB542" s="214"/>
      <c r="AC542" s="214"/>
    </row>
    <row r="543" spans="8:29" s="213" customFormat="1" ht="9" customHeight="1">
      <c r="H543" s="212"/>
      <c r="I543" s="212"/>
      <c r="S543" s="307">
        <f>INT((T543-0)/6)+1</f>
        <v>91</v>
      </c>
      <c r="T543" s="226">
        <f t="shared" si="38"/>
        <v>540</v>
      </c>
      <c r="U543" s="224">
        <f t="shared" si="36"/>
        <v>0</v>
      </c>
      <c r="V543" s="225">
        <f t="shared" si="37"/>
        <v>1</v>
      </c>
      <c r="W543" s="233">
        <f ca="1">$U543*EWSpacingFt+XOffset+(PanArrayWidthHighEndFt-PanArrayWidthLowEndFt)/2</f>
        <v>0</v>
      </c>
      <c r="X543" s="234">
        <f ca="1">$V543*NSSpacingFt+YOffset+0</f>
        <v>17.999999999999989</v>
      </c>
      <c r="Y543" s="235">
        <f ca="1">+$V543*NSGradeFt+PedHeight+0</f>
        <v>7.401410761154855</v>
      </c>
      <c r="Z543" s="214">
        <f ca="1">+$W543</f>
        <v>0</v>
      </c>
      <c r="AA543" s="214">
        <f ca="1">+$Y543</f>
        <v>7.401410761154855</v>
      </c>
      <c r="AB543" s="214">
        <f ca="1">+$X543</f>
        <v>17.999999999999989</v>
      </c>
      <c r="AC543" s="214">
        <f ca="1">+$W543-XOffset</f>
        <v>0</v>
      </c>
    </row>
    <row r="544" spans="8:29" s="213" customFormat="1" ht="9" customHeight="1">
      <c r="H544" s="212"/>
      <c r="I544" s="212"/>
      <c r="S544" s="307"/>
      <c r="T544" s="226">
        <f t="shared" si="38"/>
        <v>541</v>
      </c>
      <c r="U544" s="224">
        <f t="shared" si="36"/>
        <v>0</v>
      </c>
      <c r="V544" s="225">
        <f t="shared" si="37"/>
        <v>1</v>
      </c>
      <c r="W544" s="236">
        <f ca="1">+$U544*EWSpacingFt+XOffset+PanArrayWidthHighEndFt-(PanArrayWidthHighEndFt-PanArrayWidthLowEndFt)/2</f>
        <v>10.80282152230971</v>
      </c>
      <c r="X544" s="240">
        <f ca="1">$V544*NSSpacingFt+YOffset+0</f>
        <v>17.999999999999989</v>
      </c>
      <c r="Y544" s="244">
        <f ca="1">+$V544*NSGradeFt+PedHeight+0</f>
        <v>7.401410761154855</v>
      </c>
      <c r="Z544" s="214">
        <f ca="1">+$W544</f>
        <v>10.80282152230971</v>
      </c>
      <c r="AA544" s="214">
        <f ca="1">+$Y544</f>
        <v>7.401410761154855</v>
      </c>
      <c r="AB544" s="214">
        <f ca="1">+$X544</f>
        <v>17.999999999999989</v>
      </c>
      <c r="AC544" s="214">
        <f ca="1">+$W544-XOffset</f>
        <v>10.80282152230971</v>
      </c>
    </row>
    <row r="545" spans="8:29" s="213" customFormat="1" ht="9" customHeight="1">
      <c r="H545" s="212"/>
      <c r="I545" s="212"/>
      <c r="S545" s="307"/>
      <c r="T545" s="226">
        <f t="shared" si="38"/>
        <v>542</v>
      </c>
      <c r="U545" s="224">
        <f t="shared" si="36"/>
        <v>0</v>
      </c>
      <c r="V545" s="225">
        <f t="shared" si="37"/>
        <v>1</v>
      </c>
      <c r="W545" s="237">
        <f ca="1">$U545*EWSpacingFt+XOffset+PanArrayWidthHighEndFt</f>
        <v>10.80282152230971</v>
      </c>
      <c r="X545" s="241">
        <f ca="1">$V545*NSSpacingFt+YOffset+PanArrayLenFt*COS(RADIANS(Latitude+DecAng))</f>
        <v>34.439632545931751</v>
      </c>
      <c r="Y545" s="245">
        <f ca="1">+$V545*NSGradeFt+PedHeight+PanArrayLenFt*SIN(RADIANS(Latitude+DecAng))</f>
        <v>7.401410761154855</v>
      </c>
      <c r="Z545" s="214">
        <f ca="1">+$W545</f>
        <v>10.80282152230971</v>
      </c>
      <c r="AA545" s="214">
        <f ca="1">+$Y545</f>
        <v>7.401410761154855</v>
      </c>
      <c r="AB545" s="214">
        <f ca="1">+$X545</f>
        <v>34.439632545931751</v>
      </c>
      <c r="AC545" s="214">
        <f ca="1">+$W545-XOffset</f>
        <v>10.80282152230971</v>
      </c>
    </row>
    <row r="546" spans="8:29" s="213" customFormat="1" ht="9" customHeight="1">
      <c r="H546" s="212"/>
      <c r="I546" s="212"/>
      <c r="S546" s="307"/>
      <c r="T546" s="226">
        <f t="shared" si="38"/>
        <v>543</v>
      </c>
      <c r="U546" s="224">
        <f t="shared" si="36"/>
        <v>0</v>
      </c>
      <c r="V546" s="225">
        <f t="shared" si="37"/>
        <v>1</v>
      </c>
      <c r="W546" s="238">
        <f ca="1">$U546*EWSpacingFt+XOffset+0</f>
        <v>0</v>
      </c>
      <c r="X546" s="242">
        <f ca="1">$V546*NSSpacingFt+YOffset+PanArrayLenFt*COS(RADIANS(Latitude+DecAng))</f>
        <v>34.439632545931751</v>
      </c>
      <c r="Y546" s="246">
        <f ca="1">+$V546*NSGradeFt+PedHeight+PanArrayLenFt*SIN(RADIANS(Latitude+DecAng))</f>
        <v>7.401410761154855</v>
      </c>
      <c r="Z546" s="214">
        <f ca="1">+$W546</f>
        <v>0</v>
      </c>
      <c r="AA546" s="214">
        <f ca="1">+$Y546</f>
        <v>7.401410761154855</v>
      </c>
      <c r="AB546" s="214">
        <f ca="1">+$X546</f>
        <v>34.439632545931751</v>
      </c>
      <c r="AC546" s="214">
        <f ca="1">+$W546-XOffset</f>
        <v>0</v>
      </c>
    </row>
    <row r="547" spans="8:29" s="213" customFormat="1" ht="9" customHeight="1">
      <c r="H547" s="212"/>
      <c r="I547" s="212"/>
      <c r="S547" s="307"/>
      <c r="T547" s="226">
        <f t="shared" si="38"/>
        <v>544</v>
      </c>
      <c r="U547" s="224">
        <f t="shared" si="36"/>
        <v>0</v>
      </c>
      <c r="V547" s="225">
        <f t="shared" si="37"/>
        <v>1</v>
      </c>
      <c r="W547" s="239">
        <f ca="1">$U547*EWSpacingFt+XOffset+(PanArrayWidthHighEndFt-PanArrayWidthLowEndFt)/2</f>
        <v>0</v>
      </c>
      <c r="X547" s="243">
        <f ca="1">$V547*NSSpacingFt+YOffset+0</f>
        <v>17.999999999999989</v>
      </c>
      <c r="Y547" s="247">
        <f ca="1">+$V547*NSGradeFt+PedHeight+0</f>
        <v>7.401410761154855</v>
      </c>
      <c r="Z547" s="214">
        <f ca="1">+$W547</f>
        <v>0</v>
      </c>
      <c r="AA547" s="214">
        <f ca="1">+$Y547</f>
        <v>7.401410761154855</v>
      </c>
      <c r="AB547" s="214">
        <f ca="1">+$X547</f>
        <v>17.999999999999989</v>
      </c>
      <c r="AC547" s="214">
        <f ca="1">+$W547-XOffset</f>
        <v>0</v>
      </c>
    </row>
    <row r="548" spans="8:29" s="213" customFormat="1" ht="9" customHeight="1">
      <c r="H548" s="212"/>
      <c r="I548" s="212"/>
      <c r="S548" s="307"/>
      <c r="T548" s="226">
        <f t="shared" si="38"/>
        <v>545</v>
      </c>
      <c r="U548" s="224">
        <f t="shared" si="36"/>
        <v>0</v>
      </c>
      <c r="V548" s="225">
        <f t="shared" si="37"/>
        <v>1</v>
      </c>
      <c r="W548" s="217"/>
      <c r="X548" s="217"/>
      <c r="Y548" s="217"/>
      <c r="Z548" s="214"/>
      <c r="AA548" s="214"/>
      <c r="AB548" s="214"/>
      <c r="AC548" s="214"/>
    </row>
    <row r="549" spans="8:29" s="213" customFormat="1" ht="9" customHeight="1">
      <c r="H549" s="212"/>
      <c r="I549" s="212"/>
      <c r="S549" s="307">
        <f>INT((T549-0)/6)+1</f>
        <v>92</v>
      </c>
      <c r="T549" s="226">
        <f t="shared" si="38"/>
        <v>546</v>
      </c>
      <c r="U549" s="224">
        <f t="shared" si="36"/>
        <v>1</v>
      </c>
      <c r="V549" s="225">
        <f t="shared" si="37"/>
        <v>1</v>
      </c>
      <c r="W549" s="233">
        <f ca="1">$U549*EWSpacingFt+XOffset+(PanArrayWidthHighEndFt-PanArrayWidthLowEndFt)/2</f>
        <v>30.000006832286932</v>
      </c>
      <c r="X549" s="234">
        <f ca="1">$V549*NSSpacingFt+YOffset+0</f>
        <v>17.999999999999989</v>
      </c>
      <c r="Y549" s="235">
        <f ca="1">+$V549*NSGradeFt+PedHeight+0</f>
        <v>7.401410761154855</v>
      </c>
      <c r="Z549" s="214">
        <f ca="1">+$W549</f>
        <v>30.000006832286932</v>
      </c>
      <c r="AA549" s="214">
        <f ca="1">+$Y549</f>
        <v>7.401410761154855</v>
      </c>
      <c r="AB549" s="214">
        <f ca="1">+$X549</f>
        <v>17.999999999999989</v>
      </c>
      <c r="AC549" s="214">
        <f ca="1">+$W549-XOffset</f>
        <v>30.000006832286932</v>
      </c>
    </row>
    <row r="550" spans="8:29" s="213" customFormat="1" ht="9" customHeight="1">
      <c r="H550" s="212"/>
      <c r="I550" s="212"/>
      <c r="S550" s="307"/>
      <c r="T550" s="226">
        <f t="shared" si="38"/>
        <v>547</v>
      </c>
      <c r="U550" s="224">
        <f t="shared" si="36"/>
        <v>1</v>
      </c>
      <c r="V550" s="225">
        <f t="shared" si="37"/>
        <v>1</v>
      </c>
      <c r="W550" s="236">
        <f ca="1">+$U550*EWSpacingFt+XOffset+PanArrayWidthHighEndFt-(PanArrayWidthHighEndFt-PanArrayWidthLowEndFt)/2</f>
        <v>40.802828354596642</v>
      </c>
      <c r="X550" s="240">
        <f ca="1">$V550*NSSpacingFt+YOffset+0</f>
        <v>17.999999999999989</v>
      </c>
      <c r="Y550" s="244">
        <f ca="1">+$V550*NSGradeFt+PedHeight+0</f>
        <v>7.401410761154855</v>
      </c>
      <c r="Z550" s="214">
        <f ca="1">+$W550</f>
        <v>40.802828354596642</v>
      </c>
      <c r="AA550" s="214">
        <f ca="1">+$Y550</f>
        <v>7.401410761154855</v>
      </c>
      <c r="AB550" s="214">
        <f ca="1">+$X550</f>
        <v>17.999999999999989</v>
      </c>
      <c r="AC550" s="214">
        <f ca="1">+$W550-XOffset</f>
        <v>40.802828354596642</v>
      </c>
    </row>
    <row r="551" spans="8:29" s="213" customFormat="1" ht="9" customHeight="1">
      <c r="H551" s="212"/>
      <c r="I551" s="212"/>
      <c r="S551" s="307"/>
      <c r="T551" s="226">
        <f t="shared" si="38"/>
        <v>548</v>
      </c>
      <c r="U551" s="224">
        <f t="shared" si="36"/>
        <v>1</v>
      </c>
      <c r="V551" s="225">
        <f t="shared" si="37"/>
        <v>1</v>
      </c>
      <c r="W551" s="237">
        <f ca="1">$U551*EWSpacingFt+XOffset+PanArrayWidthHighEndFt</f>
        <v>40.802828354596642</v>
      </c>
      <c r="X551" s="241">
        <f ca="1">$V551*NSSpacingFt+YOffset+PanArrayLenFt*COS(RADIANS(Latitude+DecAng))</f>
        <v>34.439632545931751</v>
      </c>
      <c r="Y551" s="245">
        <f ca="1">+$V551*NSGradeFt+PedHeight+PanArrayLenFt*SIN(RADIANS(Latitude+DecAng))</f>
        <v>7.401410761154855</v>
      </c>
      <c r="Z551" s="214">
        <f ca="1">+$W551</f>
        <v>40.802828354596642</v>
      </c>
      <c r="AA551" s="214">
        <f ca="1">+$Y551</f>
        <v>7.401410761154855</v>
      </c>
      <c r="AB551" s="214">
        <f ca="1">+$X551</f>
        <v>34.439632545931751</v>
      </c>
      <c r="AC551" s="214">
        <f ca="1">+$W551-XOffset</f>
        <v>40.802828354596642</v>
      </c>
    </row>
    <row r="552" spans="8:29" s="213" customFormat="1" ht="9" customHeight="1">
      <c r="H552" s="212"/>
      <c r="I552" s="212"/>
      <c r="S552" s="307"/>
      <c r="T552" s="226">
        <f t="shared" si="38"/>
        <v>549</v>
      </c>
      <c r="U552" s="224">
        <f t="shared" si="36"/>
        <v>1</v>
      </c>
      <c r="V552" s="225">
        <f t="shared" si="37"/>
        <v>1</v>
      </c>
      <c r="W552" s="238">
        <f ca="1">$U552*EWSpacingFt+XOffset+0</f>
        <v>30.000006832286932</v>
      </c>
      <c r="X552" s="242">
        <f ca="1">$V552*NSSpacingFt+YOffset+PanArrayLenFt*COS(RADIANS(Latitude+DecAng))</f>
        <v>34.439632545931751</v>
      </c>
      <c r="Y552" s="246">
        <f ca="1">+$V552*NSGradeFt+PedHeight+PanArrayLenFt*SIN(RADIANS(Latitude+DecAng))</f>
        <v>7.401410761154855</v>
      </c>
      <c r="Z552" s="214">
        <f ca="1">+$W552</f>
        <v>30.000006832286932</v>
      </c>
      <c r="AA552" s="214">
        <f ca="1">+$Y552</f>
        <v>7.401410761154855</v>
      </c>
      <c r="AB552" s="214">
        <f ca="1">+$X552</f>
        <v>34.439632545931751</v>
      </c>
      <c r="AC552" s="214">
        <f ca="1">+$W552-XOffset</f>
        <v>30.000006832286932</v>
      </c>
    </row>
    <row r="553" spans="8:29" s="213" customFormat="1" ht="9" customHeight="1">
      <c r="H553" s="212"/>
      <c r="I553" s="212"/>
      <c r="S553" s="307"/>
      <c r="T553" s="226">
        <f t="shared" si="38"/>
        <v>550</v>
      </c>
      <c r="U553" s="224">
        <f t="shared" si="36"/>
        <v>1</v>
      </c>
      <c r="V553" s="225">
        <f t="shared" si="37"/>
        <v>1</v>
      </c>
      <c r="W553" s="239">
        <f ca="1">$U553*EWSpacingFt+XOffset+(PanArrayWidthHighEndFt-PanArrayWidthLowEndFt)/2</f>
        <v>30.000006832286932</v>
      </c>
      <c r="X553" s="243">
        <f ca="1">$V553*NSSpacingFt+YOffset+0</f>
        <v>17.999999999999989</v>
      </c>
      <c r="Y553" s="247">
        <f ca="1">+$V553*NSGradeFt+PedHeight+0</f>
        <v>7.401410761154855</v>
      </c>
      <c r="Z553" s="214">
        <f ca="1">+$W553</f>
        <v>30.000006832286932</v>
      </c>
      <c r="AA553" s="214">
        <f ca="1">+$Y553</f>
        <v>7.401410761154855</v>
      </c>
      <c r="AB553" s="214">
        <f ca="1">+$X553</f>
        <v>17.999999999999989</v>
      </c>
      <c r="AC553" s="214">
        <f ca="1">+$W553-XOffset</f>
        <v>30.000006832286932</v>
      </c>
    </row>
    <row r="554" spans="8:29" s="213" customFormat="1" ht="9" customHeight="1">
      <c r="H554" s="212"/>
      <c r="I554" s="212"/>
      <c r="S554" s="307"/>
      <c r="T554" s="226">
        <f t="shared" si="38"/>
        <v>551</v>
      </c>
      <c r="U554" s="224">
        <f t="shared" si="36"/>
        <v>1</v>
      </c>
      <c r="V554" s="225">
        <f t="shared" si="37"/>
        <v>1</v>
      </c>
      <c r="W554" s="217"/>
      <c r="X554" s="217"/>
      <c r="Y554" s="217"/>
      <c r="Z554" s="214"/>
      <c r="AA554" s="214"/>
      <c r="AB554" s="214"/>
      <c r="AC554" s="214"/>
    </row>
    <row r="555" spans="8:29" s="213" customFormat="1" ht="9" customHeight="1">
      <c r="H555" s="212"/>
      <c r="I555" s="212"/>
      <c r="S555" s="307">
        <f>INT((T555-0)/6)+1</f>
        <v>93</v>
      </c>
      <c r="T555" s="226">
        <f t="shared" si="38"/>
        <v>552</v>
      </c>
      <c r="U555" s="224">
        <f t="shared" si="36"/>
        <v>0</v>
      </c>
      <c r="V555" s="225">
        <f t="shared" si="37"/>
        <v>2</v>
      </c>
      <c r="W555" s="233">
        <f ca="1">$U555*EWSpacingFt+XOffset+(PanArrayWidthHighEndFt-PanArrayWidthLowEndFt)/2</f>
        <v>0</v>
      </c>
      <c r="X555" s="234">
        <f ca="1">$V555*NSSpacingFt+YOffset+0</f>
        <v>35.999999999999979</v>
      </c>
      <c r="Y555" s="235">
        <f ca="1">+$V555*NSGradeFt+PedHeight+0</f>
        <v>7.401410761154855</v>
      </c>
      <c r="Z555" s="214">
        <f ca="1">+$W555</f>
        <v>0</v>
      </c>
      <c r="AA555" s="214">
        <f ca="1">+$Y555</f>
        <v>7.401410761154855</v>
      </c>
      <c r="AB555" s="214">
        <f ca="1">+$X555</f>
        <v>35.999999999999979</v>
      </c>
      <c r="AC555" s="214">
        <f ca="1">+$W555-XOffset</f>
        <v>0</v>
      </c>
    </row>
    <row r="556" spans="8:29" s="213" customFormat="1" ht="9" customHeight="1">
      <c r="H556" s="212"/>
      <c r="I556" s="212"/>
      <c r="S556" s="307"/>
      <c r="T556" s="226">
        <f t="shared" si="38"/>
        <v>553</v>
      </c>
      <c r="U556" s="224">
        <f t="shared" si="36"/>
        <v>0</v>
      </c>
      <c r="V556" s="225">
        <f t="shared" si="37"/>
        <v>2</v>
      </c>
      <c r="W556" s="236">
        <f ca="1">+$U556*EWSpacingFt+XOffset+PanArrayWidthHighEndFt-(PanArrayWidthHighEndFt-PanArrayWidthLowEndFt)/2</f>
        <v>10.80282152230971</v>
      </c>
      <c r="X556" s="240">
        <f ca="1">$V556*NSSpacingFt+YOffset+0</f>
        <v>35.999999999999979</v>
      </c>
      <c r="Y556" s="244">
        <f ca="1">+$V556*NSGradeFt+PedHeight+0</f>
        <v>7.401410761154855</v>
      </c>
      <c r="Z556" s="214">
        <f ca="1">+$W556</f>
        <v>10.80282152230971</v>
      </c>
      <c r="AA556" s="214">
        <f ca="1">+$Y556</f>
        <v>7.401410761154855</v>
      </c>
      <c r="AB556" s="214">
        <f ca="1">+$X556</f>
        <v>35.999999999999979</v>
      </c>
      <c r="AC556" s="214">
        <f ca="1">+$W556-XOffset</f>
        <v>10.80282152230971</v>
      </c>
    </row>
    <row r="557" spans="8:29" s="213" customFormat="1" ht="9" customHeight="1">
      <c r="H557" s="212"/>
      <c r="I557" s="212"/>
      <c r="S557" s="307"/>
      <c r="T557" s="226">
        <f t="shared" si="38"/>
        <v>554</v>
      </c>
      <c r="U557" s="224">
        <f t="shared" si="36"/>
        <v>0</v>
      </c>
      <c r="V557" s="225">
        <f t="shared" si="37"/>
        <v>2</v>
      </c>
      <c r="W557" s="237">
        <f ca="1">$U557*EWSpacingFt+XOffset+PanArrayWidthHighEndFt</f>
        <v>10.80282152230971</v>
      </c>
      <c r="X557" s="241">
        <f ca="1">$V557*NSSpacingFt+YOffset+PanArrayLenFt*COS(RADIANS(Latitude+DecAng))</f>
        <v>52.439632545931744</v>
      </c>
      <c r="Y557" s="245">
        <f ca="1">+$V557*NSGradeFt+PedHeight+PanArrayLenFt*SIN(RADIANS(Latitude+DecAng))</f>
        <v>7.401410761154855</v>
      </c>
      <c r="Z557" s="214">
        <f ca="1">+$W557</f>
        <v>10.80282152230971</v>
      </c>
      <c r="AA557" s="214">
        <f ca="1">+$Y557</f>
        <v>7.401410761154855</v>
      </c>
      <c r="AB557" s="214">
        <f ca="1">+$X557</f>
        <v>52.439632545931744</v>
      </c>
      <c r="AC557" s="214">
        <f ca="1">+$W557-XOffset</f>
        <v>10.80282152230971</v>
      </c>
    </row>
    <row r="558" spans="8:29" s="213" customFormat="1" ht="9" customHeight="1">
      <c r="H558" s="212"/>
      <c r="I558" s="212"/>
      <c r="S558" s="307"/>
      <c r="T558" s="226">
        <f t="shared" si="38"/>
        <v>555</v>
      </c>
      <c r="U558" s="224">
        <f t="shared" si="36"/>
        <v>0</v>
      </c>
      <c r="V558" s="225">
        <f t="shared" si="37"/>
        <v>2</v>
      </c>
      <c r="W558" s="238">
        <f ca="1">$U558*EWSpacingFt+XOffset+0</f>
        <v>0</v>
      </c>
      <c r="X558" s="242">
        <f ca="1">$V558*NSSpacingFt+YOffset+PanArrayLenFt*COS(RADIANS(Latitude+DecAng))</f>
        <v>52.439632545931744</v>
      </c>
      <c r="Y558" s="246">
        <f ca="1">+$V558*NSGradeFt+PedHeight+PanArrayLenFt*SIN(RADIANS(Latitude+DecAng))</f>
        <v>7.401410761154855</v>
      </c>
      <c r="Z558" s="214">
        <f ca="1">+$W558</f>
        <v>0</v>
      </c>
      <c r="AA558" s="214">
        <f ca="1">+$Y558</f>
        <v>7.401410761154855</v>
      </c>
      <c r="AB558" s="214">
        <f ca="1">+$X558</f>
        <v>52.439632545931744</v>
      </c>
      <c r="AC558" s="214">
        <f ca="1">+$W558-XOffset</f>
        <v>0</v>
      </c>
    </row>
    <row r="559" spans="8:29" s="213" customFormat="1" ht="9" customHeight="1">
      <c r="H559" s="212"/>
      <c r="I559" s="212"/>
      <c r="S559" s="307"/>
      <c r="T559" s="226">
        <f t="shared" si="38"/>
        <v>556</v>
      </c>
      <c r="U559" s="224">
        <f t="shared" si="36"/>
        <v>0</v>
      </c>
      <c r="V559" s="225">
        <f t="shared" si="37"/>
        <v>2</v>
      </c>
      <c r="W559" s="239">
        <f ca="1">$U559*EWSpacingFt+XOffset+(PanArrayWidthHighEndFt-PanArrayWidthLowEndFt)/2</f>
        <v>0</v>
      </c>
      <c r="X559" s="243">
        <f ca="1">$V559*NSSpacingFt+YOffset+0</f>
        <v>35.999999999999979</v>
      </c>
      <c r="Y559" s="247">
        <f ca="1">+$V559*NSGradeFt+PedHeight+0</f>
        <v>7.401410761154855</v>
      </c>
      <c r="Z559" s="214">
        <f ca="1">+$W559</f>
        <v>0</v>
      </c>
      <c r="AA559" s="214">
        <f ca="1">+$Y559</f>
        <v>7.401410761154855</v>
      </c>
      <c r="AB559" s="214">
        <f ca="1">+$X559</f>
        <v>35.999999999999979</v>
      </c>
      <c r="AC559" s="214">
        <f ca="1">+$W559-XOffset</f>
        <v>0</v>
      </c>
    </row>
    <row r="560" spans="8:29" s="213" customFormat="1" ht="9" customHeight="1">
      <c r="H560" s="212"/>
      <c r="I560" s="212"/>
      <c r="S560" s="307"/>
      <c r="T560" s="226">
        <f t="shared" si="38"/>
        <v>557</v>
      </c>
      <c r="U560" s="224">
        <f t="shared" si="36"/>
        <v>0</v>
      </c>
      <c r="V560" s="225">
        <f t="shared" si="37"/>
        <v>2</v>
      </c>
      <c r="W560" s="217"/>
      <c r="X560" s="217"/>
      <c r="Y560" s="217"/>
      <c r="Z560" s="214"/>
      <c r="AA560" s="214"/>
      <c r="AB560" s="214"/>
      <c r="AC560" s="214"/>
    </row>
    <row r="561" spans="8:29" s="213" customFormat="1" ht="9" customHeight="1">
      <c r="H561" s="212"/>
      <c r="I561" s="212"/>
      <c r="S561" s="307">
        <f>INT((T561-0)/6)+1</f>
        <v>94</v>
      </c>
      <c r="T561" s="226">
        <f t="shared" si="38"/>
        <v>558</v>
      </c>
      <c r="U561" s="224">
        <f t="shared" si="36"/>
        <v>1</v>
      </c>
      <c r="V561" s="225">
        <f t="shared" si="37"/>
        <v>2</v>
      </c>
      <c r="W561" s="233">
        <f ca="1">$U561*EWSpacingFt+XOffset+(PanArrayWidthHighEndFt-PanArrayWidthLowEndFt)/2</f>
        <v>30.000006832286932</v>
      </c>
      <c r="X561" s="234">
        <f ca="1">$V561*NSSpacingFt+YOffset+0</f>
        <v>35.999999999999979</v>
      </c>
      <c r="Y561" s="235">
        <f ca="1">+$V561*NSGradeFt+PedHeight+0</f>
        <v>7.401410761154855</v>
      </c>
      <c r="Z561" s="214">
        <f ca="1">+$W561</f>
        <v>30.000006832286932</v>
      </c>
      <c r="AA561" s="214">
        <f ca="1">+$Y561</f>
        <v>7.401410761154855</v>
      </c>
      <c r="AB561" s="214">
        <f ca="1">+$X561</f>
        <v>35.999999999999979</v>
      </c>
      <c r="AC561" s="214">
        <f ca="1">+$W561-XOffset</f>
        <v>30.000006832286932</v>
      </c>
    </row>
    <row r="562" spans="8:29" s="213" customFormat="1" ht="9" customHeight="1">
      <c r="H562" s="212"/>
      <c r="I562" s="212"/>
      <c r="S562" s="307"/>
      <c r="T562" s="226">
        <f t="shared" si="38"/>
        <v>559</v>
      </c>
      <c r="U562" s="224">
        <f t="shared" si="36"/>
        <v>1</v>
      </c>
      <c r="V562" s="225">
        <f t="shared" si="37"/>
        <v>2</v>
      </c>
      <c r="W562" s="236">
        <f ca="1">+$U562*EWSpacingFt+XOffset+PanArrayWidthHighEndFt-(PanArrayWidthHighEndFt-PanArrayWidthLowEndFt)/2</f>
        <v>40.802828354596642</v>
      </c>
      <c r="X562" s="240">
        <f ca="1">$V562*NSSpacingFt+YOffset+0</f>
        <v>35.999999999999979</v>
      </c>
      <c r="Y562" s="244">
        <f ca="1">+$V562*NSGradeFt+PedHeight+0</f>
        <v>7.401410761154855</v>
      </c>
      <c r="Z562" s="214">
        <f ca="1">+$W562</f>
        <v>40.802828354596642</v>
      </c>
      <c r="AA562" s="214">
        <f ca="1">+$Y562</f>
        <v>7.401410761154855</v>
      </c>
      <c r="AB562" s="214">
        <f ca="1">+$X562</f>
        <v>35.999999999999979</v>
      </c>
      <c r="AC562" s="214">
        <f ca="1">+$W562-XOffset</f>
        <v>40.802828354596642</v>
      </c>
    </row>
    <row r="563" spans="8:29" s="213" customFormat="1" ht="9" customHeight="1">
      <c r="H563" s="212"/>
      <c r="I563" s="212"/>
      <c r="S563" s="307"/>
      <c r="T563" s="226">
        <f t="shared" si="38"/>
        <v>560</v>
      </c>
      <c r="U563" s="224">
        <f t="shared" si="36"/>
        <v>1</v>
      </c>
      <c r="V563" s="225">
        <f t="shared" si="37"/>
        <v>2</v>
      </c>
      <c r="W563" s="237">
        <f ca="1">$U563*EWSpacingFt+XOffset+PanArrayWidthHighEndFt</f>
        <v>40.802828354596642</v>
      </c>
      <c r="X563" s="241">
        <f ca="1">$V563*NSSpacingFt+YOffset+PanArrayLenFt*COS(RADIANS(Latitude+DecAng))</f>
        <v>52.439632545931744</v>
      </c>
      <c r="Y563" s="245">
        <f ca="1">+$V563*NSGradeFt+PedHeight+PanArrayLenFt*SIN(RADIANS(Latitude+DecAng))</f>
        <v>7.401410761154855</v>
      </c>
      <c r="Z563" s="214">
        <f ca="1">+$W563</f>
        <v>40.802828354596642</v>
      </c>
      <c r="AA563" s="214">
        <f ca="1">+$Y563</f>
        <v>7.401410761154855</v>
      </c>
      <c r="AB563" s="214">
        <f ca="1">+$X563</f>
        <v>52.439632545931744</v>
      </c>
      <c r="AC563" s="214">
        <f ca="1">+$W563-XOffset</f>
        <v>40.802828354596642</v>
      </c>
    </row>
    <row r="564" spans="8:29" s="213" customFormat="1" ht="9" customHeight="1">
      <c r="H564" s="212"/>
      <c r="I564" s="212"/>
      <c r="S564" s="307"/>
      <c r="T564" s="226">
        <f t="shared" si="38"/>
        <v>561</v>
      </c>
      <c r="U564" s="224">
        <f t="shared" si="36"/>
        <v>1</v>
      </c>
      <c r="V564" s="225">
        <f t="shared" si="37"/>
        <v>2</v>
      </c>
      <c r="W564" s="238">
        <f ca="1">$U564*EWSpacingFt+XOffset+0</f>
        <v>30.000006832286932</v>
      </c>
      <c r="X564" s="242">
        <f ca="1">$V564*NSSpacingFt+YOffset+PanArrayLenFt*COS(RADIANS(Latitude+DecAng))</f>
        <v>52.439632545931744</v>
      </c>
      <c r="Y564" s="246">
        <f ca="1">+$V564*NSGradeFt+PedHeight+PanArrayLenFt*SIN(RADIANS(Latitude+DecAng))</f>
        <v>7.401410761154855</v>
      </c>
      <c r="Z564" s="214">
        <f ca="1">+$W564</f>
        <v>30.000006832286932</v>
      </c>
      <c r="AA564" s="214">
        <f ca="1">+$Y564</f>
        <v>7.401410761154855</v>
      </c>
      <c r="AB564" s="214">
        <f ca="1">+$X564</f>
        <v>52.439632545931744</v>
      </c>
      <c r="AC564" s="214">
        <f ca="1">+$W564-XOffset</f>
        <v>30.000006832286932</v>
      </c>
    </row>
    <row r="565" spans="8:29" s="213" customFormat="1" ht="9" customHeight="1">
      <c r="H565" s="212"/>
      <c r="I565" s="212"/>
      <c r="S565" s="307"/>
      <c r="T565" s="226">
        <f t="shared" si="38"/>
        <v>562</v>
      </c>
      <c r="U565" s="224">
        <f t="shared" si="36"/>
        <v>1</v>
      </c>
      <c r="V565" s="225">
        <f t="shared" si="37"/>
        <v>2</v>
      </c>
      <c r="W565" s="239">
        <f ca="1">$U565*EWSpacingFt+XOffset+(PanArrayWidthHighEndFt-PanArrayWidthLowEndFt)/2</f>
        <v>30.000006832286932</v>
      </c>
      <c r="X565" s="243">
        <f ca="1">$V565*NSSpacingFt+YOffset+0</f>
        <v>35.999999999999979</v>
      </c>
      <c r="Y565" s="247">
        <f ca="1">+$V565*NSGradeFt+PedHeight+0</f>
        <v>7.401410761154855</v>
      </c>
      <c r="Z565" s="214">
        <f ca="1">+$W565</f>
        <v>30.000006832286932</v>
      </c>
      <c r="AA565" s="214">
        <f ca="1">+$Y565</f>
        <v>7.401410761154855</v>
      </c>
      <c r="AB565" s="214">
        <f ca="1">+$X565</f>
        <v>35.999999999999979</v>
      </c>
      <c r="AC565" s="214">
        <f ca="1">+$W565-XOffset</f>
        <v>30.000006832286932</v>
      </c>
    </row>
    <row r="566" spans="8:29" s="213" customFormat="1" ht="9" customHeight="1">
      <c r="H566" s="212"/>
      <c r="I566" s="212"/>
      <c r="S566" s="307"/>
      <c r="T566" s="226">
        <f t="shared" si="38"/>
        <v>563</v>
      </c>
      <c r="U566" s="224">
        <f t="shared" si="36"/>
        <v>1</v>
      </c>
      <c r="V566" s="225">
        <f t="shared" si="37"/>
        <v>2</v>
      </c>
      <c r="W566" s="217"/>
      <c r="X566" s="217"/>
      <c r="Y566" s="217"/>
      <c r="Z566" s="214"/>
      <c r="AA566" s="214"/>
      <c r="AB566" s="214"/>
      <c r="AC566" s="214"/>
    </row>
    <row r="567" spans="8:29" s="213" customFormat="1" ht="9" customHeight="1">
      <c r="H567" s="212"/>
      <c r="I567" s="212"/>
      <c r="S567" s="307">
        <f>INT((T567-0)/6)+1</f>
        <v>95</v>
      </c>
      <c r="T567" s="226">
        <f t="shared" si="38"/>
        <v>564</v>
      </c>
      <c r="U567" s="224">
        <f t="shared" si="36"/>
        <v>0</v>
      </c>
      <c r="V567" s="225">
        <f t="shared" si="37"/>
        <v>3</v>
      </c>
      <c r="W567" s="233">
        <f ca="1">$U567*EWSpacingFt+XOffset+(PanArrayWidthHighEndFt-PanArrayWidthLowEndFt)/2</f>
        <v>0</v>
      </c>
      <c r="X567" s="234">
        <f ca="1">$V567*NSSpacingFt+YOffset+0</f>
        <v>53.999999999999972</v>
      </c>
      <c r="Y567" s="235">
        <f ca="1">+$V567*NSGradeFt+PedHeight+0</f>
        <v>7.401410761154855</v>
      </c>
      <c r="Z567" s="214">
        <f ca="1">+$W567</f>
        <v>0</v>
      </c>
      <c r="AA567" s="214">
        <f ca="1">+$Y567</f>
        <v>7.401410761154855</v>
      </c>
      <c r="AB567" s="214">
        <f ca="1">+$X567</f>
        <v>53.999999999999972</v>
      </c>
      <c r="AC567" s="214">
        <f ca="1">+$W567-XOffset</f>
        <v>0</v>
      </c>
    </row>
    <row r="568" spans="8:29" s="213" customFormat="1" ht="9" customHeight="1">
      <c r="H568" s="212"/>
      <c r="I568" s="212"/>
      <c r="S568" s="307"/>
      <c r="T568" s="226">
        <f t="shared" si="38"/>
        <v>565</v>
      </c>
      <c r="U568" s="224">
        <f t="shared" si="36"/>
        <v>0</v>
      </c>
      <c r="V568" s="225">
        <f t="shared" si="37"/>
        <v>3</v>
      </c>
      <c r="W568" s="236">
        <f ca="1">+$U568*EWSpacingFt+XOffset+PanArrayWidthHighEndFt-(PanArrayWidthHighEndFt-PanArrayWidthLowEndFt)/2</f>
        <v>10.80282152230971</v>
      </c>
      <c r="X568" s="240">
        <f ca="1">$V568*NSSpacingFt+YOffset+0</f>
        <v>53.999999999999972</v>
      </c>
      <c r="Y568" s="244">
        <f ca="1">+$V568*NSGradeFt+PedHeight+0</f>
        <v>7.401410761154855</v>
      </c>
      <c r="Z568" s="214">
        <f ca="1">+$W568</f>
        <v>10.80282152230971</v>
      </c>
      <c r="AA568" s="214">
        <f ca="1">+$Y568</f>
        <v>7.401410761154855</v>
      </c>
      <c r="AB568" s="214">
        <f ca="1">+$X568</f>
        <v>53.999999999999972</v>
      </c>
      <c r="AC568" s="214">
        <f ca="1">+$W568-XOffset</f>
        <v>10.80282152230971</v>
      </c>
    </row>
    <row r="569" spans="8:29" s="213" customFormat="1" ht="9" customHeight="1">
      <c r="H569" s="212"/>
      <c r="I569" s="212"/>
      <c r="S569" s="307"/>
      <c r="T569" s="226">
        <f t="shared" si="38"/>
        <v>566</v>
      </c>
      <c r="U569" s="224">
        <f t="shared" si="36"/>
        <v>0</v>
      </c>
      <c r="V569" s="225">
        <f t="shared" si="37"/>
        <v>3</v>
      </c>
      <c r="W569" s="237">
        <f ca="1">$U569*EWSpacingFt+XOffset+PanArrayWidthHighEndFt</f>
        <v>10.80282152230971</v>
      </c>
      <c r="X569" s="241">
        <f ca="1">$V569*NSSpacingFt+YOffset+PanArrayLenFt*COS(RADIANS(Latitude+DecAng))</f>
        <v>70.43963254593173</v>
      </c>
      <c r="Y569" s="245">
        <f ca="1">+$V569*NSGradeFt+PedHeight+PanArrayLenFt*SIN(RADIANS(Latitude+DecAng))</f>
        <v>7.401410761154855</v>
      </c>
      <c r="Z569" s="214">
        <f ca="1">+$W569</f>
        <v>10.80282152230971</v>
      </c>
      <c r="AA569" s="214">
        <f ca="1">+$Y569</f>
        <v>7.401410761154855</v>
      </c>
      <c r="AB569" s="214">
        <f ca="1">+$X569</f>
        <v>70.43963254593173</v>
      </c>
      <c r="AC569" s="214">
        <f ca="1">+$W569-XOffset</f>
        <v>10.80282152230971</v>
      </c>
    </row>
    <row r="570" spans="8:29" s="213" customFormat="1" ht="9" customHeight="1">
      <c r="H570" s="212"/>
      <c r="I570" s="212"/>
      <c r="S570" s="307"/>
      <c r="T570" s="226">
        <f t="shared" si="38"/>
        <v>567</v>
      </c>
      <c r="U570" s="224">
        <f t="shared" si="36"/>
        <v>0</v>
      </c>
      <c r="V570" s="225">
        <f t="shared" si="37"/>
        <v>3</v>
      </c>
      <c r="W570" s="238">
        <f ca="1">$U570*EWSpacingFt+XOffset+0</f>
        <v>0</v>
      </c>
      <c r="X570" s="242">
        <f ca="1">$V570*NSSpacingFt+YOffset+PanArrayLenFt*COS(RADIANS(Latitude+DecAng))</f>
        <v>70.43963254593173</v>
      </c>
      <c r="Y570" s="246">
        <f ca="1">+$V570*NSGradeFt+PedHeight+PanArrayLenFt*SIN(RADIANS(Latitude+DecAng))</f>
        <v>7.401410761154855</v>
      </c>
      <c r="Z570" s="214">
        <f ca="1">+$W570</f>
        <v>0</v>
      </c>
      <c r="AA570" s="214">
        <f ca="1">+$Y570</f>
        <v>7.401410761154855</v>
      </c>
      <c r="AB570" s="214">
        <f ca="1">+$X570</f>
        <v>70.43963254593173</v>
      </c>
      <c r="AC570" s="214">
        <f ca="1">+$W570-XOffset</f>
        <v>0</v>
      </c>
    </row>
    <row r="571" spans="8:29" s="213" customFormat="1" ht="9" customHeight="1">
      <c r="H571" s="212"/>
      <c r="I571" s="212"/>
      <c r="S571" s="307"/>
      <c r="T571" s="226">
        <f t="shared" si="38"/>
        <v>568</v>
      </c>
      <c r="U571" s="224">
        <f t="shared" si="36"/>
        <v>0</v>
      </c>
      <c r="V571" s="225">
        <f t="shared" si="37"/>
        <v>3</v>
      </c>
      <c r="W571" s="239">
        <f ca="1">$U571*EWSpacingFt+XOffset+(PanArrayWidthHighEndFt-PanArrayWidthLowEndFt)/2</f>
        <v>0</v>
      </c>
      <c r="X571" s="243">
        <f ca="1">$V571*NSSpacingFt+YOffset+0</f>
        <v>53.999999999999972</v>
      </c>
      <c r="Y571" s="247">
        <f ca="1">+$V571*NSGradeFt+PedHeight+0</f>
        <v>7.401410761154855</v>
      </c>
      <c r="Z571" s="214">
        <f ca="1">+$W571</f>
        <v>0</v>
      </c>
      <c r="AA571" s="214">
        <f ca="1">+$Y571</f>
        <v>7.401410761154855</v>
      </c>
      <c r="AB571" s="214">
        <f ca="1">+$X571</f>
        <v>53.999999999999972</v>
      </c>
      <c r="AC571" s="214">
        <f ca="1">+$W571-XOffset</f>
        <v>0</v>
      </c>
    </row>
    <row r="572" spans="8:29" s="213" customFormat="1" ht="9" customHeight="1">
      <c r="H572" s="212"/>
      <c r="I572" s="212"/>
      <c r="S572" s="307"/>
      <c r="T572" s="226">
        <f t="shared" si="38"/>
        <v>569</v>
      </c>
      <c r="U572" s="224">
        <f t="shared" si="36"/>
        <v>0</v>
      </c>
      <c r="V572" s="225">
        <f t="shared" si="37"/>
        <v>3</v>
      </c>
      <c r="W572" s="217"/>
      <c r="X572" s="217"/>
      <c r="Y572" s="217"/>
      <c r="Z572" s="214"/>
      <c r="AA572" s="214"/>
      <c r="AB572" s="214"/>
      <c r="AC572" s="214"/>
    </row>
    <row r="573" spans="8:29" s="213" customFormat="1" ht="9" customHeight="1">
      <c r="H573" s="212"/>
      <c r="I573" s="212"/>
      <c r="S573" s="307">
        <f>INT((T573-0)/6)+1</f>
        <v>96</v>
      </c>
      <c r="T573" s="226">
        <f t="shared" si="38"/>
        <v>570</v>
      </c>
      <c r="U573" s="224">
        <f t="shared" si="36"/>
        <v>1</v>
      </c>
      <c r="V573" s="225">
        <f t="shared" si="37"/>
        <v>3</v>
      </c>
      <c r="W573" s="233">
        <f ca="1">$U573*EWSpacingFt+XOffset+(PanArrayWidthHighEndFt-PanArrayWidthLowEndFt)/2</f>
        <v>30.000006832286932</v>
      </c>
      <c r="X573" s="234">
        <f ca="1">$V573*NSSpacingFt+YOffset+0</f>
        <v>53.999999999999972</v>
      </c>
      <c r="Y573" s="235">
        <f ca="1">+$V573*NSGradeFt+PedHeight+0</f>
        <v>7.401410761154855</v>
      </c>
      <c r="Z573" s="214">
        <f ca="1">+$W573</f>
        <v>30.000006832286932</v>
      </c>
      <c r="AA573" s="214">
        <f ca="1">+$Y573</f>
        <v>7.401410761154855</v>
      </c>
      <c r="AB573" s="214">
        <f ca="1">+$X573</f>
        <v>53.999999999999972</v>
      </c>
      <c r="AC573" s="214">
        <f ca="1">+$W573-XOffset</f>
        <v>30.000006832286932</v>
      </c>
    </row>
    <row r="574" spans="8:29" s="213" customFormat="1" ht="9" customHeight="1">
      <c r="H574" s="212"/>
      <c r="I574" s="212"/>
      <c r="S574" s="307"/>
      <c r="T574" s="226">
        <f t="shared" si="38"/>
        <v>571</v>
      </c>
      <c r="U574" s="224">
        <f t="shared" si="36"/>
        <v>1</v>
      </c>
      <c r="V574" s="225">
        <f t="shared" si="37"/>
        <v>3</v>
      </c>
      <c r="W574" s="236">
        <f ca="1">+$U574*EWSpacingFt+XOffset+PanArrayWidthHighEndFt-(PanArrayWidthHighEndFt-PanArrayWidthLowEndFt)/2</f>
        <v>40.802828354596642</v>
      </c>
      <c r="X574" s="240">
        <f ca="1">$V574*NSSpacingFt+YOffset+0</f>
        <v>53.999999999999972</v>
      </c>
      <c r="Y574" s="244">
        <f ca="1">+$V574*NSGradeFt+PedHeight+0</f>
        <v>7.401410761154855</v>
      </c>
      <c r="Z574" s="214">
        <f ca="1">+$W574</f>
        <v>40.802828354596642</v>
      </c>
      <c r="AA574" s="214">
        <f ca="1">+$Y574</f>
        <v>7.401410761154855</v>
      </c>
      <c r="AB574" s="214">
        <f ca="1">+$X574</f>
        <v>53.999999999999972</v>
      </c>
      <c r="AC574" s="214">
        <f ca="1">+$W574-XOffset</f>
        <v>40.802828354596642</v>
      </c>
    </row>
    <row r="575" spans="8:29" s="213" customFormat="1" ht="9" customHeight="1">
      <c r="H575" s="212"/>
      <c r="I575" s="212"/>
      <c r="S575" s="307"/>
      <c r="T575" s="226">
        <f t="shared" si="38"/>
        <v>572</v>
      </c>
      <c r="U575" s="224">
        <f t="shared" si="36"/>
        <v>1</v>
      </c>
      <c r="V575" s="225">
        <f t="shared" si="37"/>
        <v>3</v>
      </c>
      <c r="W575" s="237">
        <f ca="1">$U575*EWSpacingFt+XOffset+PanArrayWidthHighEndFt</f>
        <v>40.802828354596642</v>
      </c>
      <c r="X575" s="241">
        <f ca="1">$V575*NSSpacingFt+YOffset+PanArrayLenFt*COS(RADIANS(Latitude+DecAng))</f>
        <v>70.43963254593173</v>
      </c>
      <c r="Y575" s="245">
        <f ca="1">+$V575*NSGradeFt+PedHeight+PanArrayLenFt*SIN(RADIANS(Latitude+DecAng))</f>
        <v>7.401410761154855</v>
      </c>
      <c r="Z575" s="214">
        <f ca="1">+$W575</f>
        <v>40.802828354596642</v>
      </c>
      <c r="AA575" s="214">
        <f ca="1">+$Y575</f>
        <v>7.401410761154855</v>
      </c>
      <c r="AB575" s="214">
        <f ca="1">+$X575</f>
        <v>70.43963254593173</v>
      </c>
      <c r="AC575" s="214">
        <f ca="1">+$W575-XOffset</f>
        <v>40.802828354596642</v>
      </c>
    </row>
    <row r="576" spans="8:29" s="213" customFormat="1" ht="9" customHeight="1">
      <c r="H576" s="212"/>
      <c r="I576" s="212"/>
      <c r="S576" s="307"/>
      <c r="T576" s="226">
        <f t="shared" si="38"/>
        <v>573</v>
      </c>
      <c r="U576" s="224">
        <f t="shared" si="36"/>
        <v>1</v>
      </c>
      <c r="V576" s="225">
        <f t="shared" si="37"/>
        <v>3</v>
      </c>
      <c r="W576" s="238">
        <f ca="1">$U576*EWSpacingFt+XOffset+0</f>
        <v>30.000006832286932</v>
      </c>
      <c r="X576" s="242">
        <f ca="1">$V576*NSSpacingFt+YOffset+PanArrayLenFt*COS(RADIANS(Latitude+DecAng))</f>
        <v>70.43963254593173</v>
      </c>
      <c r="Y576" s="246">
        <f ca="1">+$V576*NSGradeFt+PedHeight+PanArrayLenFt*SIN(RADIANS(Latitude+DecAng))</f>
        <v>7.401410761154855</v>
      </c>
      <c r="Z576" s="214">
        <f ca="1">+$W576</f>
        <v>30.000006832286932</v>
      </c>
      <c r="AA576" s="214">
        <f ca="1">+$Y576</f>
        <v>7.401410761154855</v>
      </c>
      <c r="AB576" s="214">
        <f ca="1">+$X576</f>
        <v>70.43963254593173</v>
      </c>
      <c r="AC576" s="214">
        <f ca="1">+$W576-XOffset</f>
        <v>30.000006832286932</v>
      </c>
    </row>
    <row r="577" spans="8:29" s="213" customFormat="1" ht="9" customHeight="1">
      <c r="H577" s="212"/>
      <c r="I577" s="212"/>
      <c r="S577" s="307"/>
      <c r="T577" s="226">
        <f t="shared" si="38"/>
        <v>574</v>
      </c>
      <c r="U577" s="224">
        <f t="shared" si="36"/>
        <v>1</v>
      </c>
      <c r="V577" s="225">
        <f t="shared" si="37"/>
        <v>3</v>
      </c>
      <c r="W577" s="239">
        <f ca="1">$U577*EWSpacingFt+XOffset+(PanArrayWidthHighEndFt-PanArrayWidthLowEndFt)/2</f>
        <v>30.000006832286932</v>
      </c>
      <c r="X577" s="243">
        <f ca="1">$V577*NSSpacingFt+YOffset+0</f>
        <v>53.999999999999972</v>
      </c>
      <c r="Y577" s="247">
        <f ca="1">+$V577*NSGradeFt+PedHeight+0</f>
        <v>7.401410761154855</v>
      </c>
      <c r="Z577" s="214">
        <f ca="1">+$W577</f>
        <v>30.000006832286932</v>
      </c>
      <c r="AA577" s="214">
        <f ca="1">+$Y577</f>
        <v>7.401410761154855</v>
      </c>
      <c r="AB577" s="214">
        <f ca="1">+$X577</f>
        <v>53.999999999999972</v>
      </c>
      <c r="AC577" s="214">
        <f ca="1">+$W577-XOffset</f>
        <v>30.000006832286932</v>
      </c>
    </row>
    <row r="578" spans="8:29" s="213" customFormat="1" ht="9" customHeight="1">
      <c r="H578" s="212"/>
      <c r="I578" s="212"/>
      <c r="S578" s="307"/>
      <c r="T578" s="226">
        <f t="shared" si="38"/>
        <v>575</v>
      </c>
      <c r="U578" s="224">
        <f t="shared" si="36"/>
        <v>1</v>
      </c>
      <c r="V578" s="225">
        <f t="shared" si="37"/>
        <v>3</v>
      </c>
      <c r="W578" s="217"/>
      <c r="X578" s="217"/>
      <c r="Y578" s="217"/>
      <c r="Z578" s="214"/>
      <c r="AA578" s="214"/>
      <c r="AB578" s="214"/>
      <c r="AC578" s="214"/>
    </row>
    <row r="579" spans="8:29" s="213" customFormat="1" ht="9" customHeight="1">
      <c r="H579" s="212"/>
      <c r="I579" s="212"/>
      <c r="S579" s="307">
        <f>INT((T579-0)/6)+1</f>
        <v>97</v>
      </c>
      <c r="T579" s="226">
        <f t="shared" si="38"/>
        <v>576</v>
      </c>
      <c r="U579" s="224">
        <f t="shared" ref="U579:U642" si="39">+MOD(INT(T579/6),ColumnsOfMounts)</f>
        <v>0</v>
      </c>
      <c r="V579" s="225">
        <f t="shared" ref="V579:V642" si="40">+MOD(INT(T579/6/ColumnsOfMounts),RowsOfMounts)</f>
        <v>0</v>
      </c>
      <c r="W579" s="233">
        <f ca="1">$U579*EWSpacingFt+XOffset+(PanArrayWidthHighEndFt-PanArrayWidthLowEndFt)/2</f>
        <v>0</v>
      </c>
      <c r="X579" s="234">
        <f ca="1">$V579*NSSpacingFt+YOffset+0</f>
        <v>0</v>
      </c>
      <c r="Y579" s="235">
        <f ca="1">+$V579*NSGradeFt+PedHeight+0</f>
        <v>7.401410761154855</v>
      </c>
      <c r="Z579" s="214">
        <f ca="1">+$W579</f>
        <v>0</v>
      </c>
      <c r="AA579" s="214">
        <f ca="1">+$Y579</f>
        <v>7.401410761154855</v>
      </c>
      <c r="AB579" s="214">
        <f ca="1">+$X579</f>
        <v>0</v>
      </c>
      <c r="AC579" s="214">
        <f ca="1">+$W579-XOffset</f>
        <v>0</v>
      </c>
    </row>
    <row r="580" spans="8:29" s="213" customFormat="1" ht="9" customHeight="1">
      <c r="H580" s="212"/>
      <c r="I580" s="212"/>
      <c r="S580" s="307"/>
      <c r="T580" s="226">
        <f t="shared" si="38"/>
        <v>577</v>
      </c>
      <c r="U580" s="224">
        <f t="shared" si="39"/>
        <v>0</v>
      </c>
      <c r="V580" s="225">
        <f t="shared" si="40"/>
        <v>0</v>
      </c>
      <c r="W580" s="236">
        <f ca="1">+$U580*EWSpacingFt+XOffset+PanArrayWidthHighEndFt-(PanArrayWidthHighEndFt-PanArrayWidthLowEndFt)/2</f>
        <v>10.80282152230971</v>
      </c>
      <c r="X580" s="240">
        <f ca="1">$V580*NSSpacingFt+YOffset+0</f>
        <v>0</v>
      </c>
      <c r="Y580" s="244">
        <f ca="1">+$V580*NSGradeFt+PedHeight+0</f>
        <v>7.401410761154855</v>
      </c>
      <c r="Z580" s="214">
        <f ca="1">+$W580</f>
        <v>10.80282152230971</v>
      </c>
      <c r="AA580" s="214">
        <f ca="1">+$Y580</f>
        <v>7.401410761154855</v>
      </c>
      <c r="AB580" s="214">
        <f ca="1">+$X580</f>
        <v>0</v>
      </c>
      <c r="AC580" s="214">
        <f ca="1">+$W580-XOffset</f>
        <v>10.80282152230971</v>
      </c>
    </row>
    <row r="581" spans="8:29" s="213" customFormat="1" ht="9" customHeight="1">
      <c r="H581" s="212"/>
      <c r="I581" s="212"/>
      <c r="S581" s="307"/>
      <c r="T581" s="226">
        <f t="shared" si="38"/>
        <v>578</v>
      </c>
      <c r="U581" s="224">
        <f t="shared" si="39"/>
        <v>0</v>
      </c>
      <c r="V581" s="225">
        <f t="shared" si="40"/>
        <v>0</v>
      </c>
      <c r="W581" s="237">
        <f ca="1">$U581*EWSpacingFt+XOffset+PanArrayWidthHighEndFt</f>
        <v>10.80282152230971</v>
      </c>
      <c r="X581" s="241">
        <f ca="1">$V581*NSSpacingFt+YOffset+PanArrayLenFt*COS(RADIANS(Latitude+DecAng))</f>
        <v>16.439632545931762</v>
      </c>
      <c r="Y581" s="245">
        <f ca="1">+$V581*NSGradeFt+PedHeight+PanArrayLenFt*SIN(RADIANS(Latitude+DecAng))</f>
        <v>7.401410761154855</v>
      </c>
      <c r="Z581" s="214">
        <f ca="1">+$W581</f>
        <v>10.80282152230971</v>
      </c>
      <c r="AA581" s="214">
        <f ca="1">+$Y581</f>
        <v>7.401410761154855</v>
      </c>
      <c r="AB581" s="214">
        <f ca="1">+$X581</f>
        <v>16.439632545931762</v>
      </c>
      <c r="AC581" s="214">
        <f ca="1">+$W581-XOffset</f>
        <v>10.80282152230971</v>
      </c>
    </row>
    <row r="582" spans="8:29" s="213" customFormat="1" ht="9" customHeight="1">
      <c r="H582" s="212"/>
      <c r="I582" s="212"/>
      <c r="S582" s="307"/>
      <c r="T582" s="226">
        <f t="shared" si="38"/>
        <v>579</v>
      </c>
      <c r="U582" s="224">
        <f t="shared" si="39"/>
        <v>0</v>
      </c>
      <c r="V582" s="225">
        <f t="shared" si="40"/>
        <v>0</v>
      </c>
      <c r="W582" s="238">
        <f ca="1">$U582*EWSpacingFt+XOffset+0</f>
        <v>0</v>
      </c>
      <c r="X582" s="242">
        <f ca="1">$V582*NSSpacingFt+YOffset+PanArrayLenFt*COS(RADIANS(Latitude+DecAng))</f>
        <v>16.439632545931762</v>
      </c>
      <c r="Y582" s="246">
        <f ca="1">+$V582*NSGradeFt+PedHeight+PanArrayLenFt*SIN(RADIANS(Latitude+DecAng))</f>
        <v>7.401410761154855</v>
      </c>
      <c r="Z582" s="214">
        <f ca="1">+$W582</f>
        <v>0</v>
      </c>
      <c r="AA582" s="214">
        <f ca="1">+$Y582</f>
        <v>7.401410761154855</v>
      </c>
      <c r="AB582" s="214">
        <f ca="1">+$X582</f>
        <v>16.439632545931762</v>
      </c>
      <c r="AC582" s="214">
        <f ca="1">+$W582-XOffset</f>
        <v>0</v>
      </c>
    </row>
    <row r="583" spans="8:29" s="213" customFormat="1" ht="9" customHeight="1">
      <c r="H583" s="212"/>
      <c r="I583" s="212"/>
      <c r="S583" s="307"/>
      <c r="T583" s="226">
        <f t="shared" si="38"/>
        <v>580</v>
      </c>
      <c r="U583" s="224">
        <f t="shared" si="39"/>
        <v>0</v>
      </c>
      <c r="V583" s="225">
        <f t="shared" si="40"/>
        <v>0</v>
      </c>
      <c r="W583" s="239">
        <f ca="1">$U583*EWSpacingFt+XOffset+(PanArrayWidthHighEndFt-PanArrayWidthLowEndFt)/2</f>
        <v>0</v>
      </c>
      <c r="X583" s="243">
        <f ca="1">$V583*NSSpacingFt+YOffset+0</f>
        <v>0</v>
      </c>
      <c r="Y583" s="247">
        <f ca="1">+$V583*NSGradeFt+PedHeight+0</f>
        <v>7.401410761154855</v>
      </c>
      <c r="Z583" s="214">
        <f ca="1">+$W583</f>
        <v>0</v>
      </c>
      <c r="AA583" s="214">
        <f ca="1">+$Y583</f>
        <v>7.401410761154855</v>
      </c>
      <c r="AB583" s="214">
        <f ca="1">+$X583</f>
        <v>0</v>
      </c>
      <c r="AC583" s="214">
        <f ca="1">+$W583-XOffset</f>
        <v>0</v>
      </c>
    </row>
    <row r="584" spans="8:29" s="213" customFormat="1" ht="9" customHeight="1">
      <c r="H584" s="212"/>
      <c r="I584" s="212"/>
      <c r="S584" s="307"/>
      <c r="T584" s="226">
        <f t="shared" si="38"/>
        <v>581</v>
      </c>
      <c r="U584" s="224">
        <f t="shared" si="39"/>
        <v>0</v>
      </c>
      <c r="V584" s="225">
        <f t="shared" si="40"/>
        <v>0</v>
      </c>
      <c r="W584" s="217"/>
      <c r="X584" s="217"/>
      <c r="Y584" s="217"/>
      <c r="Z584" s="214"/>
      <c r="AA584" s="214"/>
      <c r="AB584" s="214"/>
      <c r="AC584" s="214"/>
    </row>
    <row r="585" spans="8:29" s="213" customFormat="1" ht="9" customHeight="1">
      <c r="H585" s="212"/>
      <c r="I585" s="212"/>
      <c r="S585" s="307">
        <f>INT((T585-0)/6)+1</f>
        <v>98</v>
      </c>
      <c r="T585" s="226">
        <f t="shared" si="38"/>
        <v>582</v>
      </c>
      <c r="U585" s="224">
        <f t="shared" si="39"/>
        <v>1</v>
      </c>
      <c r="V585" s="225">
        <f t="shared" si="40"/>
        <v>0</v>
      </c>
      <c r="W585" s="233">
        <f ca="1">$U585*EWSpacingFt+XOffset+(PanArrayWidthHighEndFt-PanArrayWidthLowEndFt)/2</f>
        <v>30.000006832286932</v>
      </c>
      <c r="X585" s="234">
        <f ca="1">$V585*NSSpacingFt+YOffset+0</f>
        <v>0</v>
      </c>
      <c r="Y585" s="235">
        <f ca="1">+$V585*NSGradeFt+PedHeight+0</f>
        <v>7.401410761154855</v>
      </c>
      <c r="Z585" s="214">
        <f ca="1">+$W585</f>
        <v>30.000006832286932</v>
      </c>
      <c r="AA585" s="214">
        <f ca="1">+$Y585</f>
        <v>7.401410761154855</v>
      </c>
      <c r="AB585" s="214">
        <f ca="1">+$X585</f>
        <v>0</v>
      </c>
      <c r="AC585" s="214">
        <f ca="1">+$W585-XOffset</f>
        <v>30.000006832286932</v>
      </c>
    </row>
    <row r="586" spans="8:29" s="213" customFormat="1" ht="9" customHeight="1">
      <c r="H586" s="212"/>
      <c r="I586" s="212"/>
      <c r="S586" s="307"/>
      <c r="T586" s="226">
        <f t="shared" si="38"/>
        <v>583</v>
      </c>
      <c r="U586" s="224">
        <f t="shared" si="39"/>
        <v>1</v>
      </c>
      <c r="V586" s="225">
        <f t="shared" si="40"/>
        <v>0</v>
      </c>
      <c r="W586" s="236">
        <f ca="1">+$U586*EWSpacingFt+XOffset+PanArrayWidthHighEndFt-(PanArrayWidthHighEndFt-PanArrayWidthLowEndFt)/2</f>
        <v>40.802828354596642</v>
      </c>
      <c r="X586" s="240">
        <f ca="1">$V586*NSSpacingFt+YOffset+0</f>
        <v>0</v>
      </c>
      <c r="Y586" s="244">
        <f ca="1">+$V586*NSGradeFt+PedHeight+0</f>
        <v>7.401410761154855</v>
      </c>
      <c r="Z586" s="214">
        <f ca="1">+$W586</f>
        <v>40.802828354596642</v>
      </c>
      <c r="AA586" s="214">
        <f ca="1">+$Y586</f>
        <v>7.401410761154855</v>
      </c>
      <c r="AB586" s="214">
        <f ca="1">+$X586</f>
        <v>0</v>
      </c>
      <c r="AC586" s="214">
        <f ca="1">+$W586-XOffset</f>
        <v>40.802828354596642</v>
      </c>
    </row>
    <row r="587" spans="8:29" s="213" customFormat="1" ht="9" customHeight="1">
      <c r="H587" s="212"/>
      <c r="I587" s="212"/>
      <c r="S587" s="307"/>
      <c r="T587" s="226">
        <f t="shared" si="38"/>
        <v>584</v>
      </c>
      <c r="U587" s="224">
        <f t="shared" si="39"/>
        <v>1</v>
      </c>
      <c r="V587" s="225">
        <f t="shared" si="40"/>
        <v>0</v>
      </c>
      <c r="W587" s="237">
        <f ca="1">$U587*EWSpacingFt+XOffset+PanArrayWidthHighEndFt</f>
        <v>40.802828354596642</v>
      </c>
      <c r="X587" s="241">
        <f ca="1">$V587*NSSpacingFt+YOffset+PanArrayLenFt*COS(RADIANS(Latitude+DecAng))</f>
        <v>16.439632545931762</v>
      </c>
      <c r="Y587" s="245">
        <f ca="1">+$V587*NSGradeFt+PedHeight+PanArrayLenFt*SIN(RADIANS(Latitude+DecAng))</f>
        <v>7.401410761154855</v>
      </c>
      <c r="Z587" s="214">
        <f ca="1">+$W587</f>
        <v>40.802828354596642</v>
      </c>
      <c r="AA587" s="214">
        <f ca="1">+$Y587</f>
        <v>7.401410761154855</v>
      </c>
      <c r="AB587" s="214">
        <f ca="1">+$X587</f>
        <v>16.439632545931762</v>
      </c>
      <c r="AC587" s="214">
        <f ca="1">+$W587-XOffset</f>
        <v>40.802828354596642</v>
      </c>
    </row>
    <row r="588" spans="8:29" s="213" customFormat="1" ht="9" customHeight="1">
      <c r="H588" s="212"/>
      <c r="I588" s="212"/>
      <c r="S588" s="307"/>
      <c r="T588" s="226">
        <f t="shared" si="38"/>
        <v>585</v>
      </c>
      <c r="U588" s="224">
        <f t="shared" si="39"/>
        <v>1</v>
      </c>
      <c r="V588" s="225">
        <f t="shared" si="40"/>
        <v>0</v>
      </c>
      <c r="W588" s="238">
        <f ca="1">$U588*EWSpacingFt+XOffset+0</f>
        <v>30.000006832286932</v>
      </c>
      <c r="X588" s="242">
        <f ca="1">$V588*NSSpacingFt+YOffset+PanArrayLenFt*COS(RADIANS(Latitude+DecAng))</f>
        <v>16.439632545931762</v>
      </c>
      <c r="Y588" s="246">
        <f ca="1">+$V588*NSGradeFt+PedHeight+PanArrayLenFt*SIN(RADIANS(Latitude+DecAng))</f>
        <v>7.401410761154855</v>
      </c>
      <c r="Z588" s="214">
        <f ca="1">+$W588</f>
        <v>30.000006832286932</v>
      </c>
      <c r="AA588" s="214">
        <f ca="1">+$Y588</f>
        <v>7.401410761154855</v>
      </c>
      <c r="AB588" s="214">
        <f ca="1">+$X588</f>
        <v>16.439632545931762</v>
      </c>
      <c r="AC588" s="214">
        <f ca="1">+$W588-XOffset</f>
        <v>30.000006832286932</v>
      </c>
    </row>
    <row r="589" spans="8:29" s="213" customFormat="1" ht="9" customHeight="1">
      <c r="H589" s="212"/>
      <c r="I589" s="212"/>
      <c r="S589" s="307"/>
      <c r="T589" s="226">
        <f t="shared" si="38"/>
        <v>586</v>
      </c>
      <c r="U589" s="224">
        <f t="shared" si="39"/>
        <v>1</v>
      </c>
      <c r="V589" s="225">
        <f t="shared" si="40"/>
        <v>0</v>
      </c>
      <c r="W589" s="239">
        <f ca="1">$U589*EWSpacingFt+XOffset+(PanArrayWidthHighEndFt-PanArrayWidthLowEndFt)/2</f>
        <v>30.000006832286932</v>
      </c>
      <c r="X589" s="243">
        <f ca="1">$V589*NSSpacingFt+YOffset+0</f>
        <v>0</v>
      </c>
      <c r="Y589" s="247">
        <f ca="1">+$V589*NSGradeFt+PedHeight+0</f>
        <v>7.401410761154855</v>
      </c>
      <c r="Z589" s="214">
        <f ca="1">+$W589</f>
        <v>30.000006832286932</v>
      </c>
      <c r="AA589" s="214">
        <f ca="1">+$Y589</f>
        <v>7.401410761154855</v>
      </c>
      <c r="AB589" s="214">
        <f ca="1">+$X589</f>
        <v>0</v>
      </c>
      <c r="AC589" s="214">
        <f ca="1">+$W589-XOffset</f>
        <v>30.000006832286932</v>
      </c>
    </row>
    <row r="590" spans="8:29" s="213" customFormat="1" ht="9" customHeight="1">
      <c r="H590" s="212"/>
      <c r="I590" s="212"/>
      <c r="S590" s="307"/>
      <c r="T590" s="226">
        <f t="shared" si="38"/>
        <v>587</v>
      </c>
      <c r="U590" s="224">
        <f t="shared" si="39"/>
        <v>1</v>
      </c>
      <c r="V590" s="225">
        <f t="shared" si="40"/>
        <v>0</v>
      </c>
      <c r="W590" s="217"/>
      <c r="X590" s="217"/>
      <c r="Y590" s="217"/>
      <c r="Z590" s="214"/>
      <c r="AA590" s="214"/>
      <c r="AB590" s="214"/>
      <c r="AC590" s="214"/>
    </row>
    <row r="591" spans="8:29" s="213" customFormat="1" ht="9" customHeight="1">
      <c r="H591" s="212"/>
      <c r="I591" s="212"/>
      <c r="S591" s="307">
        <f>INT((T591-0)/6)+1</f>
        <v>99</v>
      </c>
      <c r="T591" s="226">
        <f t="shared" si="38"/>
        <v>588</v>
      </c>
      <c r="U591" s="224">
        <f t="shared" si="39"/>
        <v>0</v>
      </c>
      <c r="V591" s="225">
        <f t="shared" si="40"/>
        <v>1</v>
      </c>
      <c r="W591" s="233">
        <f ca="1">$U591*EWSpacingFt+XOffset+(PanArrayWidthHighEndFt-PanArrayWidthLowEndFt)/2</f>
        <v>0</v>
      </c>
      <c r="X591" s="234">
        <f ca="1">$V591*NSSpacingFt+YOffset+0</f>
        <v>17.999999999999989</v>
      </c>
      <c r="Y591" s="235">
        <f ca="1">+$V591*NSGradeFt+PedHeight+0</f>
        <v>7.401410761154855</v>
      </c>
      <c r="Z591" s="214">
        <f ca="1">+$W591</f>
        <v>0</v>
      </c>
      <c r="AA591" s="214">
        <f ca="1">+$Y591</f>
        <v>7.401410761154855</v>
      </c>
      <c r="AB591" s="214">
        <f ca="1">+$X591</f>
        <v>17.999999999999989</v>
      </c>
      <c r="AC591" s="214">
        <f ca="1">+$W591-XOffset</f>
        <v>0</v>
      </c>
    </row>
    <row r="592" spans="8:29" s="213" customFormat="1" ht="9" customHeight="1">
      <c r="H592" s="212"/>
      <c r="I592" s="212"/>
      <c r="S592" s="307"/>
      <c r="T592" s="226">
        <f t="shared" si="38"/>
        <v>589</v>
      </c>
      <c r="U592" s="224">
        <f t="shared" si="39"/>
        <v>0</v>
      </c>
      <c r="V592" s="225">
        <f t="shared" si="40"/>
        <v>1</v>
      </c>
      <c r="W592" s="236">
        <f ca="1">+$U592*EWSpacingFt+XOffset+PanArrayWidthHighEndFt-(PanArrayWidthHighEndFt-PanArrayWidthLowEndFt)/2</f>
        <v>10.80282152230971</v>
      </c>
      <c r="X592" s="240">
        <f ca="1">$V592*NSSpacingFt+YOffset+0</f>
        <v>17.999999999999989</v>
      </c>
      <c r="Y592" s="244">
        <f ca="1">+$V592*NSGradeFt+PedHeight+0</f>
        <v>7.401410761154855</v>
      </c>
      <c r="Z592" s="214">
        <f ca="1">+$W592</f>
        <v>10.80282152230971</v>
      </c>
      <c r="AA592" s="214">
        <f ca="1">+$Y592</f>
        <v>7.401410761154855</v>
      </c>
      <c r="AB592" s="214">
        <f ca="1">+$X592</f>
        <v>17.999999999999989</v>
      </c>
      <c r="AC592" s="214">
        <f ca="1">+$W592-XOffset</f>
        <v>10.80282152230971</v>
      </c>
    </row>
    <row r="593" spans="8:29" s="213" customFormat="1" ht="9" customHeight="1">
      <c r="H593" s="212"/>
      <c r="I593" s="212"/>
      <c r="S593" s="307"/>
      <c r="T593" s="226">
        <f t="shared" ref="T593:T656" si="41">+T592+1</f>
        <v>590</v>
      </c>
      <c r="U593" s="224">
        <f t="shared" si="39"/>
        <v>0</v>
      </c>
      <c r="V593" s="225">
        <f t="shared" si="40"/>
        <v>1</v>
      </c>
      <c r="W593" s="237">
        <f ca="1">$U593*EWSpacingFt+XOffset+PanArrayWidthHighEndFt</f>
        <v>10.80282152230971</v>
      </c>
      <c r="X593" s="241">
        <f ca="1">$V593*NSSpacingFt+YOffset+PanArrayLenFt*COS(RADIANS(Latitude+DecAng))</f>
        <v>34.439632545931751</v>
      </c>
      <c r="Y593" s="245">
        <f ca="1">+$V593*NSGradeFt+PedHeight+PanArrayLenFt*SIN(RADIANS(Latitude+DecAng))</f>
        <v>7.401410761154855</v>
      </c>
      <c r="Z593" s="214">
        <f ca="1">+$W593</f>
        <v>10.80282152230971</v>
      </c>
      <c r="AA593" s="214">
        <f ca="1">+$Y593</f>
        <v>7.401410761154855</v>
      </c>
      <c r="AB593" s="214">
        <f ca="1">+$X593</f>
        <v>34.439632545931751</v>
      </c>
      <c r="AC593" s="214">
        <f ca="1">+$W593-XOffset</f>
        <v>10.80282152230971</v>
      </c>
    </row>
    <row r="594" spans="8:29" s="213" customFormat="1" ht="9" customHeight="1">
      <c r="H594" s="212"/>
      <c r="I594" s="212"/>
      <c r="S594" s="307"/>
      <c r="T594" s="226">
        <f t="shared" si="41"/>
        <v>591</v>
      </c>
      <c r="U594" s="224">
        <f t="shared" si="39"/>
        <v>0</v>
      </c>
      <c r="V594" s="225">
        <f t="shared" si="40"/>
        <v>1</v>
      </c>
      <c r="W594" s="238">
        <f ca="1">$U594*EWSpacingFt+XOffset+0</f>
        <v>0</v>
      </c>
      <c r="X594" s="242">
        <f ca="1">$V594*NSSpacingFt+YOffset+PanArrayLenFt*COS(RADIANS(Latitude+DecAng))</f>
        <v>34.439632545931751</v>
      </c>
      <c r="Y594" s="246">
        <f ca="1">+$V594*NSGradeFt+PedHeight+PanArrayLenFt*SIN(RADIANS(Latitude+DecAng))</f>
        <v>7.401410761154855</v>
      </c>
      <c r="Z594" s="214">
        <f ca="1">+$W594</f>
        <v>0</v>
      </c>
      <c r="AA594" s="214">
        <f ca="1">+$Y594</f>
        <v>7.401410761154855</v>
      </c>
      <c r="AB594" s="214">
        <f ca="1">+$X594</f>
        <v>34.439632545931751</v>
      </c>
      <c r="AC594" s="214">
        <f ca="1">+$W594-XOffset</f>
        <v>0</v>
      </c>
    </row>
    <row r="595" spans="8:29" s="213" customFormat="1" ht="9" customHeight="1">
      <c r="H595" s="212"/>
      <c r="I595" s="212"/>
      <c r="S595" s="307"/>
      <c r="T595" s="226">
        <f t="shared" si="41"/>
        <v>592</v>
      </c>
      <c r="U595" s="224">
        <f t="shared" si="39"/>
        <v>0</v>
      </c>
      <c r="V595" s="225">
        <f t="shared" si="40"/>
        <v>1</v>
      </c>
      <c r="W595" s="239">
        <f ca="1">$U595*EWSpacingFt+XOffset+(PanArrayWidthHighEndFt-PanArrayWidthLowEndFt)/2</f>
        <v>0</v>
      </c>
      <c r="X595" s="243">
        <f ca="1">$V595*NSSpacingFt+YOffset+0</f>
        <v>17.999999999999989</v>
      </c>
      <c r="Y595" s="247">
        <f ca="1">+$V595*NSGradeFt+PedHeight+0</f>
        <v>7.401410761154855</v>
      </c>
      <c r="Z595" s="214">
        <f ca="1">+$W595</f>
        <v>0</v>
      </c>
      <c r="AA595" s="214">
        <f ca="1">+$Y595</f>
        <v>7.401410761154855</v>
      </c>
      <c r="AB595" s="214">
        <f ca="1">+$X595</f>
        <v>17.999999999999989</v>
      </c>
      <c r="AC595" s="214">
        <f ca="1">+$W595-XOffset</f>
        <v>0</v>
      </c>
    </row>
    <row r="596" spans="8:29" s="213" customFormat="1" ht="9" customHeight="1">
      <c r="H596" s="212"/>
      <c r="I596" s="212"/>
      <c r="S596" s="307"/>
      <c r="T596" s="226">
        <f t="shared" si="41"/>
        <v>593</v>
      </c>
      <c r="U596" s="224">
        <f t="shared" si="39"/>
        <v>0</v>
      </c>
      <c r="V596" s="225">
        <f t="shared" si="40"/>
        <v>1</v>
      </c>
      <c r="W596" s="217"/>
      <c r="X596" s="217"/>
      <c r="Y596" s="217"/>
      <c r="Z596" s="214"/>
      <c r="AA596" s="214"/>
      <c r="AB596" s="214"/>
      <c r="AC596" s="214"/>
    </row>
    <row r="597" spans="8:29" s="213" customFormat="1" ht="9" customHeight="1">
      <c r="H597" s="212"/>
      <c r="I597" s="212"/>
      <c r="S597" s="307">
        <f>INT((T597-0)/6)+1</f>
        <v>100</v>
      </c>
      <c r="T597" s="226">
        <f t="shared" si="41"/>
        <v>594</v>
      </c>
      <c r="U597" s="224">
        <f t="shared" si="39"/>
        <v>1</v>
      </c>
      <c r="V597" s="225">
        <f t="shared" si="40"/>
        <v>1</v>
      </c>
      <c r="W597" s="233">
        <f ca="1">$U597*EWSpacingFt+XOffset+(PanArrayWidthHighEndFt-PanArrayWidthLowEndFt)/2</f>
        <v>30.000006832286932</v>
      </c>
      <c r="X597" s="234">
        <f ca="1">$V597*NSSpacingFt+YOffset+0</f>
        <v>17.999999999999989</v>
      </c>
      <c r="Y597" s="235">
        <f ca="1">+$V597*NSGradeFt+PedHeight+0</f>
        <v>7.401410761154855</v>
      </c>
      <c r="Z597" s="214">
        <f ca="1">+$W597</f>
        <v>30.000006832286932</v>
      </c>
      <c r="AA597" s="214">
        <f ca="1">+$Y597</f>
        <v>7.401410761154855</v>
      </c>
      <c r="AB597" s="214">
        <f ca="1">+$X597</f>
        <v>17.999999999999989</v>
      </c>
      <c r="AC597" s="214">
        <f ca="1">+$W597-XOffset</f>
        <v>30.000006832286932</v>
      </c>
    </row>
    <row r="598" spans="8:29" s="213" customFormat="1" ht="9" customHeight="1">
      <c r="H598" s="212"/>
      <c r="I598" s="212"/>
      <c r="S598" s="307"/>
      <c r="T598" s="226">
        <f t="shared" si="41"/>
        <v>595</v>
      </c>
      <c r="U598" s="224">
        <f t="shared" si="39"/>
        <v>1</v>
      </c>
      <c r="V598" s="225">
        <f t="shared" si="40"/>
        <v>1</v>
      </c>
      <c r="W598" s="236">
        <f ca="1">+$U598*EWSpacingFt+XOffset+PanArrayWidthHighEndFt-(PanArrayWidthHighEndFt-PanArrayWidthLowEndFt)/2</f>
        <v>40.802828354596642</v>
      </c>
      <c r="X598" s="240">
        <f ca="1">$V598*NSSpacingFt+YOffset+0</f>
        <v>17.999999999999989</v>
      </c>
      <c r="Y598" s="244">
        <f ca="1">+$V598*NSGradeFt+PedHeight+0</f>
        <v>7.401410761154855</v>
      </c>
      <c r="Z598" s="214">
        <f ca="1">+$W598</f>
        <v>40.802828354596642</v>
      </c>
      <c r="AA598" s="214">
        <f ca="1">+$Y598</f>
        <v>7.401410761154855</v>
      </c>
      <c r="AB598" s="214">
        <f ca="1">+$X598</f>
        <v>17.999999999999989</v>
      </c>
      <c r="AC598" s="214">
        <f ca="1">+$W598-XOffset</f>
        <v>40.802828354596642</v>
      </c>
    </row>
    <row r="599" spans="8:29" s="213" customFormat="1" ht="9" customHeight="1">
      <c r="H599" s="212"/>
      <c r="I599" s="212"/>
      <c r="S599" s="307"/>
      <c r="T599" s="226">
        <f t="shared" si="41"/>
        <v>596</v>
      </c>
      <c r="U599" s="224">
        <f t="shared" si="39"/>
        <v>1</v>
      </c>
      <c r="V599" s="225">
        <f t="shared" si="40"/>
        <v>1</v>
      </c>
      <c r="W599" s="237">
        <f ca="1">$U599*EWSpacingFt+XOffset+PanArrayWidthHighEndFt</f>
        <v>40.802828354596642</v>
      </c>
      <c r="X599" s="241">
        <f ca="1">$V599*NSSpacingFt+YOffset+PanArrayLenFt*COS(RADIANS(Latitude+DecAng))</f>
        <v>34.439632545931751</v>
      </c>
      <c r="Y599" s="245">
        <f ca="1">+$V599*NSGradeFt+PedHeight+PanArrayLenFt*SIN(RADIANS(Latitude+DecAng))</f>
        <v>7.401410761154855</v>
      </c>
      <c r="Z599" s="214">
        <f ca="1">+$W599</f>
        <v>40.802828354596642</v>
      </c>
      <c r="AA599" s="214">
        <f ca="1">+$Y599</f>
        <v>7.401410761154855</v>
      </c>
      <c r="AB599" s="214">
        <f ca="1">+$X599</f>
        <v>34.439632545931751</v>
      </c>
      <c r="AC599" s="214">
        <f ca="1">+$W599-XOffset</f>
        <v>40.802828354596642</v>
      </c>
    </row>
    <row r="600" spans="8:29" s="213" customFormat="1" ht="9" customHeight="1">
      <c r="H600" s="212"/>
      <c r="I600" s="212"/>
      <c r="S600" s="307"/>
      <c r="T600" s="226">
        <f t="shared" si="41"/>
        <v>597</v>
      </c>
      <c r="U600" s="224">
        <f t="shared" si="39"/>
        <v>1</v>
      </c>
      <c r="V600" s="225">
        <f t="shared" si="40"/>
        <v>1</v>
      </c>
      <c r="W600" s="238">
        <f ca="1">$U600*EWSpacingFt+XOffset+0</f>
        <v>30.000006832286932</v>
      </c>
      <c r="X600" s="242">
        <f ca="1">$V600*NSSpacingFt+YOffset+PanArrayLenFt*COS(RADIANS(Latitude+DecAng))</f>
        <v>34.439632545931751</v>
      </c>
      <c r="Y600" s="246">
        <f ca="1">+$V600*NSGradeFt+PedHeight+PanArrayLenFt*SIN(RADIANS(Latitude+DecAng))</f>
        <v>7.401410761154855</v>
      </c>
      <c r="Z600" s="214">
        <f ca="1">+$W600</f>
        <v>30.000006832286932</v>
      </c>
      <c r="AA600" s="214">
        <f ca="1">+$Y600</f>
        <v>7.401410761154855</v>
      </c>
      <c r="AB600" s="214">
        <f ca="1">+$X600</f>
        <v>34.439632545931751</v>
      </c>
      <c r="AC600" s="214">
        <f ca="1">+$W600-XOffset</f>
        <v>30.000006832286932</v>
      </c>
    </row>
    <row r="601" spans="8:29" s="213" customFormat="1" ht="9" customHeight="1">
      <c r="H601" s="212"/>
      <c r="I601" s="212"/>
      <c r="S601" s="307"/>
      <c r="T601" s="226">
        <f t="shared" si="41"/>
        <v>598</v>
      </c>
      <c r="U601" s="224">
        <f t="shared" si="39"/>
        <v>1</v>
      </c>
      <c r="V601" s="225">
        <f t="shared" si="40"/>
        <v>1</v>
      </c>
      <c r="W601" s="239">
        <f ca="1">$U601*EWSpacingFt+XOffset+(PanArrayWidthHighEndFt-PanArrayWidthLowEndFt)/2</f>
        <v>30.000006832286932</v>
      </c>
      <c r="X601" s="243">
        <f ca="1">$V601*NSSpacingFt+YOffset+0</f>
        <v>17.999999999999989</v>
      </c>
      <c r="Y601" s="247">
        <f ca="1">+$V601*NSGradeFt+PedHeight+0</f>
        <v>7.401410761154855</v>
      </c>
      <c r="Z601" s="214">
        <f ca="1">+$W601</f>
        <v>30.000006832286932</v>
      </c>
      <c r="AA601" s="214">
        <f ca="1">+$Y601</f>
        <v>7.401410761154855</v>
      </c>
      <c r="AB601" s="214">
        <f ca="1">+$X601</f>
        <v>17.999999999999989</v>
      </c>
      <c r="AC601" s="214">
        <f ca="1">+$W601-XOffset</f>
        <v>30.000006832286932</v>
      </c>
    </row>
    <row r="602" spans="8:29" s="213" customFormat="1" ht="9" customHeight="1">
      <c r="H602" s="212"/>
      <c r="I602" s="212"/>
      <c r="S602" s="307"/>
      <c r="T602" s="226">
        <f t="shared" si="41"/>
        <v>599</v>
      </c>
      <c r="U602" s="224">
        <f t="shared" si="39"/>
        <v>1</v>
      </c>
      <c r="V602" s="225">
        <f t="shared" si="40"/>
        <v>1</v>
      </c>
      <c r="W602" s="217"/>
      <c r="X602" s="217"/>
      <c r="Y602" s="217"/>
      <c r="Z602" s="214"/>
      <c r="AA602" s="214"/>
      <c r="AB602" s="214"/>
      <c r="AC602" s="214"/>
    </row>
    <row r="603" spans="8:29" s="213" customFormat="1" ht="9" customHeight="1">
      <c r="H603" s="212"/>
      <c r="I603" s="212"/>
      <c r="S603" s="307">
        <f>INT((T603-0)/6)+1</f>
        <v>101</v>
      </c>
      <c r="T603" s="226">
        <f t="shared" si="41"/>
        <v>600</v>
      </c>
      <c r="U603" s="224">
        <f t="shared" si="39"/>
        <v>0</v>
      </c>
      <c r="V603" s="225">
        <f t="shared" si="40"/>
        <v>2</v>
      </c>
      <c r="W603" s="233">
        <f ca="1">$U603*EWSpacingFt+XOffset+(PanArrayWidthHighEndFt-PanArrayWidthLowEndFt)/2</f>
        <v>0</v>
      </c>
      <c r="X603" s="234">
        <f ca="1">$V603*NSSpacingFt+YOffset+0</f>
        <v>35.999999999999979</v>
      </c>
      <c r="Y603" s="235">
        <f ca="1">+$V603*NSGradeFt+PedHeight+0</f>
        <v>7.401410761154855</v>
      </c>
      <c r="Z603" s="214">
        <f ca="1">+$W603</f>
        <v>0</v>
      </c>
      <c r="AA603" s="214">
        <f ca="1">+$Y603</f>
        <v>7.401410761154855</v>
      </c>
      <c r="AB603" s="214">
        <f ca="1">+$X603</f>
        <v>35.999999999999979</v>
      </c>
      <c r="AC603" s="214">
        <f ca="1">+$W603-XOffset</f>
        <v>0</v>
      </c>
    </row>
    <row r="604" spans="8:29" s="213" customFormat="1" ht="9" customHeight="1">
      <c r="H604" s="212"/>
      <c r="I604" s="212"/>
      <c r="S604" s="307"/>
      <c r="T604" s="226">
        <f t="shared" si="41"/>
        <v>601</v>
      </c>
      <c r="U604" s="224">
        <f t="shared" si="39"/>
        <v>0</v>
      </c>
      <c r="V604" s="225">
        <f t="shared" si="40"/>
        <v>2</v>
      </c>
      <c r="W604" s="236">
        <f ca="1">+$U604*EWSpacingFt+XOffset+PanArrayWidthHighEndFt-(PanArrayWidthHighEndFt-PanArrayWidthLowEndFt)/2</f>
        <v>10.80282152230971</v>
      </c>
      <c r="X604" s="240">
        <f ca="1">$V604*NSSpacingFt+YOffset+0</f>
        <v>35.999999999999979</v>
      </c>
      <c r="Y604" s="244">
        <f ca="1">+$V604*NSGradeFt+PedHeight+0</f>
        <v>7.401410761154855</v>
      </c>
      <c r="Z604" s="214">
        <f ca="1">+$W604</f>
        <v>10.80282152230971</v>
      </c>
      <c r="AA604" s="214">
        <f ca="1">+$Y604</f>
        <v>7.401410761154855</v>
      </c>
      <c r="AB604" s="214">
        <f ca="1">+$X604</f>
        <v>35.999999999999979</v>
      </c>
      <c r="AC604" s="214">
        <f ca="1">+$W604-XOffset</f>
        <v>10.80282152230971</v>
      </c>
    </row>
    <row r="605" spans="8:29" s="213" customFormat="1" ht="9" customHeight="1">
      <c r="H605" s="212"/>
      <c r="I605" s="212"/>
      <c r="S605" s="307"/>
      <c r="T605" s="226">
        <f t="shared" si="41"/>
        <v>602</v>
      </c>
      <c r="U605" s="224">
        <f t="shared" si="39"/>
        <v>0</v>
      </c>
      <c r="V605" s="225">
        <f t="shared" si="40"/>
        <v>2</v>
      </c>
      <c r="W605" s="237">
        <f ca="1">$U605*EWSpacingFt+XOffset+PanArrayWidthHighEndFt</f>
        <v>10.80282152230971</v>
      </c>
      <c r="X605" s="241">
        <f ca="1">$V605*NSSpacingFt+YOffset+PanArrayLenFt*COS(RADIANS(Latitude+DecAng))</f>
        <v>52.439632545931744</v>
      </c>
      <c r="Y605" s="245">
        <f ca="1">+$V605*NSGradeFt+PedHeight+PanArrayLenFt*SIN(RADIANS(Latitude+DecAng))</f>
        <v>7.401410761154855</v>
      </c>
      <c r="Z605" s="214">
        <f ca="1">+$W605</f>
        <v>10.80282152230971</v>
      </c>
      <c r="AA605" s="214">
        <f ca="1">+$Y605</f>
        <v>7.401410761154855</v>
      </c>
      <c r="AB605" s="214">
        <f ca="1">+$X605</f>
        <v>52.439632545931744</v>
      </c>
      <c r="AC605" s="214">
        <f ca="1">+$W605-XOffset</f>
        <v>10.80282152230971</v>
      </c>
    </row>
    <row r="606" spans="8:29" s="213" customFormat="1" ht="9" customHeight="1">
      <c r="H606" s="212"/>
      <c r="I606" s="212"/>
      <c r="S606" s="307"/>
      <c r="T606" s="226">
        <f t="shared" si="41"/>
        <v>603</v>
      </c>
      <c r="U606" s="224">
        <f t="shared" si="39"/>
        <v>0</v>
      </c>
      <c r="V606" s="225">
        <f t="shared" si="40"/>
        <v>2</v>
      </c>
      <c r="W606" s="238">
        <f ca="1">$U606*EWSpacingFt+XOffset+0</f>
        <v>0</v>
      </c>
      <c r="X606" s="242">
        <f ca="1">$V606*NSSpacingFt+YOffset+PanArrayLenFt*COS(RADIANS(Latitude+DecAng))</f>
        <v>52.439632545931744</v>
      </c>
      <c r="Y606" s="246">
        <f ca="1">+$V606*NSGradeFt+PedHeight+PanArrayLenFt*SIN(RADIANS(Latitude+DecAng))</f>
        <v>7.401410761154855</v>
      </c>
      <c r="Z606" s="214">
        <f ca="1">+$W606</f>
        <v>0</v>
      </c>
      <c r="AA606" s="214">
        <f ca="1">+$Y606</f>
        <v>7.401410761154855</v>
      </c>
      <c r="AB606" s="214">
        <f ca="1">+$X606</f>
        <v>52.439632545931744</v>
      </c>
      <c r="AC606" s="214">
        <f ca="1">+$W606-XOffset</f>
        <v>0</v>
      </c>
    </row>
    <row r="607" spans="8:29" s="213" customFormat="1" ht="9" customHeight="1">
      <c r="H607" s="212"/>
      <c r="I607" s="212"/>
      <c r="S607" s="307"/>
      <c r="T607" s="226">
        <f t="shared" si="41"/>
        <v>604</v>
      </c>
      <c r="U607" s="224">
        <f t="shared" si="39"/>
        <v>0</v>
      </c>
      <c r="V607" s="225">
        <f t="shared" si="40"/>
        <v>2</v>
      </c>
      <c r="W607" s="239">
        <f ca="1">$U607*EWSpacingFt+XOffset+(PanArrayWidthHighEndFt-PanArrayWidthLowEndFt)/2</f>
        <v>0</v>
      </c>
      <c r="X607" s="243">
        <f ca="1">$V607*NSSpacingFt+YOffset+0</f>
        <v>35.999999999999979</v>
      </c>
      <c r="Y607" s="247">
        <f ca="1">+$V607*NSGradeFt+PedHeight+0</f>
        <v>7.401410761154855</v>
      </c>
      <c r="Z607" s="214">
        <f ca="1">+$W607</f>
        <v>0</v>
      </c>
      <c r="AA607" s="214">
        <f ca="1">+$Y607</f>
        <v>7.401410761154855</v>
      </c>
      <c r="AB607" s="214">
        <f ca="1">+$X607</f>
        <v>35.999999999999979</v>
      </c>
      <c r="AC607" s="214">
        <f ca="1">+$W607-XOffset</f>
        <v>0</v>
      </c>
    </row>
    <row r="608" spans="8:29" s="213" customFormat="1" ht="9" customHeight="1">
      <c r="H608" s="212"/>
      <c r="I608" s="212"/>
      <c r="S608" s="307"/>
      <c r="T608" s="226">
        <f t="shared" si="41"/>
        <v>605</v>
      </c>
      <c r="U608" s="224">
        <f t="shared" si="39"/>
        <v>0</v>
      </c>
      <c r="V608" s="225">
        <f t="shared" si="40"/>
        <v>2</v>
      </c>
      <c r="W608" s="217"/>
      <c r="X608" s="217"/>
      <c r="Y608" s="217"/>
      <c r="Z608" s="214"/>
      <c r="AA608" s="214"/>
      <c r="AB608" s="214"/>
      <c r="AC608" s="214"/>
    </row>
    <row r="609" spans="8:29" s="213" customFormat="1" ht="9" customHeight="1">
      <c r="H609" s="212"/>
      <c r="I609" s="212"/>
      <c r="S609" s="307">
        <f>INT((T609-0)/6)+1</f>
        <v>102</v>
      </c>
      <c r="T609" s="226">
        <f t="shared" si="41"/>
        <v>606</v>
      </c>
      <c r="U609" s="224">
        <f t="shared" si="39"/>
        <v>1</v>
      </c>
      <c r="V609" s="225">
        <f t="shared" si="40"/>
        <v>2</v>
      </c>
      <c r="W609" s="233">
        <f ca="1">$U609*EWSpacingFt+XOffset+(PanArrayWidthHighEndFt-PanArrayWidthLowEndFt)/2</f>
        <v>30.000006832286932</v>
      </c>
      <c r="X609" s="234">
        <f ca="1">$V609*NSSpacingFt+YOffset+0</f>
        <v>35.999999999999979</v>
      </c>
      <c r="Y609" s="235">
        <f ca="1">+$V609*NSGradeFt+PedHeight+0</f>
        <v>7.401410761154855</v>
      </c>
      <c r="Z609" s="214">
        <f ca="1">+$W609</f>
        <v>30.000006832286932</v>
      </c>
      <c r="AA609" s="214">
        <f ca="1">+$Y609</f>
        <v>7.401410761154855</v>
      </c>
      <c r="AB609" s="214">
        <f ca="1">+$X609</f>
        <v>35.999999999999979</v>
      </c>
      <c r="AC609" s="214">
        <f ca="1">+$W609-XOffset</f>
        <v>30.000006832286932</v>
      </c>
    </row>
    <row r="610" spans="8:29" s="213" customFormat="1" ht="9" customHeight="1">
      <c r="H610" s="212"/>
      <c r="I610" s="212"/>
      <c r="S610" s="307"/>
      <c r="T610" s="226">
        <f t="shared" si="41"/>
        <v>607</v>
      </c>
      <c r="U610" s="224">
        <f t="shared" si="39"/>
        <v>1</v>
      </c>
      <c r="V610" s="225">
        <f t="shared" si="40"/>
        <v>2</v>
      </c>
      <c r="W610" s="236">
        <f ca="1">+$U610*EWSpacingFt+XOffset+PanArrayWidthHighEndFt-(PanArrayWidthHighEndFt-PanArrayWidthLowEndFt)/2</f>
        <v>40.802828354596642</v>
      </c>
      <c r="X610" s="240">
        <f ca="1">$V610*NSSpacingFt+YOffset+0</f>
        <v>35.999999999999979</v>
      </c>
      <c r="Y610" s="244">
        <f ca="1">+$V610*NSGradeFt+PedHeight+0</f>
        <v>7.401410761154855</v>
      </c>
      <c r="Z610" s="214">
        <f ca="1">+$W610</f>
        <v>40.802828354596642</v>
      </c>
      <c r="AA610" s="214">
        <f ca="1">+$Y610</f>
        <v>7.401410761154855</v>
      </c>
      <c r="AB610" s="214">
        <f ca="1">+$X610</f>
        <v>35.999999999999979</v>
      </c>
      <c r="AC610" s="214">
        <f ca="1">+$W610-XOffset</f>
        <v>40.802828354596642</v>
      </c>
    </row>
    <row r="611" spans="8:29" s="213" customFormat="1" ht="9" customHeight="1">
      <c r="H611" s="212"/>
      <c r="I611" s="212"/>
      <c r="S611" s="307"/>
      <c r="T611" s="226">
        <f t="shared" si="41"/>
        <v>608</v>
      </c>
      <c r="U611" s="224">
        <f t="shared" si="39"/>
        <v>1</v>
      </c>
      <c r="V611" s="225">
        <f t="shared" si="40"/>
        <v>2</v>
      </c>
      <c r="W611" s="237">
        <f ca="1">$U611*EWSpacingFt+XOffset+PanArrayWidthHighEndFt</f>
        <v>40.802828354596642</v>
      </c>
      <c r="X611" s="241">
        <f ca="1">$V611*NSSpacingFt+YOffset+PanArrayLenFt*COS(RADIANS(Latitude+DecAng))</f>
        <v>52.439632545931744</v>
      </c>
      <c r="Y611" s="245">
        <f ca="1">+$V611*NSGradeFt+PedHeight+PanArrayLenFt*SIN(RADIANS(Latitude+DecAng))</f>
        <v>7.401410761154855</v>
      </c>
      <c r="Z611" s="214">
        <f ca="1">+$W611</f>
        <v>40.802828354596642</v>
      </c>
      <c r="AA611" s="214">
        <f ca="1">+$Y611</f>
        <v>7.401410761154855</v>
      </c>
      <c r="AB611" s="214">
        <f ca="1">+$X611</f>
        <v>52.439632545931744</v>
      </c>
      <c r="AC611" s="214">
        <f ca="1">+$W611-XOffset</f>
        <v>40.802828354596642</v>
      </c>
    </row>
    <row r="612" spans="8:29" s="213" customFormat="1" ht="9" customHeight="1">
      <c r="H612" s="212"/>
      <c r="I612" s="212"/>
      <c r="S612" s="307"/>
      <c r="T612" s="226">
        <f t="shared" si="41"/>
        <v>609</v>
      </c>
      <c r="U612" s="224">
        <f t="shared" si="39"/>
        <v>1</v>
      </c>
      <c r="V612" s="225">
        <f t="shared" si="40"/>
        <v>2</v>
      </c>
      <c r="W612" s="238">
        <f ca="1">$U612*EWSpacingFt+XOffset+0</f>
        <v>30.000006832286932</v>
      </c>
      <c r="X612" s="242">
        <f ca="1">$V612*NSSpacingFt+YOffset+PanArrayLenFt*COS(RADIANS(Latitude+DecAng))</f>
        <v>52.439632545931744</v>
      </c>
      <c r="Y612" s="246">
        <f ca="1">+$V612*NSGradeFt+PedHeight+PanArrayLenFt*SIN(RADIANS(Latitude+DecAng))</f>
        <v>7.401410761154855</v>
      </c>
      <c r="Z612" s="214">
        <f ca="1">+$W612</f>
        <v>30.000006832286932</v>
      </c>
      <c r="AA612" s="214">
        <f ca="1">+$Y612</f>
        <v>7.401410761154855</v>
      </c>
      <c r="AB612" s="214">
        <f ca="1">+$X612</f>
        <v>52.439632545931744</v>
      </c>
      <c r="AC612" s="214">
        <f ca="1">+$W612-XOffset</f>
        <v>30.000006832286932</v>
      </c>
    </row>
    <row r="613" spans="8:29" s="213" customFormat="1" ht="9" customHeight="1">
      <c r="H613" s="212"/>
      <c r="I613" s="212"/>
      <c r="S613" s="307"/>
      <c r="T613" s="226">
        <f t="shared" si="41"/>
        <v>610</v>
      </c>
      <c r="U613" s="224">
        <f t="shared" si="39"/>
        <v>1</v>
      </c>
      <c r="V613" s="225">
        <f t="shared" si="40"/>
        <v>2</v>
      </c>
      <c r="W613" s="239">
        <f ca="1">$U613*EWSpacingFt+XOffset+(PanArrayWidthHighEndFt-PanArrayWidthLowEndFt)/2</f>
        <v>30.000006832286932</v>
      </c>
      <c r="X613" s="243">
        <f ca="1">$V613*NSSpacingFt+YOffset+0</f>
        <v>35.999999999999979</v>
      </c>
      <c r="Y613" s="247">
        <f ca="1">+$V613*NSGradeFt+PedHeight+0</f>
        <v>7.401410761154855</v>
      </c>
      <c r="Z613" s="214">
        <f ca="1">+$W613</f>
        <v>30.000006832286932</v>
      </c>
      <c r="AA613" s="214">
        <f ca="1">+$Y613</f>
        <v>7.401410761154855</v>
      </c>
      <c r="AB613" s="214">
        <f ca="1">+$X613</f>
        <v>35.999999999999979</v>
      </c>
      <c r="AC613" s="214">
        <f ca="1">+$W613-XOffset</f>
        <v>30.000006832286932</v>
      </c>
    </row>
    <row r="614" spans="8:29" s="213" customFormat="1" ht="9" customHeight="1">
      <c r="H614" s="212"/>
      <c r="I614" s="212"/>
      <c r="S614" s="307"/>
      <c r="T614" s="226">
        <f t="shared" si="41"/>
        <v>611</v>
      </c>
      <c r="U614" s="224">
        <f t="shared" si="39"/>
        <v>1</v>
      </c>
      <c r="V614" s="225">
        <f t="shared" si="40"/>
        <v>2</v>
      </c>
      <c r="W614" s="217"/>
      <c r="X614" s="217"/>
      <c r="Y614" s="217"/>
      <c r="Z614" s="214"/>
      <c r="AA614" s="214"/>
      <c r="AB614" s="214"/>
      <c r="AC614" s="214"/>
    </row>
    <row r="615" spans="8:29" s="213" customFormat="1" ht="9" customHeight="1">
      <c r="H615" s="212"/>
      <c r="I615" s="212"/>
      <c r="S615" s="307">
        <f>INT((T615-0)/6)+1</f>
        <v>103</v>
      </c>
      <c r="T615" s="226">
        <f t="shared" si="41"/>
        <v>612</v>
      </c>
      <c r="U615" s="224">
        <f t="shared" si="39"/>
        <v>0</v>
      </c>
      <c r="V615" s="225">
        <f t="shared" si="40"/>
        <v>3</v>
      </c>
      <c r="W615" s="233">
        <f ca="1">$U615*EWSpacingFt+XOffset+(PanArrayWidthHighEndFt-PanArrayWidthLowEndFt)/2</f>
        <v>0</v>
      </c>
      <c r="X615" s="234">
        <f ca="1">$V615*NSSpacingFt+YOffset+0</f>
        <v>53.999999999999972</v>
      </c>
      <c r="Y615" s="235">
        <f ca="1">+$V615*NSGradeFt+PedHeight+0</f>
        <v>7.401410761154855</v>
      </c>
      <c r="Z615" s="214">
        <f ca="1">+$W615</f>
        <v>0</v>
      </c>
      <c r="AA615" s="214">
        <f ca="1">+$Y615</f>
        <v>7.401410761154855</v>
      </c>
      <c r="AB615" s="214">
        <f ca="1">+$X615</f>
        <v>53.999999999999972</v>
      </c>
      <c r="AC615" s="214">
        <f ca="1">+$W615-XOffset</f>
        <v>0</v>
      </c>
    </row>
    <row r="616" spans="8:29" s="213" customFormat="1" ht="9" customHeight="1">
      <c r="H616" s="212"/>
      <c r="I616" s="212"/>
      <c r="S616" s="307"/>
      <c r="T616" s="226">
        <f t="shared" si="41"/>
        <v>613</v>
      </c>
      <c r="U616" s="224">
        <f t="shared" si="39"/>
        <v>0</v>
      </c>
      <c r="V616" s="225">
        <f t="shared" si="40"/>
        <v>3</v>
      </c>
      <c r="W616" s="236">
        <f ca="1">+$U616*EWSpacingFt+XOffset+PanArrayWidthHighEndFt-(PanArrayWidthHighEndFt-PanArrayWidthLowEndFt)/2</f>
        <v>10.80282152230971</v>
      </c>
      <c r="X616" s="240">
        <f ca="1">$V616*NSSpacingFt+YOffset+0</f>
        <v>53.999999999999972</v>
      </c>
      <c r="Y616" s="244">
        <f ca="1">+$V616*NSGradeFt+PedHeight+0</f>
        <v>7.401410761154855</v>
      </c>
      <c r="Z616" s="214">
        <f ca="1">+$W616</f>
        <v>10.80282152230971</v>
      </c>
      <c r="AA616" s="214">
        <f ca="1">+$Y616</f>
        <v>7.401410761154855</v>
      </c>
      <c r="AB616" s="214">
        <f ca="1">+$X616</f>
        <v>53.999999999999972</v>
      </c>
      <c r="AC616" s="214">
        <f ca="1">+$W616-XOffset</f>
        <v>10.80282152230971</v>
      </c>
    </row>
    <row r="617" spans="8:29" s="213" customFormat="1" ht="9" customHeight="1">
      <c r="H617" s="212"/>
      <c r="I617" s="212"/>
      <c r="S617" s="307"/>
      <c r="T617" s="226">
        <f t="shared" si="41"/>
        <v>614</v>
      </c>
      <c r="U617" s="224">
        <f t="shared" si="39"/>
        <v>0</v>
      </c>
      <c r="V617" s="225">
        <f t="shared" si="40"/>
        <v>3</v>
      </c>
      <c r="W617" s="237">
        <f ca="1">$U617*EWSpacingFt+XOffset+PanArrayWidthHighEndFt</f>
        <v>10.80282152230971</v>
      </c>
      <c r="X617" s="241">
        <f ca="1">$V617*NSSpacingFt+YOffset+PanArrayLenFt*COS(RADIANS(Latitude+DecAng))</f>
        <v>70.43963254593173</v>
      </c>
      <c r="Y617" s="245">
        <f ca="1">+$V617*NSGradeFt+PedHeight+PanArrayLenFt*SIN(RADIANS(Latitude+DecAng))</f>
        <v>7.401410761154855</v>
      </c>
      <c r="Z617" s="214">
        <f ca="1">+$W617</f>
        <v>10.80282152230971</v>
      </c>
      <c r="AA617" s="214">
        <f ca="1">+$Y617</f>
        <v>7.401410761154855</v>
      </c>
      <c r="AB617" s="214">
        <f ca="1">+$X617</f>
        <v>70.43963254593173</v>
      </c>
      <c r="AC617" s="214">
        <f ca="1">+$W617-XOffset</f>
        <v>10.80282152230971</v>
      </c>
    </row>
    <row r="618" spans="8:29" s="213" customFormat="1" ht="9" customHeight="1">
      <c r="H618" s="212"/>
      <c r="I618" s="212"/>
      <c r="S618" s="307"/>
      <c r="T618" s="226">
        <f t="shared" si="41"/>
        <v>615</v>
      </c>
      <c r="U618" s="224">
        <f t="shared" si="39"/>
        <v>0</v>
      </c>
      <c r="V618" s="225">
        <f t="shared" si="40"/>
        <v>3</v>
      </c>
      <c r="W618" s="238">
        <f ca="1">$U618*EWSpacingFt+XOffset+0</f>
        <v>0</v>
      </c>
      <c r="X618" s="242">
        <f ca="1">$V618*NSSpacingFt+YOffset+PanArrayLenFt*COS(RADIANS(Latitude+DecAng))</f>
        <v>70.43963254593173</v>
      </c>
      <c r="Y618" s="246">
        <f ca="1">+$V618*NSGradeFt+PedHeight+PanArrayLenFt*SIN(RADIANS(Latitude+DecAng))</f>
        <v>7.401410761154855</v>
      </c>
      <c r="Z618" s="214">
        <f ca="1">+$W618</f>
        <v>0</v>
      </c>
      <c r="AA618" s="214">
        <f ca="1">+$Y618</f>
        <v>7.401410761154855</v>
      </c>
      <c r="AB618" s="214">
        <f ca="1">+$X618</f>
        <v>70.43963254593173</v>
      </c>
      <c r="AC618" s="214">
        <f ca="1">+$W618-XOffset</f>
        <v>0</v>
      </c>
    </row>
    <row r="619" spans="8:29" s="213" customFormat="1" ht="9" customHeight="1">
      <c r="H619" s="212"/>
      <c r="I619" s="212"/>
      <c r="S619" s="307"/>
      <c r="T619" s="226">
        <f t="shared" si="41"/>
        <v>616</v>
      </c>
      <c r="U619" s="224">
        <f t="shared" si="39"/>
        <v>0</v>
      </c>
      <c r="V619" s="225">
        <f t="shared" si="40"/>
        <v>3</v>
      </c>
      <c r="W619" s="239">
        <f ca="1">$U619*EWSpacingFt+XOffset+(PanArrayWidthHighEndFt-PanArrayWidthLowEndFt)/2</f>
        <v>0</v>
      </c>
      <c r="X619" s="243">
        <f ca="1">$V619*NSSpacingFt+YOffset+0</f>
        <v>53.999999999999972</v>
      </c>
      <c r="Y619" s="247">
        <f ca="1">+$V619*NSGradeFt+PedHeight+0</f>
        <v>7.401410761154855</v>
      </c>
      <c r="Z619" s="214">
        <f ca="1">+$W619</f>
        <v>0</v>
      </c>
      <c r="AA619" s="214">
        <f ca="1">+$Y619</f>
        <v>7.401410761154855</v>
      </c>
      <c r="AB619" s="214">
        <f ca="1">+$X619</f>
        <v>53.999999999999972</v>
      </c>
      <c r="AC619" s="214">
        <f ca="1">+$W619-XOffset</f>
        <v>0</v>
      </c>
    </row>
    <row r="620" spans="8:29" s="213" customFormat="1" ht="9" customHeight="1">
      <c r="H620" s="212"/>
      <c r="I620" s="212"/>
      <c r="S620" s="307"/>
      <c r="T620" s="226">
        <f t="shared" si="41"/>
        <v>617</v>
      </c>
      <c r="U620" s="224">
        <f t="shared" si="39"/>
        <v>0</v>
      </c>
      <c r="V620" s="225">
        <f t="shared" si="40"/>
        <v>3</v>
      </c>
      <c r="W620" s="217"/>
      <c r="X620" s="217"/>
      <c r="Y620" s="217"/>
      <c r="Z620" s="214"/>
      <c r="AA620" s="214"/>
      <c r="AB620" s="214"/>
      <c r="AC620" s="214"/>
    </row>
    <row r="621" spans="8:29" s="213" customFormat="1" ht="9" customHeight="1">
      <c r="H621" s="212"/>
      <c r="I621" s="212"/>
      <c r="S621" s="307">
        <f>INT((T621-0)/6)+1</f>
        <v>104</v>
      </c>
      <c r="T621" s="226">
        <f t="shared" si="41"/>
        <v>618</v>
      </c>
      <c r="U621" s="224">
        <f t="shared" si="39"/>
        <v>1</v>
      </c>
      <c r="V621" s="225">
        <f t="shared" si="40"/>
        <v>3</v>
      </c>
      <c r="W621" s="233">
        <f ca="1">$U621*EWSpacingFt+XOffset+(PanArrayWidthHighEndFt-PanArrayWidthLowEndFt)/2</f>
        <v>30.000006832286932</v>
      </c>
      <c r="X621" s="234">
        <f ca="1">$V621*NSSpacingFt+YOffset+0</f>
        <v>53.999999999999972</v>
      </c>
      <c r="Y621" s="235">
        <f ca="1">+$V621*NSGradeFt+PedHeight+0</f>
        <v>7.401410761154855</v>
      </c>
      <c r="Z621" s="214">
        <f ca="1">+$W621</f>
        <v>30.000006832286932</v>
      </c>
      <c r="AA621" s="214">
        <f ca="1">+$Y621</f>
        <v>7.401410761154855</v>
      </c>
      <c r="AB621" s="214">
        <f ca="1">+$X621</f>
        <v>53.999999999999972</v>
      </c>
      <c r="AC621" s="214">
        <f ca="1">+$W621-XOffset</f>
        <v>30.000006832286932</v>
      </c>
    </row>
    <row r="622" spans="8:29" s="213" customFormat="1" ht="9" customHeight="1">
      <c r="H622" s="212"/>
      <c r="I622" s="212"/>
      <c r="S622" s="307"/>
      <c r="T622" s="226">
        <f t="shared" si="41"/>
        <v>619</v>
      </c>
      <c r="U622" s="224">
        <f t="shared" si="39"/>
        <v>1</v>
      </c>
      <c r="V622" s="225">
        <f t="shared" si="40"/>
        <v>3</v>
      </c>
      <c r="W622" s="236">
        <f ca="1">+$U622*EWSpacingFt+XOffset+PanArrayWidthHighEndFt-(PanArrayWidthHighEndFt-PanArrayWidthLowEndFt)/2</f>
        <v>40.802828354596642</v>
      </c>
      <c r="X622" s="240">
        <f ca="1">$V622*NSSpacingFt+YOffset+0</f>
        <v>53.999999999999972</v>
      </c>
      <c r="Y622" s="244">
        <f ca="1">+$V622*NSGradeFt+PedHeight+0</f>
        <v>7.401410761154855</v>
      </c>
      <c r="Z622" s="214">
        <f ca="1">+$W622</f>
        <v>40.802828354596642</v>
      </c>
      <c r="AA622" s="214">
        <f ca="1">+$Y622</f>
        <v>7.401410761154855</v>
      </c>
      <c r="AB622" s="214">
        <f ca="1">+$X622</f>
        <v>53.999999999999972</v>
      </c>
      <c r="AC622" s="214">
        <f ca="1">+$W622-XOffset</f>
        <v>40.802828354596642</v>
      </c>
    </row>
    <row r="623" spans="8:29" s="213" customFormat="1" ht="9" customHeight="1">
      <c r="H623" s="212"/>
      <c r="I623" s="212"/>
      <c r="S623" s="307"/>
      <c r="T623" s="226">
        <f t="shared" si="41"/>
        <v>620</v>
      </c>
      <c r="U623" s="224">
        <f t="shared" si="39"/>
        <v>1</v>
      </c>
      <c r="V623" s="225">
        <f t="shared" si="40"/>
        <v>3</v>
      </c>
      <c r="W623" s="237">
        <f ca="1">$U623*EWSpacingFt+XOffset+PanArrayWidthHighEndFt</f>
        <v>40.802828354596642</v>
      </c>
      <c r="X623" s="241">
        <f ca="1">$V623*NSSpacingFt+YOffset+PanArrayLenFt*COS(RADIANS(Latitude+DecAng))</f>
        <v>70.43963254593173</v>
      </c>
      <c r="Y623" s="245">
        <f ca="1">+$V623*NSGradeFt+PedHeight+PanArrayLenFt*SIN(RADIANS(Latitude+DecAng))</f>
        <v>7.401410761154855</v>
      </c>
      <c r="Z623" s="214">
        <f ca="1">+$W623</f>
        <v>40.802828354596642</v>
      </c>
      <c r="AA623" s="214">
        <f ca="1">+$Y623</f>
        <v>7.401410761154855</v>
      </c>
      <c r="AB623" s="214">
        <f ca="1">+$X623</f>
        <v>70.43963254593173</v>
      </c>
      <c r="AC623" s="214">
        <f ca="1">+$W623-XOffset</f>
        <v>40.802828354596642</v>
      </c>
    </row>
    <row r="624" spans="8:29" s="213" customFormat="1" ht="9" customHeight="1">
      <c r="H624" s="212"/>
      <c r="I624" s="212"/>
      <c r="S624" s="307"/>
      <c r="T624" s="226">
        <f t="shared" si="41"/>
        <v>621</v>
      </c>
      <c r="U624" s="224">
        <f t="shared" si="39"/>
        <v>1</v>
      </c>
      <c r="V624" s="225">
        <f t="shared" si="40"/>
        <v>3</v>
      </c>
      <c r="W624" s="238">
        <f ca="1">$U624*EWSpacingFt+XOffset+0</f>
        <v>30.000006832286932</v>
      </c>
      <c r="X624" s="242">
        <f ca="1">$V624*NSSpacingFt+YOffset+PanArrayLenFt*COS(RADIANS(Latitude+DecAng))</f>
        <v>70.43963254593173</v>
      </c>
      <c r="Y624" s="246">
        <f ca="1">+$V624*NSGradeFt+PedHeight+PanArrayLenFt*SIN(RADIANS(Latitude+DecAng))</f>
        <v>7.401410761154855</v>
      </c>
      <c r="Z624" s="214">
        <f ca="1">+$W624</f>
        <v>30.000006832286932</v>
      </c>
      <c r="AA624" s="214">
        <f ca="1">+$Y624</f>
        <v>7.401410761154855</v>
      </c>
      <c r="AB624" s="214">
        <f ca="1">+$X624</f>
        <v>70.43963254593173</v>
      </c>
      <c r="AC624" s="214">
        <f ca="1">+$W624-XOffset</f>
        <v>30.000006832286932</v>
      </c>
    </row>
    <row r="625" spans="8:29" s="213" customFormat="1" ht="9" customHeight="1">
      <c r="H625" s="212"/>
      <c r="I625" s="212"/>
      <c r="S625" s="307"/>
      <c r="T625" s="226">
        <f t="shared" si="41"/>
        <v>622</v>
      </c>
      <c r="U625" s="224">
        <f t="shared" si="39"/>
        <v>1</v>
      </c>
      <c r="V625" s="225">
        <f t="shared" si="40"/>
        <v>3</v>
      </c>
      <c r="W625" s="239">
        <f ca="1">$U625*EWSpacingFt+XOffset+(PanArrayWidthHighEndFt-PanArrayWidthLowEndFt)/2</f>
        <v>30.000006832286932</v>
      </c>
      <c r="X625" s="243">
        <f ca="1">$V625*NSSpacingFt+YOffset+0</f>
        <v>53.999999999999972</v>
      </c>
      <c r="Y625" s="247">
        <f ca="1">+$V625*NSGradeFt+PedHeight+0</f>
        <v>7.401410761154855</v>
      </c>
      <c r="Z625" s="214">
        <f ca="1">+$W625</f>
        <v>30.000006832286932</v>
      </c>
      <c r="AA625" s="214">
        <f ca="1">+$Y625</f>
        <v>7.401410761154855</v>
      </c>
      <c r="AB625" s="214">
        <f ca="1">+$X625</f>
        <v>53.999999999999972</v>
      </c>
      <c r="AC625" s="214">
        <f ca="1">+$W625-XOffset</f>
        <v>30.000006832286932</v>
      </c>
    </row>
    <row r="626" spans="8:29" s="213" customFormat="1" ht="9" customHeight="1">
      <c r="H626" s="212"/>
      <c r="I626" s="212"/>
      <c r="S626" s="307"/>
      <c r="T626" s="226">
        <f t="shared" si="41"/>
        <v>623</v>
      </c>
      <c r="U626" s="224">
        <f t="shared" si="39"/>
        <v>1</v>
      </c>
      <c r="V626" s="225">
        <f t="shared" si="40"/>
        <v>3</v>
      </c>
      <c r="W626" s="217"/>
      <c r="X626" s="217"/>
      <c r="Y626" s="217"/>
      <c r="Z626" s="214"/>
      <c r="AA626" s="214"/>
      <c r="AB626" s="214"/>
      <c r="AC626" s="214"/>
    </row>
    <row r="627" spans="8:29" s="213" customFormat="1" ht="9" customHeight="1">
      <c r="H627" s="212"/>
      <c r="I627" s="212"/>
      <c r="S627" s="307">
        <f>INT((T627-0)/6)+1</f>
        <v>105</v>
      </c>
      <c r="T627" s="226">
        <f t="shared" si="41"/>
        <v>624</v>
      </c>
      <c r="U627" s="224">
        <f t="shared" si="39"/>
        <v>0</v>
      </c>
      <c r="V627" s="225">
        <f t="shared" si="40"/>
        <v>0</v>
      </c>
      <c r="W627" s="233">
        <f ca="1">$U627*EWSpacingFt+XOffset+(PanArrayWidthHighEndFt-PanArrayWidthLowEndFt)/2</f>
        <v>0</v>
      </c>
      <c r="X627" s="234">
        <f ca="1">$V627*NSSpacingFt+YOffset+0</f>
        <v>0</v>
      </c>
      <c r="Y627" s="235">
        <f ca="1">+$V627*NSGradeFt+PedHeight+0</f>
        <v>7.401410761154855</v>
      </c>
      <c r="Z627" s="214">
        <f ca="1">+$W627</f>
        <v>0</v>
      </c>
      <c r="AA627" s="214">
        <f ca="1">+$Y627</f>
        <v>7.401410761154855</v>
      </c>
      <c r="AB627" s="214">
        <f ca="1">+$X627</f>
        <v>0</v>
      </c>
      <c r="AC627" s="214">
        <f ca="1">+$W627-XOffset</f>
        <v>0</v>
      </c>
    </row>
    <row r="628" spans="8:29" s="213" customFormat="1" ht="9" customHeight="1">
      <c r="H628" s="212"/>
      <c r="I628" s="212"/>
      <c r="S628" s="307"/>
      <c r="T628" s="226">
        <f t="shared" si="41"/>
        <v>625</v>
      </c>
      <c r="U628" s="224">
        <f t="shared" si="39"/>
        <v>0</v>
      </c>
      <c r="V628" s="225">
        <f t="shared" si="40"/>
        <v>0</v>
      </c>
      <c r="W628" s="236">
        <f ca="1">+$U628*EWSpacingFt+XOffset+PanArrayWidthHighEndFt-(PanArrayWidthHighEndFt-PanArrayWidthLowEndFt)/2</f>
        <v>10.80282152230971</v>
      </c>
      <c r="X628" s="240">
        <f ca="1">$V628*NSSpacingFt+YOffset+0</f>
        <v>0</v>
      </c>
      <c r="Y628" s="244">
        <f ca="1">+$V628*NSGradeFt+PedHeight+0</f>
        <v>7.401410761154855</v>
      </c>
      <c r="Z628" s="214">
        <f ca="1">+$W628</f>
        <v>10.80282152230971</v>
      </c>
      <c r="AA628" s="214">
        <f ca="1">+$Y628</f>
        <v>7.401410761154855</v>
      </c>
      <c r="AB628" s="214">
        <f ca="1">+$X628</f>
        <v>0</v>
      </c>
      <c r="AC628" s="214">
        <f ca="1">+$W628-XOffset</f>
        <v>10.80282152230971</v>
      </c>
    </row>
    <row r="629" spans="8:29" s="213" customFormat="1" ht="9" customHeight="1">
      <c r="H629" s="212"/>
      <c r="I629" s="212"/>
      <c r="S629" s="307"/>
      <c r="T629" s="226">
        <f t="shared" si="41"/>
        <v>626</v>
      </c>
      <c r="U629" s="224">
        <f t="shared" si="39"/>
        <v>0</v>
      </c>
      <c r="V629" s="225">
        <f t="shared" si="40"/>
        <v>0</v>
      </c>
      <c r="W629" s="237">
        <f ca="1">$U629*EWSpacingFt+XOffset+PanArrayWidthHighEndFt</f>
        <v>10.80282152230971</v>
      </c>
      <c r="X629" s="241">
        <f ca="1">$V629*NSSpacingFt+YOffset+PanArrayLenFt*COS(RADIANS(Latitude+DecAng))</f>
        <v>16.439632545931762</v>
      </c>
      <c r="Y629" s="245">
        <f ca="1">+$V629*NSGradeFt+PedHeight+PanArrayLenFt*SIN(RADIANS(Latitude+DecAng))</f>
        <v>7.401410761154855</v>
      </c>
      <c r="Z629" s="214">
        <f ca="1">+$W629</f>
        <v>10.80282152230971</v>
      </c>
      <c r="AA629" s="214">
        <f ca="1">+$Y629</f>
        <v>7.401410761154855</v>
      </c>
      <c r="AB629" s="214">
        <f ca="1">+$X629</f>
        <v>16.439632545931762</v>
      </c>
      <c r="AC629" s="214">
        <f ca="1">+$W629-XOffset</f>
        <v>10.80282152230971</v>
      </c>
    </row>
    <row r="630" spans="8:29" s="213" customFormat="1" ht="9" customHeight="1">
      <c r="H630" s="212"/>
      <c r="I630" s="212"/>
      <c r="S630" s="307"/>
      <c r="T630" s="226">
        <f t="shared" si="41"/>
        <v>627</v>
      </c>
      <c r="U630" s="224">
        <f t="shared" si="39"/>
        <v>0</v>
      </c>
      <c r="V630" s="225">
        <f t="shared" si="40"/>
        <v>0</v>
      </c>
      <c r="W630" s="238">
        <f ca="1">$U630*EWSpacingFt+XOffset+0</f>
        <v>0</v>
      </c>
      <c r="X630" s="242">
        <f ca="1">$V630*NSSpacingFt+YOffset+PanArrayLenFt*COS(RADIANS(Latitude+DecAng))</f>
        <v>16.439632545931762</v>
      </c>
      <c r="Y630" s="246">
        <f ca="1">+$V630*NSGradeFt+PedHeight+PanArrayLenFt*SIN(RADIANS(Latitude+DecAng))</f>
        <v>7.401410761154855</v>
      </c>
      <c r="Z630" s="214">
        <f ca="1">+$W630</f>
        <v>0</v>
      </c>
      <c r="AA630" s="214">
        <f ca="1">+$Y630</f>
        <v>7.401410761154855</v>
      </c>
      <c r="AB630" s="214">
        <f ca="1">+$X630</f>
        <v>16.439632545931762</v>
      </c>
      <c r="AC630" s="214">
        <f ca="1">+$W630-XOffset</f>
        <v>0</v>
      </c>
    </row>
    <row r="631" spans="8:29" s="213" customFormat="1" ht="9" customHeight="1">
      <c r="H631" s="212"/>
      <c r="I631" s="212"/>
      <c r="S631" s="307"/>
      <c r="T631" s="226">
        <f t="shared" si="41"/>
        <v>628</v>
      </c>
      <c r="U631" s="224">
        <f t="shared" si="39"/>
        <v>0</v>
      </c>
      <c r="V631" s="225">
        <f t="shared" si="40"/>
        <v>0</v>
      </c>
      <c r="W631" s="239">
        <f ca="1">$U631*EWSpacingFt+XOffset+(PanArrayWidthHighEndFt-PanArrayWidthLowEndFt)/2</f>
        <v>0</v>
      </c>
      <c r="X631" s="243">
        <f ca="1">$V631*NSSpacingFt+YOffset+0</f>
        <v>0</v>
      </c>
      <c r="Y631" s="247">
        <f ca="1">+$V631*NSGradeFt+PedHeight+0</f>
        <v>7.401410761154855</v>
      </c>
      <c r="Z631" s="214">
        <f ca="1">+$W631</f>
        <v>0</v>
      </c>
      <c r="AA631" s="214">
        <f ca="1">+$Y631</f>
        <v>7.401410761154855</v>
      </c>
      <c r="AB631" s="214">
        <f ca="1">+$X631</f>
        <v>0</v>
      </c>
      <c r="AC631" s="214">
        <f ca="1">+$W631-XOffset</f>
        <v>0</v>
      </c>
    </row>
    <row r="632" spans="8:29" s="213" customFormat="1" ht="9" customHeight="1">
      <c r="H632" s="212"/>
      <c r="I632" s="212"/>
      <c r="S632" s="307"/>
      <c r="T632" s="226">
        <f t="shared" si="41"/>
        <v>629</v>
      </c>
      <c r="U632" s="224">
        <f t="shared" si="39"/>
        <v>0</v>
      </c>
      <c r="V632" s="225">
        <f t="shared" si="40"/>
        <v>0</v>
      </c>
      <c r="W632" s="217"/>
      <c r="X632" s="217"/>
      <c r="Y632" s="217"/>
      <c r="Z632" s="214"/>
      <c r="AA632" s="214"/>
      <c r="AB632" s="214"/>
      <c r="AC632" s="214"/>
    </row>
    <row r="633" spans="8:29" s="213" customFormat="1" ht="9" customHeight="1">
      <c r="H633" s="212"/>
      <c r="I633" s="212"/>
      <c r="S633" s="307">
        <f>INT((T633-0)/6)+1</f>
        <v>106</v>
      </c>
      <c r="T633" s="226">
        <f t="shared" si="41"/>
        <v>630</v>
      </c>
      <c r="U633" s="224">
        <f t="shared" si="39"/>
        <v>1</v>
      </c>
      <c r="V633" s="225">
        <f t="shared" si="40"/>
        <v>0</v>
      </c>
      <c r="W633" s="233">
        <f ca="1">$U633*EWSpacingFt+XOffset+(PanArrayWidthHighEndFt-PanArrayWidthLowEndFt)/2</f>
        <v>30.000006832286932</v>
      </c>
      <c r="X633" s="234">
        <f ca="1">$V633*NSSpacingFt+YOffset+0</f>
        <v>0</v>
      </c>
      <c r="Y633" s="235">
        <f ca="1">+$V633*NSGradeFt+PedHeight+0</f>
        <v>7.401410761154855</v>
      </c>
      <c r="Z633" s="214">
        <f ca="1">+$W633</f>
        <v>30.000006832286932</v>
      </c>
      <c r="AA633" s="214">
        <f ca="1">+$Y633</f>
        <v>7.401410761154855</v>
      </c>
      <c r="AB633" s="214">
        <f ca="1">+$X633</f>
        <v>0</v>
      </c>
      <c r="AC633" s="214">
        <f ca="1">+$W633-XOffset</f>
        <v>30.000006832286932</v>
      </c>
    </row>
    <row r="634" spans="8:29" s="213" customFormat="1" ht="9" customHeight="1">
      <c r="H634" s="212"/>
      <c r="I634" s="212"/>
      <c r="S634" s="307"/>
      <c r="T634" s="226">
        <f t="shared" si="41"/>
        <v>631</v>
      </c>
      <c r="U634" s="224">
        <f t="shared" si="39"/>
        <v>1</v>
      </c>
      <c r="V634" s="225">
        <f t="shared" si="40"/>
        <v>0</v>
      </c>
      <c r="W634" s="236">
        <f ca="1">+$U634*EWSpacingFt+XOffset+PanArrayWidthHighEndFt-(PanArrayWidthHighEndFt-PanArrayWidthLowEndFt)/2</f>
        <v>40.802828354596642</v>
      </c>
      <c r="X634" s="240">
        <f ca="1">$V634*NSSpacingFt+YOffset+0</f>
        <v>0</v>
      </c>
      <c r="Y634" s="244">
        <f ca="1">+$V634*NSGradeFt+PedHeight+0</f>
        <v>7.401410761154855</v>
      </c>
      <c r="Z634" s="214">
        <f ca="1">+$W634</f>
        <v>40.802828354596642</v>
      </c>
      <c r="AA634" s="214">
        <f ca="1">+$Y634</f>
        <v>7.401410761154855</v>
      </c>
      <c r="AB634" s="214">
        <f ca="1">+$X634</f>
        <v>0</v>
      </c>
      <c r="AC634" s="214">
        <f ca="1">+$W634-XOffset</f>
        <v>40.802828354596642</v>
      </c>
    </row>
    <row r="635" spans="8:29" s="213" customFormat="1" ht="9" customHeight="1">
      <c r="H635" s="212"/>
      <c r="I635" s="212"/>
      <c r="S635" s="307"/>
      <c r="T635" s="226">
        <f t="shared" si="41"/>
        <v>632</v>
      </c>
      <c r="U635" s="224">
        <f t="shared" si="39"/>
        <v>1</v>
      </c>
      <c r="V635" s="225">
        <f t="shared" si="40"/>
        <v>0</v>
      </c>
      <c r="W635" s="237">
        <f ca="1">$U635*EWSpacingFt+XOffset+PanArrayWidthHighEndFt</f>
        <v>40.802828354596642</v>
      </c>
      <c r="X635" s="241">
        <f ca="1">$V635*NSSpacingFt+YOffset+PanArrayLenFt*COS(RADIANS(Latitude+DecAng))</f>
        <v>16.439632545931762</v>
      </c>
      <c r="Y635" s="245">
        <f ca="1">+$V635*NSGradeFt+PedHeight+PanArrayLenFt*SIN(RADIANS(Latitude+DecAng))</f>
        <v>7.401410761154855</v>
      </c>
      <c r="Z635" s="214">
        <f ca="1">+$W635</f>
        <v>40.802828354596642</v>
      </c>
      <c r="AA635" s="214">
        <f ca="1">+$Y635</f>
        <v>7.401410761154855</v>
      </c>
      <c r="AB635" s="214">
        <f ca="1">+$X635</f>
        <v>16.439632545931762</v>
      </c>
      <c r="AC635" s="214">
        <f ca="1">+$W635-XOffset</f>
        <v>40.802828354596642</v>
      </c>
    </row>
    <row r="636" spans="8:29" s="213" customFormat="1" ht="9" customHeight="1">
      <c r="H636" s="212"/>
      <c r="I636" s="212"/>
      <c r="S636" s="307"/>
      <c r="T636" s="226">
        <f t="shared" si="41"/>
        <v>633</v>
      </c>
      <c r="U636" s="224">
        <f t="shared" si="39"/>
        <v>1</v>
      </c>
      <c r="V636" s="225">
        <f t="shared" si="40"/>
        <v>0</v>
      </c>
      <c r="W636" s="238">
        <f ca="1">$U636*EWSpacingFt+XOffset+0</f>
        <v>30.000006832286932</v>
      </c>
      <c r="X636" s="242">
        <f ca="1">$V636*NSSpacingFt+YOffset+PanArrayLenFt*COS(RADIANS(Latitude+DecAng))</f>
        <v>16.439632545931762</v>
      </c>
      <c r="Y636" s="246">
        <f ca="1">+$V636*NSGradeFt+PedHeight+PanArrayLenFt*SIN(RADIANS(Latitude+DecAng))</f>
        <v>7.401410761154855</v>
      </c>
      <c r="Z636" s="214">
        <f ca="1">+$W636</f>
        <v>30.000006832286932</v>
      </c>
      <c r="AA636" s="214">
        <f ca="1">+$Y636</f>
        <v>7.401410761154855</v>
      </c>
      <c r="AB636" s="214">
        <f ca="1">+$X636</f>
        <v>16.439632545931762</v>
      </c>
      <c r="AC636" s="214">
        <f ca="1">+$W636-XOffset</f>
        <v>30.000006832286932</v>
      </c>
    </row>
    <row r="637" spans="8:29" s="213" customFormat="1" ht="9" customHeight="1">
      <c r="H637" s="212"/>
      <c r="I637" s="212"/>
      <c r="S637" s="307"/>
      <c r="T637" s="226">
        <f t="shared" si="41"/>
        <v>634</v>
      </c>
      <c r="U637" s="224">
        <f t="shared" si="39"/>
        <v>1</v>
      </c>
      <c r="V637" s="225">
        <f t="shared" si="40"/>
        <v>0</v>
      </c>
      <c r="W637" s="239">
        <f ca="1">$U637*EWSpacingFt+XOffset+(PanArrayWidthHighEndFt-PanArrayWidthLowEndFt)/2</f>
        <v>30.000006832286932</v>
      </c>
      <c r="X637" s="243">
        <f ca="1">$V637*NSSpacingFt+YOffset+0</f>
        <v>0</v>
      </c>
      <c r="Y637" s="247">
        <f ca="1">+$V637*NSGradeFt+PedHeight+0</f>
        <v>7.401410761154855</v>
      </c>
      <c r="Z637" s="214">
        <f ca="1">+$W637</f>
        <v>30.000006832286932</v>
      </c>
      <c r="AA637" s="214">
        <f ca="1">+$Y637</f>
        <v>7.401410761154855</v>
      </c>
      <c r="AB637" s="214">
        <f ca="1">+$X637</f>
        <v>0</v>
      </c>
      <c r="AC637" s="214">
        <f ca="1">+$W637-XOffset</f>
        <v>30.000006832286932</v>
      </c>
    </row>
    <row r="638" spans="8:29" s="213" customFormat="1" ht="9" customHeight="1">
      <c r="H638" s="212"/>
      <c r="I638" s="212"/>
      <c r="S638" s="307"/>
      <c r="T638" s="226">
        <f t="shared" si="41"/>
        <v>635</v>
      </c>
      <c r="U638" s="224">
        <f t="shared" si="39"/>
        <v>1</v>
      </c>
      <c r="V638" s="225">
        <f t="shared" si="40"/>
        <v>0</v>
      </c>
      <c r="W638" s="217"/>
      <c r="X638" s="217"/>
      <c r="Y638" s="217"/>
      <c r="Z638" s="214"/>
      <c r="AA638" s="214"/>
      <c r="AB638" s="214"/>
      <c r="AC638" s="214"/>
    </row>
    <row r="639" spans="8:29" s="213" customFormat="1" ht="9" customHeight="1">
      <c r="H639" s="212"/>
      <c r="I639" s="212"/>
      <c r="S639" s="307">
        <f>INT((T639-0)/6)+1</f>
        <v>107</v>
      </c>
      <c r="T639" s="226">
        <f t="shared" si="41"/>
        <v>636</v>
      </c>
      <c r="U639" s="224">
        <f t="shared" si="39"/>
        <v>0</v>
      </c>
      <c r="V639" s="225">
        <f t="shared" si="40"/>
        <v>1</v>
      </c>
      <c r="W639" s="233">
        <f ca="1">$U639*EWSpacingFt+XOffset+(PanArrayWidthHighEndFt-PanArrayWidthLowEndFt)/2</f>
        <v>0</v>
      </c>
      <c r="X639" s="234">
        <f ca="1">$V639*NSSpacingFt+YOffset+0</f>
        <v>17.999999999999989</v>
      </c>
      <c r="Y639" s="235">
        <f ca="1">+$V639*NSGradeFt+PedHeight+0</f>
        <v>7.401410761154855</v>
      </c>
      <c r="Z639" s="214">
        <f ca="1">+$W639</f>
        <v>0</v>
      </c>
      <c r="AA639" s="214">
        <f ca="1">+$Y639</f>
        <v>7.401410761154855</v>
      </c>
      <c r="AB639" s="214">
        <f ca="1">+$X639</f>
        <v>17.999999999999989</v>
      </c>
      <c r="AC639" s="214">
        <f ca="1">+$W639-XOffset</f>
        <v>0</v>
      </c>
    </row>
    <row r="640" spans="8:29" s="213" customFormat="1" ht="9" customHeight="1">
      <c r="H640" s="212"/>
      <c r="I640" s="212"/>
      <c r="S640" s="307"/>
      <c r="T640" s="226">
        <f t="shared" si="41"/>
        <v>637</v>
      </c>
      <c r="U640" s="224">
        <f t="shared" si="39"/>
        <v>0</v>
      </c>
      <c r="V640" s="225">
        <f t="shared" si="40"/>
        <v>1</v>
      </c>
      <c r="W640" s="236">
        <f ca="1">+$U640*EWSpacingFt+XOffset+PanArrayWidthHighEndFt-(PanArrayWidthHighEndFt-PanArrayWidthLowEndFt)/2</f>
        <v>10.80282152230971</v>
      </c>
      <c r="X640" s="240">
        <f ca="1">$V640*NSSpacingFt+YOffset+0</f>
        <v>17.999999999999989</v>
      </c>
      <c r="Y640" s="244">
        <f ca="1">+$V640*NSGradeFt+PedHeight+0</f>
        <v>7.401410761154855</v>
      </c>
      <c r="Z640" s="214">
        <f ca="1">+$W640</f>
        <v>10.80282152230971</v>
      </c>
      <c r="AA640" s="214">
        <f ca="1">+$Y640</f>
        <v>7.401410761154855</v>
      </c>
      <c r="AB640" s="214">
        <f ca="1">+$X640</f>
        <v>17.999999999999989</v>
      </c>
      <c r="AC640" s="214">
        <f ca="1">+$W640-XOffset</f>
        <v>10.80282152230971</v>
      </c>
    </row>
    <row r="641" spans="8:29" s="213" customFormat="1" ht="9" customHeight="1">
      <c r="H641" s="212"/>
      <c r="I641" s="212"/>
      <c r="S641" s="307"/>
      <c r="T641" s="226">
        <f t="shared" si="41"/>
        <v>638</v>
      </c>
      <c r="U641" s="224">
        <f t="shared" si="39"/>
        <v>0</v>
      </c>
      <c r="V641" s="225">
        <f t="shared" si="40"/>
        <v>1</v>
      </c>
      <c r="W641" s="237">
        <f ca="1">$U641*EWSpacingFt+XOffset+PanArrayWidthHighEndFt</f>
        <v>10.80282152230971</v>
      </c>
      <c r="X641" s="241">
        <f ca="1">$V641*NSSpacingFt+YOffset+PanArrayLenFt*COS(RADIANS(Latitude+DecAng))</f>
        <v>34.439632545931751</v>
      </c>
      <c r="Y641" s="245">
        <f ca="1">+$V641*NSGradeFt+PedHeight+PanArrayLenFt*SIN(RADIANS(Latitude+DecAng))</f>
        <v>7.401410761154855</v>
      </c>
      <c r="Z641" s="214">
        <f ca="1">+$W641</f>
        <v>10.80282152230971</v>
      </c>
      <c r="AA641" s="214">
        <f ca="1">+$Y641</f>
        <v>7.401410761154855</v>
      </c>
      <c r="AB641" s="214">
        <f ca="1">+$X641</f>
        <v>34.439632545931751</v>
      </c>
      <c r="AC641" s="214">
        <f ca="1">+$W641-XOffset</f>
        <v>10.80282152230971</v>
      </c>
    </row>
    <row r="642" spans="8:29" s="213" customFormat="1" ht="9" customHeight="1">
      <c r="H642" s="212"/>
      <c r="I642" s="212"/>
      <c r="S642" s="307"/>
      <c r="T642" s="226">
        <f t="shared" si="41"/>
        <v>639</v>
      </c>
      <c r="U642" s="224">
        <f t="shared" si="39"/>
        <v>0</v>
      </c>
      <c r="V642" s="225">
        <f t="shared" si="40"/>
        <v>1</v>
      </c>
      <c r="W642" s="238">
        <f ca="1">$U642*EWSpacingFt+XOffset+0</f>
        <v>0</v>
      </c>
      <c r="X642" s="242">
        <f ca="1">$V642*NSSpacingFt+YOffset+PanArrayLenFt*COS(RADIANS(Latitude+DecAng))</f>
        <v>34.439632545931751</v>
      </c>
      <c r="Y642" s="246">
        <f ca="1">+$V642*NSGradeFt+PedHeight+PanArrayLenFt*SIN(RADIANS(Latitude+DecAng))</f>
        <v>7.401410761154855</v>
      </c>
      <c r="Z642" s="214">
        <f ca="1">+$W642</f>
        <v>0</v>
      </c>
      <c r="AA642" s="214">
        <f ca="1">+$Y642</f>
        <v>7.401410761154855</v>
      </c>
      <c r="AB642" s="214">
        <f ca="1">+$X642</f>
        <v>34.439632545931751</v>
      </c>
      <c r="AC642" s="214">
        <f ca="1">+$W642-XOffset</f>
        <v>0</v>
      </c>
    </row>
    <row r="643" spans="8:29" s="213" customFormat="1" ht="9" customHeight="1">
      <c r="H643" s="212"/>
      <c r="I643" s="212"/>
      <c r="S643" s="307"/>
      <c r="T643" s="226">
        <f t="shared" si="41"/>
        <v>640</v>
      </c>
      <c r="U643" s="224">
        <f t="shared" ref="U643:U706" si="42">+MOD(INT(T643/6),ColumnsOfMounts)</f>
        <v>0</v>
      </c>
      <c r="V643" s="225">
        <f t="shared" ref="V643:V706" si="43">+MOD(INT(T643/6/ColumnsOfMounts),RowsOfMounts)</f>
        <v>1</v>
      </c>
      <c r="W643" s="239">
        <f ca="1">$U643*EWSpacingFt+XOffset+(PanArrayWidthHighEndFt-PanArrayWidthLowEndFt)/2</f>
        <v>0</v>
      </c>
      <c r="X643" s="243">
        <f ca="1">$V643*NSSpacingFt+YOffset+0</f>
        <v>17.999999999999989</v>
      </c>
      <c r="Y643" s="247">
        <f ca="1">+$V643*NSGradeFt+PedHeight+0</f>
        <v>7.401410761154855</v>
      </c>
      <c r="Z643" s="214">
        <f ca="1">+$W643</f>
        <v>0</v>
      </c>
      <c r="AA643" s="214">
        <f ca="1">+$Y643</f>
        <v>7.401410761154855</v>
      </c>
      <c r="AB643" s="214">
        <f ca="1">+$X643</f>
        <v>17.999999999999989</v>
      </c>
      <c r="AC643" s="214">
        <f ca="1">+$W643-XOffset</f>
        <v>0</v>
      </c>
    </row>
    <row r="644" spans="8:29" s="213" customFormat="1" ht="9" customHeight="1">
      <c r="H644" s="212"/>
      <c r="I644" s="212"/>
      <c r="S644" s="307"/>
      <c r="T644" s="226">
        <f t="shared" si="41"/>
        <v>641</v>
      </c>
      <c r="U644" s="224">
        <f t="shared" si="42"/>
        <v>0</v>
      </c>
      <c r="V644" s="225">
        <f t="shared" si="43"/>
        <v>1</v>
      </c>
      <c r="W644" s="217"/>
      <c r="X644" s="217"/>
      <c r="Y644" s="217"/>
      <c r="Z644" s="214"/>
      <c r="AA644" s="214"/>
      <c r="AB644" s="214"/>
      <c r="AC644" s="214"/>
    </row>
    <row r="645" spans="8:29" s="213" customFormat="1" ht="9" customHeight="1">
      <c r="H645" s="212"/>
      <c r="I645" s="212"/>
      <c r="S645" s="307">
        <f>INT((T645-0)/6)+1</f>
        <v>108</v>
      </c>
      <c r="T645" s="226">
        <f t="shared" si="41"/>
        <v>642</v>
      </c>
      <c r="U645" s="224">
        <f t="shared" si="42"/>
        <v>1</v>
      </c>
      <c r="V645" s="225">
        <f t="shared" si="43"/>
        <v>1</v>
      </c>
      <c r="W645" s="233">
        <f ca="1">$U645*EWSpacingFt+XOffset+(PanArrayWidthHighEndFt-PanArrayWidthLowEndFt)/2</f>
        <v>30.000006832286932</v>
      </c>
      <c r="X645" s="234">
        <f ca="1">$V645*NSSpacingFt+YOffset+0</f>
        <v>17.999999999999989</v>
      </c>
      <c r="Y645" s="235">
        <f ca="1">+$V645*NSGradeFt+PedHeight+0</f>
        <v>7.401410761154855</v>
      </c>
      <c r="Z645" s="214">
        <f ca="1">+$W645</f>
        <v>30.000006832286932</v>
      </c>
      <c r="AA645" s="214">
        <f ca="1">+$Y645</f>
        <v>7.401410761154855</v>
      </c>
      <c r="AB645" s="214">
        <f ca="1">+$X645</f>
        <v>17.999999999999989</v>
      </c>
      <c r="AC645" s="214">
        <f ca="1">+$W645-XOffset</f>
        <v>30.000006832286932</v>
      </c>
    </row>
    <row r="646" spans="8:29" s="213" customFormat="1" ht="9" customHeight="1">
      <c r="H646" s="212"/>
      <c r="I646" s="212"/>
      <c r="S646" s="307"/>
      <c r="T646" s="226">
        <f t="shared" si="41"/>
        <v>643</v>
      </c>
      <c r="U646" s="224">
        <f t="shared" si="42"/>
        <v>1</v>
      </c>
      <c r="V646" s="225">
        <f t="shared" si="43"/>
        <v>1</v>
      </c>
      <c r="W646" s="236">
        <f ca="1">+$U646*EWSpacingFt+XOffset+PanArrayWidthHighEndFt-(PanArrayWidthHighEndFt-PanArrayWidthLowEndFt)/2</f>
        <v>40.802828354596642</v>
      </c>
      <c r="X646" s="240">
        <f ca="1">$V646*NSSpacingFt+YOffset+0</f>
        <v>17.999999999999989</v>
      </c>
      <c r="Y646" s="244">
        <f ca="1">+$V646*NSGradeFt+PedHeight+0</f>
        <v>7.401410761154855</v>
      </c>
      <c r="Z646" s="214">
        <f ca="1">+$W646</f>
        <v>40.802828354596642</v>
      </c>
      <c r="AA646" s="214">
        <f ca="1">+$Y646</f>
        <v>7.401410761154855</v>
      </c>
      <c r="AB646" s="214">
        <f ca="1">+$X646</f>
        <v>17.999999999999989</v>
      </c>
      <c r="AC646" s="214">
        <f ca="1">+$W646-XOffset</f>
        <v>40.802828354596642</v>
      </c>
    </row>
    <row r="647" spans="8:29" s="213" customFormat="1" ht="9" customHeight="1">
      <c r="H647" s="212"/>
      <c r="I647" s="212"/>
      <c r="S647" s="307"/>
      <c r="T647" s="226">
        <f t="shared" si="41"/>
        <v>644</v>
      </c>
      <c r="U647" s="224">
        <f t="shared" si="42"/>
        <v>1</v>
      </c>
      <c r="V647" s="225">
        <f t="shared" si="43"/>
        <v>1</v>
      </c>
      <c r="W647" s="237">
        <f ca="1">$U647*EWSpacingFt+XOffset+PanArrayWidthHighEndFt</f>
        <v>40.802828354596642</v>
      </c>
      <c r="X647" s="241">
        <f ca="1">$V647*NSSpacingFt+YOffset+PanArrayLenFt*COS(RADIANS(Latitude+DecAng))</f>
        <v>34.439632545931751</v>
      </c>
      <c r="Y647" s="245">
        <f ca="1">+$V647*NSGradeFt+PedHeight+PanArrayLenFt*SIN(RADIANS(Latitude+DecAng))</f>
        <v>7.401410761154855</v>
      </c>
      <c r="Z647" s="214">
        <f ca="1">+$W647</f>
        <v>40.802828354596642</v>
      </c>
      <c r="AA647" s="214">
        <f ca="1">+$Y647</f>
        <v>7.401410761154855</v>
      </c>
      <c r="AB647" s="214">
        <f ca="1">+$X647</f>
        <v>34.439632545931751</v>
      </c>
      <c r="AC647" s="214">
        <f ca="1">+$W647-XOffset</f>
        <v>40.802828354596642</v>
      </c>
    </row>
    <row r="648" spans="8:29" s="213" customFormat="1" ht="9" customHeight="1">
      <c r="H648" s="212"/>
      <c r="I648" s="212"/>
      <c r="S648" s="307"/>
      <c r="T648" s="226">
        <f t="shared" si="41"/>
        <v>645</v>
      </c>
      <c r="U648" s="224">
        <f t="shared" si="42"/>
        <v>1</v>
      </c>
      <c r="V648" s="225">
        <f t="shared" si="43"/>
        <v>1</v>
      </c>
      <c r="W648" s="238">
        <f ca="1">$U648*EWSpacingFt+XOffset+0</f>
        <v>30.000006832286932</v>
      </c>
      <c r="X648" s="242">
        <f ca="1">$V648*NSSpacingFt+YOffset+PanArrayLenFt*COS(RADIANS(Latitude+DecAng))</f>
        <v>34.439632545931751</v>
      </c>
      <c r="Y648" s="246">
        <f ca="1">+$V648*NSGradeFt+PedHeight+PanArrayLenFt*SIN(RADIANS(Latitude+DecAng))</f>
        <v>7.401410761154855</v>
      </c>
      <c r="Z648" s="214">
        <f ca="1">+$W648</f>
        <v>30.000006832286932</v>
      </c>
      <c r="AA648" s="214">
        <f ca="1">+$Y648</f>
        <v>7.401410761154855</v>
      </c>
      <c r="AB648" s="214">
        <f ca="1">+$X648</f>
        <v>34.439632545931751</v>
      </c>
      <c r="AC648" s="214">
        <f ca="1">+$W648-XOffset</f>
        <v>30.000006832286932</v>
      </c>
    </row>
    <row r="649" spans="8:29" s="213" customFormat="1" ht="9" customHeight="1">
      <c r="H649" s="212"/>
      <c r="I649" s="212"/>
      <c r="S649" s="307"/>
      <c r="T649" s="226">
        <f t="shared" si="41"/>
        <v>646</v>
      </c>
      <c r="U649" s="224">
        <f t="shared" si="42"/>
        <v>1</v>
      </c>
      <c r="V649" s="225">
        <f t="shared" si="43"/>
        <v>1</v>
      </c>
      <c r="W649" s="239">
        <f ca="1">$U649*EWSpacingFt+XOffset+(PanArrayWidthHighEndFt-PanArrayWidthLowEndFt)/2</f>
        <v>30.000006832286932</v>
      </c>
      <c r="X649" s="243">
        <f ca="1">$V649*NSSpacingFt+YOffset+0</f>
        <v>17.999999999999989</v>
      </c>
      <c r="Y649" s="247">
        <f ca="1">+$V649*NSGradeFt+PedHeight+0</f>
        <v>7.401410761154855</v>
      </c>
      <c r="Z649" s="214">
        <f ca="1">+$W649</f>
        <v>30.000006832286932</v>
      </c>
      <c r="AA649" s="214">
        <f ca="1">+$Y649</f>
        <v>7.401410761154855</v>
      </c>
      <c r="AB649" s="214">
        <f ca="1">+$X649</f>
        <v>17.999999999999989</v>
      </c>
      <c r="AC649" s="214">
        <f ca="1">+$W649-XOffset</f>
        <v>30.000006832286932</v>
      </c>
    </row>
    <row r="650" spans="8:29" s="213" customFormat="1" ht="9" customHeight="1">
      <c r="H650" s="212"/>
      <c r="I650" s="212"/>
      <c r="S650" s="307"/>
      <c r="T650" s="226">
        <f t="shared" si="41"/>
        <v>647</v>
      </c>
      <c r="U650" s="224">
        <f t="shared" si="42"/>
        <v>1</v>
      </c>
      <c r="V650" s="225">
        <f t="shared" si="43"/>
        <v>1</v>
      </c>
      <c r="W650" s="217"/>
      <c r="X650" s="217"/>
      <c r="Y650" s="217"/>
      <c r="Z650" s="214"/>
      <c r="AA650" s="214"/>
      <c r="AB650" s="214"/>
      <c r="AC650" s="214"/>
    </row>
    <row r="651" spans="8:29" s="213" customFormat="1" ht="9" customHeight="1">
      <c r="H651" s="212"/>
      <c r="I651" s="212"/>
      <c r="S651" s="307">
        <f>INT((T651-0)/6)+1</f>
        <v>109</v>
      </c>
      <c r="T651" s="226">
        <f t="shared" si="41"/>
        <v>648</v>
      </c>
      <c r="U651" s="224">
        <f t="shared" si="42"/>
        <v>0</v>
      </c>
      <c r="V651" s="225">
        <f t="shared" si="43"/>
        <v>2</v>
      </c>
      <c r="W651" s="233">
        <f ca="1">$U651*EWSpacingFt+XOffset+(PanArrayWidthHighEndFt-PanArrayWidthLowEndFt)/2</f>
        <v>0</v>
      </c>
      <c r="X651" s="234">
        <f ca="1">$V651*NSSpacingFt+YOffset+0</f>
        <v>35.999999999999979</v>
      </c>
      <c r="Y651" s="235">
        <f ca="1">+$V651*NSGradeFt+PedHeight+0</f>
        <v>7.401410761154855</v>
      </c>
      <c r="Z651" s="214">
        <f ca="1">+$W651</f>
        <v>0</v>
      </c>
      <c r="AA651" s="214">
        <f ca="1">+$Y651</f>
        <v>7.401410761154855</v>
      </c>
      <c r="AB651" s="214">
        <f ca="1">+$X651</f>
        <v>35.999999999999979</v>
      </c>
      <c r="AC651" s="214">
        <f ca="1">+$W651-XOffset</f>
        <v>0</v>
      </c>
    </row>
    <row r="652" spans="8:29" s="213" customFormat="1" ht="9" customHeight="1">
      <c r="H652" s="212"/>
      <c r="I652" s="212"/>
      <c r="S652" s="307"/>
      <c r="T652" s="226">
        <f t="shared" si="41"/>
        <v>649</v>
      </c>
      <c r="U652" s="224">
        <f t="shared" si="42"/>
        <v>0</v>
      </c>
      <c r="V652" s="225">
        <f t="shared" si="43"/>
        <v>2</v>
      </c>
      <c r="W652" s="236">
        <f ca="1">+$U652*EWSpacingFt+XOffset+PanArrayWidthHighEndFt-(PanArrayWidthHighEndFt-PanArrayWidthLowEndFt)/2</f>
        <v>10.80282152230971</v>
      </c>
      <c r="X652" s="240">
        <f ca="1">$V652*NSSpacingFt+YOffset+0</f>
        <v>35.999999999999979</v>
      </c>
      <c r="Y652" s="244">
        <f ca="1">+$V652*NSGradeFt+PedHeight+0</f>
        <v>7.401410761154855</v>
      </c>
      <c r="Z652" s="214">
        <f ca="1">+$W652</f>
        <v>10.80282152230971</v>
      </c>
      <c r="AA652" s="214">
        <f ca="1">+$Y652</f>
        <v>7.401410761154855</v>
      </c>
      <c r="AB652" s="214">
        <f ca="1">+$X652</f>
        <v>35.999999999999979</v>
      </c>
      <c r="AC652" s="214">
        <f ca="1">+$W652-XOffset</f>
        <v>10.80282152230971</v>
      </c>
    </row>
    <row r="653" spans="8:29" s="213" customFormat="1" ht="9" customHeight="1">
      <c r="H653" s="212"/>
      <c r="I653" s="212"/>
      <c r="S653" s="307"/>
      <c r="T653" s="226">
        <f t="shared" si="41"/>
        <v>650</v>
      </c>
      <c r="U653" s="224">
        <f t="shared" si="42"/>
        <v>0</v>
      </c>
      <c r="V653" s="225">
        <f t="shared" si="43"/>
        <v>2</v>
      </c>
      <c r="W653" s="237">
        <f ca="1">$U653*EWSpacingFt+XOffset+PanArrayWidthHighEndFt</f>
        <v>10.80282152230971</v>
      </c>
      <c r="X653" s="241">
        <f ca="1">$V653*NSSpacingFt+YOffset+PanArrayLenFt*COS(RADIANS(Latitude+DecAng))</f>
        <v>52.439632545931744</v>
      </c>
      <c r="Y653" s="245">
        <f ca="1">+$V653*NSGradeFt+PedHeight+PanArrayLenFt*SIN(RADIANS(Latitude+DecAng))</f>
        <v>7.401410761154855</v>
      </c>
      <c r="Z653" s="214">
        <f ca="1">+$W653</f>
        <v>10.80282152230971</v>
      </c>
      <c r="AA653" s="214">
        <f ca="1">+$Y653</f>
        <v>7.401410761154855</v>
      </c>
      <c r="AB653" s="214">
        <f ca="1">+$X653</f>
        <v>52.439632545931744</v>
      </c>
      <c r="AC653" s="214">
        <f ca="1">+$W653-XOffset</f>
        <v>10.80282152230971</v>
      </c>
    </row>
    <row r="654" spans="8:29" s="213" customFormat="1" ht="9" customHeight="1">
      <c r="H654" s="212"/>
      <c r="I654" s="212"/>
      <c r="S654" s="307"/>
      <c r="T654" s="226">
        <f t="shared" si="41"/>
        <v>651</v>
      </c>
      <c r="U654" s="224">
        <f t="shared" si="42"/>
        <v>0</v>
      </c>
      <c r="V654" s="225">
        <f t="shared" si="43"/>
        <v>2</v>
      </c>
      <c r="W654" s="238">
        <f ca="1">$U654*EWSpacingFt+XOffset+0</f>
        <v>0</v>
      </c>
      <c r="X654" s="242">
        <f ca="1">$V654*NSSpacingFt+YOffset+PanArrayLenFt*COS(RADIANS(Latitude+DecAng))</f>
        <v>52.439632545931744</v>
      </c>
      <c r="Y654" s="246">
        <f ca="1">+$V654*NSGradeFt+PedHeight+PanArrayLenFt*SIN(RADIANS(Latitude+DecAng))</f>
        <v>7.401410761154855</v>
      </c>
      <c r="Z654" s="214">
        <f ca="1">+$W654</f>
        <v>0</v>
      </c>
      <c r="AA654" s="214">
        <f ca="1">+$Y654</f>
        <v>7.401410761154855</v>
      </c>
      <c r="AB654" s="214">
        <f ca="1">+$X654</f>
        <v>52.439632545931744</v>
      </c>
      <c r="AC654" s="214">
        <f ca="1">+$W654-XOffset</f>
        <v>0</v>
      </c>
    </row>
    <row r="655" spans="8:29" s="213" customFormat="1" ht="9" customHeight="1">
      <c r="H655" s="212"/>
      <c r="I655" s="212"/>
      <c r="S655" s="307"/>
      <c r="T655" s="226">
        <f t="shared" si="41"/>
        <v>652</v>
      </c>
      <c r="U655" s="224">
        <f t="shared" si="42"/>
        <v>0</v>
      </c>
      <c r="V655" s="225">
        <f t="shared" si="43"/>
        <v>2</v>
      </c>
      <c r="W655" s="239">
        <f ca="1">$U655*EWSpacingFt+XOffset+(PanArrayWidthHighEndFt-PanArrayWidthLowEndFt)/2</f>
        <v>0</v>
      </c>
      <c r="X655" s="243">
        <f ca="1">$V655*NSSpacingFt+YOffset+0</f>
        <v>35.999999999999979</v>
      </c>
      <c r="Y655" s="247">
        <f ca="1">+$V655*NSGradeFt+PedHeight+0</f>
        <v>7.401410761154855</v>
      </c>
      <c r="Z655" s="214">
        <f ca="1">+$W655</f>
        <v>0</v>
      </c>
      <c r="AA655" s="214">
        <f ca="1">+$Y655</f>
        <v>7.401410761154855</v>
      </c>
      <c r="AB655" s="214">
        <f ca="1">+$X655</f>
        <v>35.999999999999979</v>
      </c>
      <c r="AC655" s="214">
        <f ca="1">+$W655-XOffset</f>
        <v>0</v>
      </c>
    </row>
    <row r="656" spans="8:29" s="213" customFormat="1" ht="9" customHeight="1">
      <c r="H656" s="212"/>
      <c r="I656" s="212"/>
      <c r="S656" s="307"/>
      <c r="T656" s="226">
        <f t="shared" si="41"/>
        <v>653</v>
      </c>
      <c r="U656" s="224">
        <f t="shared" si="42"/>
        <v>0</v>
      </c>
      <c r="V656" s="225">
        <f t="shared" si="43"/>
        <v>2</v>
      </c>
      <c r="W656" s="217"/>
      <c r="X656" s="217"/>
      <c r="Y656" s="217"/>
      <c r="Z656" s="214"/>
      <c r="AA656" s="214"/>
      <c r="AB656" s="214"/>
      <c r="AC656" s="214"/>
    </row>
    <row r="657" spans="8:29" s="213" customFormat="1" ht="9" customHeight="1">
      <c r="H657" s="212"/>
      <c r="I657" s="212"/>
      <c r="S657" s="307">
        <f>INT((T657-0)/6)+1</f>
        <v>110</v>
      </c>
      <c r="T657" s="226">
        <f t="shared" ref="T657:T720" si="44">+T656+1</f>
        <v>654</v>
      </c>
      <c r="U657" s="224">
        <f t="shared" si="42"/>
        <v>1</v>
      </c>
      <c r="V657" s="225">
        <f t="shared" si="43"/>
        <v>2</v>
      </c>
      <c r="W657" s="233">
        <f ca="1">$U657*EWSpacingFt+XOffset+(PanArrayWidthHighEndFt-PanArrayWidthLowEndFt)/2</f>
        <v>30.000006832286932</v>
      </c>
      <c r="X657" s="234">
        <f ca="1">$V657*NSSpacingFt+YOffset+0</f>
        <v>35.999999999999979</v>
      </c>
      <c r="Y657" s="235">
        <f ca="1">+$V657*NSGradeFt+PedHeight+0</f>
        <v>7.401410761154855</v>
      </c>
      <c r="Z657" s="214">
        <f ca="1">+$W657</f>
        <v>30.000006832286932</v>
      </c>
      <c r="AA657" s="214">
        <f ca="1">+$Y657</f>
        <v>7.401410761154855</v>
      </c>
      <c r="AB657" s="214">
        <f ca="1">+$X657</f>
        <v>35.999999999999979</v>
      </c>
      <c r="AC657" s="214">
        <f ca="1">+$W657-XOffset</f>
        <v>30.000006832286932</v>
      </c>
    </row>
    <row r="658" spans="8:29" s="213" customFormat="1" ht="9" customHeight="1">
      <c r="H658" s="212"/>
      <c r="I658" s="212"/>
      <c r="S658" s="307"/>
      <c r="T658" s="226">
        <f t="shared" si="44"/>
        <v>655</v>
      </c>
      <c r="U658" s="224">
        <f t="shared" si="42"/>
        <v>1</v>
      </c>
      <c r="V658" s="225">
        <f t="shared" si="43"/>
        <v>2</v>
      </c>
      <c r="W658" s="236">
        <f ca="1">+$U658*EWSpacingFt+XOffset+PanArrayWidthHighEndFt-(PanArrayWidthHighEndFt-PanArrayWidthLowEndFt)/2</f>
        <v>40.802828354596642</v>
      </c>
      <c r="X658" s="240">
        <f ca="1">$V658*NSSpacingFt+YOffset+0</f>
        <v>35.999999999999979</v>
      </c>
      <c r="Y658" s="244">
        <f ca="1">+$V658*NSGradeFt+PedHeight+0</f>
        <v>7.401410761154855</v>
      </c>
      <c r="Z658" s="214">
        <f ca="1">+$W658</f>
        <v>40.802828354596642</v>
      </c>
      <c r="AA658" s="214">
        <f ca="1">+$Y658</f>
        <v>7.401410761154855</v>
      </c>
      <c r="AB658" s="214">
        <f ca="1">+$X658</f>
        <v>35.999999999999979</v>
      </c>
      <c r="AC658" s="214">
        <f ca="1">+$W658-XOffset</f>
        <v>40.802828354596642</v>
      </c>
    </row>
    <row r="659" spans="8:29" s="213" customFormat="1" ht="9" customHeight="1">
      <c r="H659" s="212"/>
      <c r="I659" s="212"/>
      <c r="S659" s="307"/>
      <c r="T659" s="226">
        <f t="shared" si="44"/>
        <v>656</v>
      </c>
      <c r="U659" s="224">
        <f t="shared" si="42"/>
        <v>1</v>
      </c>
      <c r="V659" s="225">
        <f t="shared" si="43"/>
        <v>2</v>
      </c>
      <c r="W659" s="237">
        <f ca="1">$U659*EWSpacingFt+XOffset+PanArrayWidthHighEndFt</f>
        <v>40.802828354596642</v>
      </c>
      <c r="X659" s="241">
        <f ca="1">$V659*NSSpacingFt+YOffset+PanArrayLenFt*COS(RADIANS(Latitude+DecAng))</f>
        <v>52.439632545931744</v>
      </c>
      <c r="Y659" s="245">
        <f ca="1">+$V659*NSGradeFt+PedHeight+PanArrayLenFt*SIN(RADIANS(Latitude+DecAng))</f>
        <v>7.401410761154855</v>
      </c>
      <c r="Z659" s="214">
        <f ca="1">+$W659</f>
        <v>40.802828354596642</v>
      </c>
      <c r="AA659" s="214">
        <f ca="1">+$Y659</f>
        <v>7.401410761154855</v>
      </c>
      <c r="AB659" s="214">
        <f ca="1">+$X659</f>
        <v>52.439632545931744</v>
      </c>
      <c r="AC659" s="214">
        <f ca="1">+$W659-XOffset</f>
        <v>40.802828354596642</v>
      </c>
    </row>
    <row r="660" spans="8:29" s="213" customFormat="1" ht="9" customHeight="1">
      <c r="H660" s="212"/>
      <c r="I660" s="212"/>
      <c r="S660" s="307"/>
      <c r="T660" s="226">
        <f t="shared" si="44"/>
        <v>657</v>
      </c>
      <c r="U660" s="224">
        <f t="shared" si="42"/>
        <v>1</v>
      </c>
      <c r="V660" s="225">
        <f t="shared" si="43"/>
        <v>2</v>
      </c>
      <c r="W660" s="238">
        <f ca="1">$U660*EWSpacingFt+XOffset+0</f>
        <v>30.000006832286932</v>
      </c>
      <c r="X660" s="242">
        <f ca="1">$V660*NSSpacingFt+YOffset+PanArrayLenFt*COS(RADIANS(Latitude+DecAng))</f>
        <v>52.439632545931744</v>
      </c>
      <c r="Y660" s="246">
        <f ca="1">+$V660*NSGradeFt+PedHeight+PanArrayLenFt*SIN(RADIANS(Latitude+DecAng))</f>
        <v>7.401410761154855</v>
      </c>
      <c r="Z660" s="214">
        <f ca="1">+$W660</f>
        <v>30.000006832286932</v>
      </c>
      <c r="AA660" s="214">
        <f ca="1">+$Y660</f>
        <v>7.401410761154855</v>
      </c>
      <c r="AB660" s="214">
        <f ca="1">+$X660</f>
        <v>52.439632545931744</v>
      </c>
      <c r="AC660" s="214">
        <f ca="1">+$W660-XOffset</f>
        <v>30.000006832286932</v>
      </c>
    </row>
    <row r="661" spans="8:29" s="213" customFormat="1" ht="9" customHeight="1">
      <c r="H661" s="212"/>
      <c r="I661" s="212"/>
      <c r="S661" s="307"/>
      <c r="T661" s="226">
        <f t="shared" si="44"/>
        <v>658</v>
      </c>
      <c r="U661" s="224">
        <f t="shared" si="42"/>
        <v>1</v>
      </c>
      <c r="V661" s="225">
        <f t="shared" si="43"/>
        <v>2</v>
      </c>
      <c r="W661" s="239">
        <f ca="1">$U661*EWSpacingFt+XOffset+(PanArrayWidthHighEndFt-PanArrayWidthLowEndFt)/2</f>
        <v>30.000006832286932</v>
      </c>
      <c r="X661" s="243">
        <f ca="1">$V661*NSSpacingFt+YOffset+0</f>
        <v>35.999999999999979</v>
      </c>
      <c r="Y661" s="247">
        <f ca="1">+$V661*NSGradeFt+PedHeight+0</f>
        <v>7.401410761154855</v>
      </c>
      <c r="Z661" s="214">
        <f ca="1">+$W661</f>
        <v>30.000006832286932</v>
      </c>
      <c r="AA661" s="214">
        <f ca="1">+$Y661</f>
        <v>7.401410761154855</v>
      </c>
      <c r="AB661" s="214">
        <f ca="1">+$X661</f>
        <v>35.999999999999979</v>
      </c>
      <c r="AC661" s="214">
        <f ca="1">+$W661-XOffset</f>
        <v>30.000006832286932</v>
      </c>
    </row>
    <row r="662" spans="8:29" s="213" customFormat="1" ht="9" customHeight="1">
      <c r="H662" s="212"/>
      <c r="I662" s="212"/>
      <c r="S662" s="307"/>
      <c r="T662" s="226">
        <f t="shared" si="44"/>
        <v>659</v>
      </c>
      <c r="U662" s="224">
        <f t="shared" si="42"/>
        <v>1</v>
      </c>
      <c r="V662" s="225">
        <f t="shared" si="43"/>
        <v>2</v>
      </c>
      <c r="W662" s="217"/>
      <c r="X662" s="217"/>
      <c r="Y662" s="217"/>
      <c r="Z662" s="214"/>
      <c r="AA662" s="214"/>
      <c r="AB662" s="214"/>
      <c r="AC662" s="214"/>
    </row>
    <row r="663" spans="8:29" s="213" customFormat="1" ht="9" customHeight="1">
      <c r="H663" s="212"/>
      <c r="I663" s="212"/>
      <c r="S663" s="307">
        <f>INT((T663-0)/6)+1</f>
        <v>111</v>
      </c>
      <c r="T663" s="226">
        <f t="shared" si="44"/>
        <v>660</v>
      </c>
      <c r="U663" s="224">
        <f t="shared" si="42"/>
        <v>0</v>
      </c>
      <c r="V663" s="225">
        <f t="shared" si="43"/>
        <v>3</v>
      </c>
      <c r="W663" s="233">
        <f ca="1">$U663*EWSpacingFt+XOffset+(PanArrayWidthHighEndFt-PanArrayWidthLowEndFt)/2</f>
        <v>0</v>
      </c>
      <c r="X663" s="234">
        <f ca="1">$V663*NSSpacingFt+YOffset+0</f>
        <v>53.999999999999972</v>
      </c>
      <c r="Y663" s="235">
        <f ca="1">+$V663*NSGradeFt+PedHeight+0</f>
        <v>7.401410761154855</v>
      </c>
      <c r="Z663" s="214">
        <f ca="1">+$W663</f>
        <v>0</v>
      </c>
      <c r="AA663" s="214">
        <f ca="1">+$Y663</f>
        <v>7.401410761154855</v>
      </c>
      <c r="AB663" s="214">
        <f ca="1">+$X663</f>
        <v>53.999999999999972</v>
      </c>
      <c r="AC663" s="214">
        <f ca="1">+$W663-XOffset</f>
        <v>0</v>
      </c>
    </row>
    <row r="664" spans="8:29" s="213" customFormat="1" ht="9" customHeight="1">
      <c r="H664" s="212"/>
      <c r="I664" s="212"/>
      <c r="S664" s="307"/>
      <c r="T664" s="226">
        <f t="shared" si="44"/>
        <v>661</v>
      </c>
      <c r="U664" s="224">
        <f t="shared" si="42"/>
        <v>0</v>
      </c>
      <c r="V664" s="225">
        <f t="shared" si="43"/>
        <v>3</v>
      </c>
      <c r="W664" s="236">
        <f ca="1">+$U664*EWSpacingFt+XOffset+PanArrayWidthHighEndFt-(PanArrayWidthHighEndFt-PanArrayWidthLowEndFt)/2</f>
        <v>10.80282152230971</v>
      </c>
      <c r="X664" s="240">
        <f ca="1">$V664*NSSpacingFt+YOffset+0</f>
        <v>53.999999999999972</v>
      </c>
      <c r="Y664" s="244">
        <f ca="1">+$V664*NSGradeFt+PedHeight+0</f>
        <v>7.401410761154855</v>
      </c>
      <c r="Z664" s="214">
        <f ca="1">+$W664</f>
        <v>10.80282152230971</v>
      </c>
      <c r="AA664" s="214">
        <f ca="1">+$Y664</f>
        <v>7.401410761154855</v>
      </c>
      <c r="AB664" s="214">
        <f ca="1">+$X664</f>
        <v>53.999999999999972</v>
      </c>
      <c r="AC664" s="214">
        <f ca="1">+$W664-XOffset</f>
        <v>10.80282152230971</v>
      </c>
    </row>
    <row r="665" spans="8:29" s="213" customFormat="1" ht="9" customHeight="1">
      <c r="H665" s="212"/>
      <c r="I665" s="212"/>
      <c r="S665" s="307"/>
      <c r="T665" s="226">
        <f t="shared" si="44"/>
        <v>662</v>
      </c>
      <c r="U665" s="224">
        <f t="shared" si="42"/>
        <v>0</v>
      </c>
      <c r="V665" s="225">
        <f t="shared" si="43"/>
        <v>3</v>
      </c>
      <c r="W665" s="237">
        <f ca="1">$U665*EWSpacingFt+XOffset+PanArrayWidthHighEndFt</f>
        <v>10.80282152230971</v>
      </c>
      <c r="X665" s="241">
        <f ca="1">$V665*NSSpacingFt+YOffset+PanArrayLenFt*COS(RADIANS(Latitude+DecAng))</f>
        <v>70.43963254593173</v>
      </c>
      <c r="Y665" s="245">
        <f ca="1">+$V665*NSGradeFt+PedHeight+PanArrayLenFt*SIN(RADIANS(Latitude+DecAng))</f>
        <v>7.401410761154855</v>
      </c>
      <c r="Z665" s="214">
        <f ca="1">+$W665</f>
        <v>10.80282152230971</v>
      </c>
      <c r="AA665" s="214">
        <f ca="1">+$Y665</f>
        <v>7.401410761154855</v>
      </c>
      <c r="AB665" s="214">
        <f ca="1">+$X665</f>
        <v>70.43963254593173</v>
      </c>
      <c r="AC665" s="214">
        <f ca="1">+$W665-XOffset</f>
        <v>10.80282152230971</v>
      </c>
    </row>
    <row r="666" spans="8:29" s="213" customFormat="1" ht="9" customHeight="1">
      <c r="H666" s="212"/>
      <c r="I666" s="212"/>
      <c r="S666" s="307"/>
      <c r="T666" s="226">
        <f t="shared" si="44"/>
        <v>663</v>
      </c>
      <c r="U666" s="224">
        <f t="shared" si="42"/>
        <v>0</v>
      </c>
      <c r="V666" s="225">
        <f t="shared" si="43"/>
        <v>3</v>
      </c>
      <c r="W666" s="238">
        <f ca="1">$U666*EWSpacingFt+XOffset+0</f>
        <v>0</v>
      </c>
      <c r="X666" s="242">
        <f ca="1">$V666*NSSpacingFt+YOffset+PanArrayLenFt*COS(RADIANS(Latitude+DecAng))</f>
        <v>70.43963254593173</v>
      </c>
      <c r="Y666" s="246">
        <f ca="1">+$V666*NSGradeFt+PedHeight+PanArrayLenFt*SIN(RADIANS(Latitude+DecAng))</f>
        <v>7.401410761154855</v>
      </c>
      <c r="Z666" s="214">
        <f ca="1">+$W666</f>
        <v>0</v>
      </c>
      <c r="AA666" s="214">
        <f ca="1">+$Y666</f>
        <v>7.401410761154855</v>
      </c>
      <c r="AB666" s="214">
        <f ca="1">+$X666</f>
        <v>70.43963254593173</v>
      </c>
      <c r="AC666" s="214">
        <f ca="1">+$W666-XOffset</f>
        <v>0</v>
      </c>
    </row>
    <row r="667" spans="8:29" s="213" customFormat="1" ht="9" customHeight="1">
      <c r="H667" s="212"/>
      <c r="I667" s="212"/>
      <c r="S667" s="307"/>
      <c r="T667" s="226">
        <f t="shared" si="44"/>
        <v>664</v>
      </c>
      <c r="U667" s="224">
        <f t="shared" si="42"/>
        <v>0</v>
      </c>
      <c r="V667" s="225">
        <f t="shared" si="43"/>
        <v>3</v>
      </c>
      <c r="W667" s="239">
        <f ca="1">$U667*EWSpacingFt+XOffset+(PanArrayWidthHighEndFt-PanArrayWidthLowEndFt)/2</f>
        <v>0</v>
      </c>
      <c r="X667" s="243">
        <f ca="1">$V667*NSSpacingFt+YOffset+0</f>
        <v>53.999999999999972</v>
      </c>
      <c r="Y667" s="247">
        <f ca="1">+$V667*NSGradeFt+PedHeight+0</f>
        <v>7.401410761154855</v>
      </c>
      <c r="Z667" s="214">
        <f ca="1">+$W667</f>
        <v>0</v>
      </c>
      <c r="AA667" s="214">
        <f ca="1">+$Y667</f>
        <v>7.401410761154855</v>
      </c>
      <c r="AB667" s="214">
        <f ca="1">+$X667</f>
        <v>53.999999999999972</v>
      </c>
      <c r="AC667" s="214">
        <f ca="1">+$W667-XOffset</f>
        <v>0</v>
      </c>
    </row>
    <row r="668" spans="8:29" s="213" customFormat="1" ht="9" customHeight="1">
      <c r="H668" s="212"/>
      <c r="I668" s="212"/>
      <c r="S668" s="307"/>
      <c r="T668" s="226">
        <f t="shared" si="44"/>
        <v>665</v>
      </c>
      <c r="U668" s="224">
        <f t="shared" si="42"/>
        <v>0</v>
      </c>
      <c r="V668" s="225">
        <f t="shared" si="43"/>
        <v>3</v>
      </c>
      <c r="W668" s="217"/>
      <c r="X668" s="217"/>
      <c r="Y668" s="217"/>
      <c r="Z668" s="214"/>
      <c r="AA668" s="214"/>
      <c r="AB668" s="214"/>
      <c r="AC668" s="214"/>
    </row>
    <row r="669" spans="8:29" s="213" customFormat="1" ht="9" customHeight="1">
      <c r="H669" s="212"/>
      <c r="I669" s="212"/>
      <c r="S669" s="307">
        <f>INT((T669-0)/6)+1</f>
        <v>112</v>
      </c>
      <c r="T669" s="226">
        <f t="shared" si="44"/>
        <v>666</v>
      </c>
      <c r="U669" s="224">
        <f t="shared" si="42"/>
        <v>1</v>
      </c>
      <c r="V669" s="225">
        <f t="shared" si="43"/>
        <v>3</v>
      </c>
      <c r="W669" s="233">
        <f ca="1">$U669*EWSpacingFt+XOffset+(PanArrayWidthHighEndFt-PanArrayWidthLowEndFt)/2</f>
        <v>30.000006832286932</v>
      </c>
      <c r="X669" s="234">
        <f ca="1">$V669*NSSpacingFt+YOffset+0</f>
        <v>53.999999999999972</v>
      </c>
      <c r="Y669" s="235">
        <f ca="1">+$V669*NSGradeFt+PedHeight+0</f>
        <v>7.401410761154855</v>
      </c>
      <c r="Z669" s="214">
        <f ca="1">+$W669</f>
        <v>30.000006832286932</v>
      </c>
      <c r="AA669" s="214">
        <f ca="1">+$Y669</f>
        <v>7.401410761154855</v>
      </c>
      <c r="AB669" s="214">
        <f ca="1">+$X669</f>
        <v>53.999999999999972</v>
      </c>
      <c r="AC669" s="214">
        <f ca="1">+$W669-XOffset</f>
        <v>30.000006832286932</v>
      </c>
    </row>
    <row r="670" spans="8:29" s="213" customFormat="1" ht="9" customHeight="1">
      <c r="H670" s="212"/>
      <c r="I670" s="212"/>
      <c r="S670" s="307"/>
      <c r="T670" s="226">
        <f t="shared" si="44"/>
        <v>667</v>
      </c>
      <c r="U670" s="224">
        <f t="shared" si="42"/>
        <v>1</v>
      </c>
      <c r="V670" s="225">
        <f t="shared" si="43"/>
        <v>3</v>
      </c>
      <c r="W670" s="236">
        <f ca="1">+$U670*EWSpacingFt+XOffset+PanArrayWidthHighEndFt-(PanArrayWidthHighEndFt-PanArrayWidthLowEndFt)/2</f>
        <v>40.802828354596642</v>
      </c>
      <c r="X670" s="240">
        <f ca="1">$V670*NSSpacingFt+YOffset+0</f>
        <v>53.999999999999972</v>
      </c>
      <c r="Y670" s="244">
        <f ca="1">+$V670*NSGradeFt+PedHeight+0</f>
        <v>7.401410761154855</v>
      </c>
      <c r="Z670" s="214">
        <f ca="1">+$W670</f>
        <v>40.802828354596642</v>
      </c>
      <c r="AA670" s="214">
        <f ca="1">+$Y670</f>
        <v>7.401410761154855</v>
      </c>
      <c r="AB670" s="214">
        <f ca="1">+$X670</f>
        <v>53.999999999999972</v>
      </c>
      <c r="AC670" s="214">
        <f ca="1">+$W670-XOffset</f>
        <v>40.802828354596642</v>
      </c>
    </row>
    <row r="671" spans="8:29" s="213" customFormat="1" ht="9" customHeight="1">
      <c r="H671" s="212"/>
      <c r="I671" s="212"/>
      <c r="S671" s="307"/>
      <c r="T671" s="226">
        <f t="shared" si="44"/>
        <v>668</v>
      </c>
      <c r="U671" s="224">
        <f t="shared" si="42"/>
        <v>1</v>
      </c>
      <c r="V671" s="225">
        <f t="shared" si="43"/>
        <v>3</v>
      </c>
      <c r="W671" s="237">
        <f ca="1">$U671*EWSpacingFt+XOffset+PanArrayWidthHighEndFt</f>
        <v>40.802828354596642</v>
      </c>
      <c r="X671" s="241">
        <f ca="1">$V671*NSSpacingFt+YOffset+PanArrayLenFt*COS(RADIANS(Latitude+DecAng))</f>
        <v>70.43963254593173</v>
      </c>
      <c r="Y671" s="245">
        <f ca="1">+$V671*NSGradeFt+PedHeight+PanArrayLenFt*SIN(RADIANS(Latitude+DecAng))</f>
        <v>7.401410761154855</v>
      </c>
      <c r="Z671" s="214">
        <f ca="1">+$W671</f>
        <v>40.802828354596642</v>
      </c>
      <c r="AA671" s="214">
        <f ca="1">+$Y671</f>
        <v>7.401410761154855</v>
      </c>
      <c r="AB671" s="214">
        <f ca="1">+$X671</f>
        <v>70.43963254593173</v>
      </c>
      <c r="AC671" s="214">
        <f ca="1">+$W671-XOffset</f>
        <v>40.802828354596642</v>
      </c>
    </row>
    <row r="672" spans="8:29" s="213" customFormat="1" ht="9" customHeight="1">
      <c r="H672" s="212"/>
      <c r="I672" s="212"/>
      <c r="S672" s="307"/>
      <c r="T672" s="226">
        <f t="shared" si="44"/>
        <v>669</v>
      </c>
      <c r="U672" s="224">
        <f t="shared" si="42"/>
        <v>1</v>
      </c>
      <c r="V672" s="225">
        <f t="shared" si="43"/>
        <v>3</v>
      </c>
      <c r="W672" s="238">
        <f ca="1">$U672*EWSpacingFt+XOffset+0</f>
        <v>30.000006832286932</v>
      </c>
      <c r="X672" s="242">
        <f ca="1">$V672*NSSpacingFt+YOffset+PanArrayLenFt*COS(RADIANS(Latitude+DecAng))</f>
        <v>70.43963254593173</v>
      </c>
      <c r="Y672" s="246">
        <f ca="1">+$V672*NSGradeFt+PedHeight+PanArrayLenFt*SIN(RADIANS(Latitude+DecAng))</f>
        <v>7.401410761154855</v>
      </c>
      <c r="Z672" s="214">
        <f ca="1">+$W672</f>
        <v>30.000006832286932</v>
      </c>
      <c r="AA672" s="214">
        <f ca="1">+$Y672</f>
        <v>7.401410761154855</v>
      </c>
      <c r="AB672" s="214">
        <f ca="1">+$X672</f>
        <v>70.43963254593173</v>
      </c>
      <c r="AC672" s="214">
        <f ca="1">+$W672-XOffset</f>
        <v>30.000006832286932</v>
      </c>
    </row>
    <row r="673" spans="8:29" s="213" customFormat="1" ht="9" customHeight="1">
      <c r="H673" s="212"/>
      <c r="I673" s="212"/>
      <c r="S673" s="307"/>
      <c r="T673" s="226">
        <f t="shared" si="44"/>
        <v>670</v>
      </c>
      <c r="U673" s="224">
        <f t="shared" si="42"/>
        <v>1</v>
      </c>
      <c r="V673" s="225">
        <f t="shared" si="43"/>
        <v>3</v>
      </c>
      <c r="W673" s="239">
        <f ca="1">$U673*EWSpacingFt+XOffset+(PanArrayWidthHighEndFt-PanArrayWidthLowEndFt)/2</f>
        <v>30.000006832286932</v>
      </c>
      <c r="X673" s="243">
        <f ca="1">$V673*NSSpacingFt+YOffset+0</f>
        <v>53.999999999999972</v>
      </c>
      <c r="Y673" s="247">
        <f ca="1">+$V673*NSGradeFt+PedHeight+0</f>
        <v>7.401410761154855</v>
      </c>
      <c r="Z673" s="214">
        <f ca="1">+$W673</f>
        <v>30.000006832286932</v>
      </c>
      <c r="AA673" s="214">
        <f ca="1">+$Y673</f>
        <v>7.401410761154855</v>
      </c>
      <c r="AB673" s="214">
        <f ca="1">+$X673</f>
        <v>53.999999999999972</v>
      </c>
      <c r="AC673" s="214">
        <f ca="1">+$W673-XOffset</f>
        <v>30.000006832286932</v>
      </c>
    </row>
    <row r="674" spans="8:29" s="213" customFormat="1" ht="9" customHeight="1">
      <c r="H674" s="212"/>
      <c r="I674" s="212"/>
      <c r="S674" s="307"/>
      <c r="T674" s="226">
        <f t="shared" si="44"/>
        <v>671</v>
      </c>
      <c r="U674" s="224">
        <f t="shared" si="42"/>
        <v>1</v>
      </c>
      <c r="V674" s="225">
        <f t="shared" si="43"/>
        <v>3</v>
      </c>
      <c r="W674" s="217"/>
      <c r="X674" s="217"/>
      <c r="Y674" s="217"/>
      <c r="Z674" s="214"/>
      <c r="AA674" s="214"/>
      <c r="AB674" s="214"/>
      <c r="AC674" s="214"/>
    </row>
    <row r="675" spans="8:29" s="213" customFormat="1" ht="9" customHeight="1">
      <c r="H675" s="212"/>
      <c r="I675" s="212"/>
      <c r="S675" s="307">
        <f>INT((T675-0)/6)+1</f>
        <v>113</v>
      </c>
      <c r="T675" s="226">
        <f t="shared" si="44"/>
        <v>672</v>
      </c>
      <c r="U675" s="224">
        <f t="shared" si="42"/>
        <v>0</v>
      </c>
      <c r="V675" s="225">
        <f t="shared" si="43"/>
        <v>0</v>
      </c>
      <c r="W675" s="233">
        <f ca="1">$U675*EWSpacingFt+XOffset+(PanArrayWidthHighEndFt-PanArrayWidthLowEndFt)/2</f>
        <v>0</v>
      </c>
      <c r="X675" s="234">
        <f ca="1">$V675*NSSpacingFt+YOffset+0</f>
        <v>0</v>
      </c>
      <c r="Y675" s="235">
        <f ca="1">+$V675*NSGradeFt+PedHeight+0</f>
        <v>7.401410761154855</v>
      </c>
      <c r="Z675" s="214">
        <f ca="1">+$W675</f>
        <v>0</v>
      </c>
      <c r="AA675" s="214">
        <f ca="1">+$Y675</f>
        <v>7.401410761154855</v>
      </c>
      <c r="AB675" s="214">
        <f ca="1">+$X675</f>
        <v>0</v>
      </c>
      <c r="AC675" s="214">
        <f ca="1">+$W675-XOffset</f>
        <v>0</v>
      </c>
    </row>
    <row r="676" spans="8:29" s="213" customFormat="1" ht="9" customHeight="1">
      <c r="H676" s="212"/>
      <c r="I676" s="212"/>
      <c r="S676" s="307"/>
      <c r="T676" s="226">
        <f t="shared" si="44"/>
        <v>673</v>
      </c>
      <c r="U676" s="224">
        <f t="shared" si="42"/>
        <v>0</v>
      </c>
      <c r="V676" s="225">
        <f t="shared" si="43"/>
        <v>0</v>
      </c>
      <c r="W676" s="236">
        <f ca="1">+$U676*EWSpacingFt+XOffset+PanArrayWidthHighEndFt-(PanArrayWidthHighEndFt-PanArrayWidthLowEndFt)/2</f>
        <v>10.80282152230971</v>
      </c>
      <c r="X676" s="240">
        <f ca="1">$V676*NSSpacingFt+YOffset+0</f>
        <v>0</v>
      </c>
      <c r="Y676" s="244">
        <f ca="1">+$V676*NSGradeFt+PedHeight+0</f>
        <v>7.401410761154855</v>
      </c>
      <c r="Z676" s="214">
        <f ca="1">+$W676</f>
        <v>10.80282152230971</v>
      </c>
      <c r="AA676" s="214">
        <f ca="1">+$Y676</f>
        <v>7.401410761154855</v>
      </c>
      <c r="AB676" s="214">
        <f ca="1">+$X676</f>
        <v>0</v>
      </c>
      <c r="AC676" s="214">
        <f ca="1">+$W676-XOffset</f>
        <v>10.80282152230971</v>
      </c>
    </row>
    <row r="677" spans="8:29" s="213" customFormat="1" ht="9" customHeight="1">
      <c r="H677" s="212"/>
      <c r="I677" s="212"/>
      <c r="S677" s="307"/>
      <c r="T677" s="226">
        <f t="shared" si="44"/>
        <v>674</v>
      </c>
      <c r="U677" s="224">
        <f t="shared" si="42"/>
        <v>0</v>
      </c>
      <c r="V677" s="225">
        <f t="shared" si="43"/>
        <v>0</v>
      </c>
      <c r="W677" s="237">
        <f ca="1">$U677*EWSpacingFt+XOffset+PanArrayWidthHighEndFt</f>
        <v>10.80282152230971</v>
      </c>
      <c r="X677" s="241">
        <f ca="1">$V677*NSSpacingFt+YOffset+PanArrayLenFt*COS(RADIANS(Latitude+DecAng))</f>
        <v>16.439632545931762</v>
      </c>
      <c r="Y677" s="245">
        <f ca="1">+$V677*NSGradeFt+PedHeight+PanArrayLenFt*SIN(RADIANS(Latitude+DecAng))</f>
        <v>7.401410761154855</v>
      </c>
      <c r="Z677" s="214">
        <f ca="1">+$W677</f>
        <v>10.80282152230971</v>
      </c>
      <c r="AA677" s="214">
        <f ca="1">+$Y677</f>
        <v>7.401410761154855</v>
      </c>
      <c r="AB677" s="214">
        <f ca="1">+$X677</f>
        <v>16.439632545931762</v>
      </c>
      <c r="AC677" s="214">
        <f ca="1">+$W677-XOffset</f>
        <v>10.80282152230971</v>
      </c>
    </row>
    <row r="678" spans="8:29" s="213" customFormat="1" ht="9" customHeight="1">
      <c r="H678" s="212"/>
      <c r="I678" s="212"/>
      <c r="S678" s="307"/>
      <c r="T678" s="226">
        <f t="shared" si="44"/>
        <v>675</v>
      </c>
      <c r="U678" s="224">
        <f t="shared" si="42"/>
        <v>0</v>
      </c>
      <c r="V678" s="225">
        <f t="shared" si="43"/>
        <v>0</v>
      </c>
      <c r="W678" s="238">
        <f ca="1">$U678*EWSpacingFt+XOffset+0</f>
        <v>0</v>
      </c>
      <c r="X678" s="242">
        <f ca="1">$V678*NSSpacingFt+YOffset+PanArrayLenFt*COS(RADIANS(Latitude+DecAng))</f>
        <v>16.439632545931762</v>
      </c>
      <c r="Y678" s="246">
        <f ca="1">+$V678*NSGradeFt+PedHeight+PanArrayLenFt*SIN(RADIANS(Latitude+DecAng))</f>
        <v>7.401410761154855</v>
      </c>
      <c r="Z678" s="214">
        <f ca="1">+$W678</f>
        <v>0</v>
      </c>
      <c r="AA678" s="214">
        <f ca="1">+$Y678</f>
        <v>7.401410761154855</v>
      </c>
      <c r="AB678" s="214">
        <f ca="1">+$X678</f>
        <v>16.439632545931762</v>
      </c>
      <c r="AC678" s="214">
        <f ca="1">+$W678-XOffset</f>
        <v>0</v>
      </c>
    </row>
    <row r="679" spans="8:29" s="213" customFormat="1" ht="9" customHeight="1">
      <c r="H679" s="212"/>
      <c r="I679" s="212"/>
      <c r="S679" s="307"/>
      <c r="T679" s="226">
        <f t="shared" si="44"/>
        <v>676</v>
      </c>
      <c r="U679" s="224">
        <f t="shared" si="42"/>
        <v>0</v>
      </c>
      <c r="V679" s="225">
        <f t="shared" si="43"/>
        <v>0</v>
      </c>
      <c r="W679" s="239">
        <f ca="1">$U679*EWSpacingFt+XOffset+(PanArrayWidthHighEndFt-PanArrayWidthLowEndFt)/2</f>
        <v>0</v>
      </c>
      <c r="X679" s="243">
        <f ca="1">$V679*NSSpacingFt+YOffset+0</f>
        <v>0</v>
      </c>
      <c r="Y679" s="247">
        <f ca="1">+$V679*NSGradeFt+PedHeight+0</f>
        <v>7.401410761154855</v>
      </c>
      <c r="Z679" s="214">
        <f ca="1">+$W679</f>
        <v>0</v>
      </c>
      <c r="AA679" s="214">
        <f ca="1">+$Y679</f>
        <v>7.401410761154855</v>
      </c>
      <c r="AB679" s="214">
        <f ca="1">+$X679</f>
        <v>0</v>
      </c>
      <c r="AC679" s="214">
        <f ca="1">+$W679-XOffset</f>
        <v>0</v>
      </c>
    </row>
    <row r="680" spans="8:29" s="213" customFormat="1" ht="9" customHeight="1">
      <c r="H680" s="212"/>
      <c r="I680" s="212"/>
      <c r="S680" s="307"/>
      <c r="T680" s="226">
        <f t="shared" si="44"/>
        <v>677</v>
      </c>
      <c r="U680" s="224">
        <f t="shared" si="42"/>
        <v>0</v>
      </c>
      <c r="V680" s="225">
        <f t="shared" si="43"/>
        <v>0</v>
      </c>
      <c r="W680" s="217"/>
      <c r="X680" s="217"/>
      <c r="Y680" s="217"/>
      <c r="Z680" s="214"/>
      <c r="AA680" s="214"/>
      <c r="AB680" s="214"/>
      <c r="AC680" s="214"/>
    </row>
    <row r="681" spans="8:29" s="213" customFormat="1" ht="9" customHeight="1">
      <c r="H681" s="212"/>
      <c r="I681" s="212"/>
      <c r="S681" s="307">
        <f>INT((T681-0)/6)+1</f>
        <v>114</v>
      </c>
      <c r="T681" s="226">
        <f t="shared" si="44"/>
        <v>678</v>
      </c>
      <c r="U681" s="224">
        <f t="shared" si="42"/>
        <v>1</v>
      </c>
      <c r="V681" s="225">
        <f t="shared" si="43"/>
        <v>0</v>
      </c>
      <c r="W681" s="233">
        <f ca="1">$U681*EWSpacingFt+XOffset+(PanArrayWidthHighEndFt-PanArrayWidthLowEndFt)/2</f>
        <v>30.000006832286932</v>
      </c>
      <c r="X681" s="234">
        <f ca="1">$V681*NSSpacingFt+YOffset+0</f>
        <v>0</v>
      </c>
      <c r="Y681" s="235">
        <f ca="1">+$V681*NSGradeFt+PedHeight+0</f>
        <v>7.401410761154855</v>
      </c>
      <c r="Z681" s="214">
        <f ca="1">+$W681</f>
        <v>30.000006832286932</v>
      </c>
      <c r="AA681" s="214">
        <f ca="1">+$Y681</f>
        <v>7.401410761154855</v>
      </c>
      <c r="AB681" s="214">
        <f ca="1">+$X681</f>
        <v>0</v>
      </c>
      <c r="AC681" s="214">
        <f ca="1">+$W681-XOffset</f>
        <v>30.000006832286932</v>
      </c>
    </row>
    <row r="682" spans="8:29" s="213" customFormat="1" ht="9" customHeight="1">
      <c r="H682" s="212"/>
      <c r="I682" s="212"/>
      <c r="S682" s="307"/>
      <c r="T682" s="226">
        <f t="shared" si="44"/>
        <v>679</v>
      </c>
      <c r="U682" s="224">
        <f t="shared" si="42"/>
        <v>1</v>
      </c>
      <c r="V682" s="225">
        <f t="shared" si="43"/>
        <v>0</v>
      </c>
      <c r="W682" s="236">
        <f ca="1">+$U682*EWSpacingFt+XOffset+PanArrayWidthHighEndFt-(PanArrayWidthHighEndFt-PanArrayWidthLowEndFt)/2</f>
        <v>40.802828354596642</v>
      </c>
      <c r="X682" s="240">
        <f ca="1">$V682*NSSpacingFt+YOffset+0</f>
        <v>0</v>
      </c>
      <c r="Y682" s="244">
        <f ca="1">+$V682*NSGradeFt+PedHeight+0</f>
        <v>7.401410761154855</v>
      </c>
      <c r="Z682" s="214">
        <f ca="1">+$W682</f>
        <v>40.802828354596642</v>
      </c>
      <c r="AA682" s="214">
        <f ca="1">+$Y682</f>
        <v>7.401410761154855</v>
      </c>
      <c r="AB682" s="214">
        <f ca="1">+$X682</f>
        <v>0</v>
      </c>
      <c r="AC682" s="214">
        <f ca="1">+$W682-XOffset</f>
        <v>40.802828354596642</v>
      </c>
    </row>
    <row r="683" spans="8:29" s="213" customFormat="1" ht="9" customHeight="1">
      <c r="H683" s="212"/>
      <c r="I683" s="212"/>
      <c r="S683" s="307"/>
      <c r="T683" s="226">
        <f t="shared" si="44"/>
        <v>680</v>
      </c>
      <c r="U683" s="224">
        <f t="shared" si="42"/>
        <v>1</v>
      </c>
      <c r="V683" s="225">
        <f t="shared" si="43"/>
        <v>0</v>
      </c>
      <c r="W683" s="237">
        <f ca="1">$U683*EWSpacingFt+XOffset+PanArrayWidthHighEndFt</f>
        <v>40.802828354596642</v>
      </c>
      <c r="X683" s="241">
        <f ca="1">$V683*NSSpacingFt+YOffset+PanArrayLenFt*COS(RADIANS(Latitude+DecAng))</f>
        <v>16.439632545931762</v>
      </c>
      <c r="Y683" s="245">
        <f ca="1">+$V683*NSGradeFt+PedHeight+PanArrayLenFt*SIN(RADIANS(Latitude+DecAng))</f>
        <v>7.401410761154855</v>
      </c>
      <c r="Z683" s="214">
        <f ca="1">+$W683</f>
        <v>40.802828354596642</v>
      </c>
      <c r="AA683" s="214">
        <f ca="1">+$Y683</f>
        <v>7.401410761154855</v>
      </c>
      <c r="AB683" s="214">
        <f ca="1">+$X683</f>
        <v>16.439632545931762</v>
      </c>
      <c r="AC683" s="214">
        <f ca="1">+$W683-XOffset</f>
        <v>40.802828354596642</v>
      </c>
    </row>
    <row r="684" spans="8:29" s="213" customFormat="1" ht="9" customHeight="1">
      <c r="H684" s="212"/>
      <c r="I684" s="212"/>
      <c r="S684" s="307"/>
      <c r="T684" s="226">
        <f t="shared" si="44"/>
        <v>681</v>
      </c>
      <c r="U684" s="224">
        <f t="shared" si="42"/>
        <v>1</v>
      </c>
      <c r="V684" s="225">
        <f t="shared" si="43"/>
        <v>0</v>
      </c>
      <c r="W684" s="238">
        <f ca="1">$U684*EWSpacingFt+XOffset+0</f>
        <v>30.000006832286932</v>
      </c>
      <c r="X684" s="242">
        <f ca="1">$V684*NSSpacingFt+YOffset+PanArrayLenFt*COS(RADIANS(Latitude+DecAng))</f>
        <v>16.439632545931762</v>
      </c>
      <c r="Y684" s="246">
        <f ca="1">+$V684*NSGradeFt+PedHeight+PanArrayLenFt*SIN(RADIANS(Latitude+DecAng))</f>
        <v>7.401410761154855</v>
      </c>
      <c r="Z684" s="214">
        <f ca="1">+$W684</f>
        <v>30.000006832286932</v>
      </c>
      <c r="AA684" s="214">
        <f ca="1">+$Y684</f>
        <v>7.401410761154855</v>
      </c>
      <c r="AB684" s="214">
        <f ca="1">+$X684</f>
        <v>16.439632545931762</v>
      </c>
      <c r="AC684" s="214">
        <f ca="1">+$W684-XOffset</f>
        <v>30.000006832286932</v>
      </c>
    </row>
    <row r="685" spans="8:29" s="213" customFormat="1" ht="9" customHeight="1">
      <c r="H685" s="212"/>
      <c r="I685" s="212"/>
      <c r="S685" s="307"/>
      <c r="T685" s="226">
        <f t="shared" si="44"/>
        <v>682</v>
      </c>
      <c r="U685" s="224">
        <f t="shared" si="42"/>
        <v>1</v>
      </c>
      <c r="V685" s="225">
        <f t="shared" si="43"/>
        <v>0</v>
      </c>
      <c r="W685" s="239">
        <f ca="1">$U685*EWSpacingFt+XOffset+(PanArrayWidthHighEndFt-PanArrayWidthLowEndFt)/2</f>
        <v>30.000006832286932</v>
      </c>
      <c r="X685" s="243">
        <f ca="1">$V685*NSSpacingFt+YOffset+0</f>
        <v>0</v>
      </c>
      <c r="Y685" s="247">
        <f ca="1">+$V685*NSGradeFt+PedHeight+0</f>
        <v>7.401410761154855</v>
      </c>
      <c r="Z685" s="214">
        <f ca="1">+$W685</f>
        <v>30.000006832286932</v>
      </c>
      <c r="AA685" s="214">
        <f ca="1">+$Y685</f>
        <v>7.401410761154855</v>
      </c>
      <c r="AB685" s="214">
        <f ca="1">+$X685</f>
        <v>0</v>
      </c>
      <c r="AC685" s="214">
        <f ca="1">+$W685-XOffset</f>
        <v>30.000006832286932</v>
      </c>
    </row>
    <row r="686" spans="8:29" s="213" customFormat="1" ht="9" customHeight="1">
      <c r="H686" s="212"/>
      <c r="I686" s="212"/>
      <c r="S686" s="307"/>
      <c r="T686" s="226">
        <f t="shared" si="44"/>
        <v>683</v>
      </c>
      <c r="U686" s="224">
        <f t="shared" si="42"/>
        <v>1</v>
      </c>
      <c r="V686" s="225">
        <f t="shared" si="43"/>
        <v>0</v>
      </c>
      <c r="W686" s="217"/>
      <c r="X686" s="217"/>
      <c r="Y686" s="217"/>
      <c r="Z686" s="214"/>
      <c r="AA686" s="214"/>
      <c r="AB686" s="214"/>
      <c r="AC686" s="214"/>
    </row>
    <row r="687" spans="8:29" s="213" customFormat="1" ht="9" customHeight="1">
      <c r="H687" s="212"/>
      <c r="I687" s="212"/>
      <c r="S687" s="307">
        <f>INT((T687-0)/6)+1</f>
        <v>115</v>
      </c>
      <c r="T687" s="226">
        <f t="shared" si="44"/>
        <v>684</v>
      </c>
      <c r="U687" s="224">
        <f t="shared" si="42"/>
        <v>0</v>
      </c>
      <c r="V687" s="225">
        <f t="shared" si="43"/>
        <v>1</v>
      </c>
      <c r="W687" s="233">
        <f ca="1">$U687*EWSpacingFt+XOffset+(PanArrayWidthHighEndFt-PanArrayWidthLowEndFt)/2</f>
        <v>0</v>
      </c>
      <c r="X687" s="234">
        <f ca="1">$V687*NSSpacingFt+YOffset+0</f>
        <v>17.999999999999989</v>
      </c>
      <c r="Y687" s="235">
        <f ca="1">+$V687*NSGradeFt+PedHeight+0</f>
        <v>7.401410761154855</v>
      </c>
      <c r="Z687" s="214">
        <f ca="1">+$W687</f>
        <v>0</v>
      </c>
      <c r="AA687" s="214">
        <f ca="1">+$Y687</f>
        <v>7.401410761154855</v>
      </c>
      <c r="AB687" s="214">
        <f ca="1">+$X687</f>
        <v>17.999999999999989</v>
      </c>
      <c r="AC687" s="214">
        <f ca="1">+$W687-XOffset</f>
        <v>0</v>
      </c>
    </row>
    <row r="688" spans="8:29" s="213" customFormat="1" ht="9" customHeight="1">
      <c r="H688" s="212"/>
      <c r="I688" s="212"/>
      <c r="S688" s="307"/>
      <c r="T688" s="226">
        <f t="shared" si="44"/>
        <v>685</v>
      </c>
      <c r="U688" s="224">
        <f t="shared" si="42"/>
        <v>0</v>
      </c>
      <c r="V688" s="225">
        <f t="shared" si="43"/>
        <v>1</v>
      </c>
      <c r="W688" s="236">
        <f ca="1">+$U688*EWSpacingFt+XOffset+PanArrayWidthHighEndFt-(PanArrayWidthHighEndFt-PanArrayWidthLowEndFt)/2</f>
        <v>10.80282152230971</v>
      </c>
      <c r="X688" s="240">
        <f ca="1">$V688*NSSpacingFt+YOffset+0</f>
        <v>17.999999999999989</v>
      </c>
      <c r="Y688" s="244">
        <f ca="1">+$V688*NSGradeFt+PedHeight+0</f>
        <v>7.401410761154855</v>
      </c>
      <c r="Z688" s="214">
        <f ca="1">+$W688</f>
        <v>10.80282152230971</v>
      </c>
      <c r="AA688" s="214">
        <f ca="1">+$Y688</f>
        <v>7.401410761154855</v>
      </c>
      <c r="AB688" s="214">
        <f ca="1">+$X688</f>
        <v>17.999999999999989</v>
      </c>
      <c r="AC688" s="214">
        <f ca="1">+$W688-XOffset</f>
        <v>10.80282152230971</v>
      </c>
    </row>
    <row r="689" spans="8:29" s="213" customFormat="1" ht="9" customHeight="1">
      <c r="H689" s="212"/>
      <c r="I689" s="212"/>
      <c r="S689" s="307"/>
      <c r="T689" s="226">
        <f t="shared" si="44"/>
        <v>686</v>
      </c>
      <c r="U689" s="224">
        <f t="shared" si="42"/>
        <v>0</v>
      </c>
      <c r="V689" s="225">
        <f t="shared" si="43"/>
        <v>1</v>
      </c>
      <c r="W689" s="237">
        <f ca="1">$U689*EWSpacingFt+XOffset+PanArrayWidthHighEndFt</f>
        <v>10.80282152230971</v>
      </c>
      <c r="X689" s="241">
        <f ca="1">$V689*NSSpacingFt+YOffset+PanArrayLenFt*COS(RADIANS(Latitude+DecAng))</f>
        <v>34.439632545931751</v>
      </c>
      <c r="Y689" s="245">
        <f ca="1">+$V689*NSGradeFt+PedHeight+PanArrayLenFt*SIN(RADIANS(Latitude+DecAng))</f>
        <v>7.401410761154855</v>
      </c>
      <c r="Z689" s="214">
        <f ca="1">+$W689</f>
        <v>10.80282152230971</v>
      </c>
      <c r="AA689" s="214">
        <f ca="1">+$Y689</f>
        <v>7.401410761154855</v>
      </c>
      <c r="AB689" s="214">
        <f ca="1">+$X689</f>
        <v>34.439632545931751</v>
      </c>
      <c r="AC689" s="214">
        <f ca="1">+$W689-XOffset</f>
        <v>10.80282152230971</v>
      </c>
    </row>
    <row r="690" spans="8:29" s="213" customFormat="1" ht="9" customHeight="1">
      <c r="H690" s="212"/>
      <c r="I690" s="212"/>
      <c r="S690" s="307"/>
      <c r="T690" s="226">
        <f t="shared" si="44"/>
        <v>687</v>
      </c>
      <c r="U690" s="224">
        <f t="shared" si="42"/>
        <v>0</v>
      </c>
      <c r="V690" s="225">
        <f t="shared" si="43"/>
        <v>1</v>
      </c>
      <c r="W690" s="238">
        <f ca="1">$U690*EWSpacingFt+XOffset+0</f>
        <v>0</v>
      </c>
      <c r="X690" s="242">
        <f ca="1">$V690*NSSpacingFt+YOffset+PanArrayLenFt*COS(RADIANS(Latitude+DecAng))</f>
        <v>34.439632545931751</v>
      </c>
      <c r="Y690" s="246">
        <f ca="1">+$V690*NSGradeFt+PedHeight+PanArrayLenFt*SIN(RADIANS(Latitude+DecAng))</f>
        <v>7.401410761154855</v>
      </c>
      <c r="Z690" s="214">
        <f ca="1">+$W690</f>
        <v>0</v>
      </c>
      <c r="AA690" s="214">
        <f ca="1">+$Y690</f>
        <v>7.401410761154855</v>
      </c>
      <c r="AB690" s="214">
        <f ca="1">+$X690</f>
        <v>34.439632545931751</v>
      </c>
      <c r="AC690" s="214">
        <f ca="1">+$W690-XOffset</f>
        <v>0</v>
      </c>
    </row>
    <row r="691" spans="8:29" s="213" customFormat="1" ht="9" customHeight="1">
      <c r="H691" s="212"/>
      <c r="I691" s="212"/>
      <c r="S691" s="307"/>
      <c r="T691" s="226">
        <f t="shared" si="44"/>
        <v>688</v>
      </c>
      <c r="U691" s="224">
        <f t="shared" si="42"/>
        <v>0</v>
      </c>
      <c r="V691" s="225">
        <f t="shared" si="43"/>
        <v>1</v>
      </c>
      <c r="W691" s="239">
        <f ca="1">$U691*EWSpacingFt+XOffset+(PanArrayWidthHighEndFt-PanArrayWidthLowEndFt)/2</f>
        <v>0</v>
      </c>
      <c r="X691" s="243">
        <f ca="1">$V691*NSSpacingFt+YOffset+0</f>
        <v>17.999999999999989</v>
      </c>
      <c r="Y691" s="247">
        <f ca="1">+$V691*NSGradeFt+PedHeight+0</f>
        <v>7.401410761154855</v>
      </c>
      <c r="Z691" s="214">
        <f ca="1">+$W691</f>
        <v>0</v>
      </c>
      <c r="AA691" s="214">
        <f ca="1">+$Y691</f>
        <v>7.401410761154855</v>
      </c>
      <c r="AB691" s="214">
        <f ca="1">+$X691</f>
        <v>17.999999999999989</v>
      </c>
      <c r="AC691" s="214">
        <f ca="1">+$W691-XOffset</f>
        <v>0</v>
      </c>
    </row>
    <row r="692" spans="8:29" s="213" customFormat="1" ht="9" customHeight="1">
      <c r="H692" s="212"/>
      <c r="I692" s="212"/>
      <c r="S692" s="307"/>
      <c r="T692" s="226">
        <f t="shared" si="44"/>
        <v>689</v>
      </c>
      <c r="U692" s="224">
        <f t="shared" si="42"/>
        <v>0</v>
      </c>
      <c r="V692" s="225">
        <f t="shared" si="43"/>
        <v>1</v>
      </c>
      <c r="W692" s="217"/>
      <c r="X692" s="217"/>
      <c r="Y692" s="217"/>
      <c r="Z692" s="214"/>
      <c r="AA692" s="214"/>
      <c r="AB692" s="214"/>
      <c r="AC692" s="214"/>
    </row>
    <row r="693" spans="8:29" s="213" customFormat="1" ht="9" customHeight="1">
      <c r="H693" s="212"/>
      <c r="I693" s="212"/>
      <c r="S693" s="307">
        <f>INT((T693-0)/6)+1</f>
        <v>116</v>
      </c>
      <c r="T693" s="226">
        <f t="shared" si="44"/>
        <v>690</v>
      </c>
      <c r="U693" s="224">
        <f t="shared" si="42"/>
        <v>1</v>
      </c>
      <c r="V693" s="225">
        <f t="shared" si="43"/>
        <v>1</v>
      </c>
      <c r="W693" s="233">
        <f ca="1">$U693*EWSpacingFt+XOffset+(PanArrayWidthHighEndFt-PanArrayWidthLowEndFt)/2</f>
        <v>30.000006832286932</v>
      </c>
      <c r="X693" s="234">
        <f ca="1">$V693*NSSpacingFt+YOffset+0</f>
        <v>17.999999999999989</v>
      </c>
      <c r="Y693" s="235">
        <f ca="1">+$V693*NSGradeFt+PedHeight+0</f>
        <v>7.401410761154855</v>
      </c>
      <c r="Z693" s="214">
        <f ca="1">+$W693</f>
        <v>30.000006832286932</v>
      </c>
      <c r="AA693" s="214">
        <f ca="1">+$Y693</f>
        <v>7.401410761154855</v>
      </c>
      <c r="AB693" s="214">
        <f ca="1">+$X693</f>
        <v>17.999999999999989</v>
      </c>
      <c r="AC693" s="214">
        <f ca="1">+$W693-XOffset</f>
        <v>30.000006832286932</v>
      </c>
    </row>
    <row r="694" spans="8:29" s="213" customFormat="1" ht="9" customHeight="1">
      <c r="H694" s="212"/>
      <c r="I694" s="212"/>
      <c r="S694" s="307"/>
      <c r="T694" s="226">
        <f t="shared" si="44"/>
        <v>691</v>
      </c>
      <c r="U694" s="224">
        <f t="shared" si="42"/>
        <v>1</v>
      </c>
      <c r="V694" s="225">
        <f t="shared" si="43"/>
        <v>1</v>
      </c>
      <c r="W694" s="236">
        <f ca="1">+$U694*EWSpacingFt+XOffset+PanArrayWidthHighEndFt-(PanArrayWidthHighEndFt-PanArrayWidthLowEndFt)/2</f>
        <v>40.802828354596642</v>
      </c>
      <c r="X694" s="240">
        <f ca="1">$V694*NSSpacingFt+YOffset+0</f>
        <v>17.999999999999989</v>
      </c>
      <c r="Y694" s="244">
        <f ca="1">+$V694*NSGradeFt+PedHeight+0</f>
        <v>7.401410761154855</v>
      </c>
      <c r="Z694" s="214">
        <f ca="1">+$W694</f>
        <v>40.802828354596642</v>
      </c>
      <c r="AA694" s="214">
        <f ca="1">+$Y694</f>
        <v>7.401410761154855</v>
      </c>
      <c r="AB694" s="214">
        <f ca="1">+$X694</f>
        <v>17.999999999999989</v>
      </c>
      <c r="AC694" s="214">
        <f ca="1">+$W694-XOffset</f>
        <v>40.802828354596642</v>
      </c>
    </row>
    <row r="695" spans="8:29" s="213" customFormat="1" ht="9" customHeight="1">
      <c r="H695" s="212"/>
      <c r="I695" s="212"/>
      <c r="S695" s="307"/>
      <c r="T695" s="226">
        <f t="shared" si="44"/>
        <v>692</v>
      </c>
      <c r="U695" s="224">
        <f t="shared" si="42"/>
        <v>1</v>
      </c>
      <c r="V695" s="225">
        <f t="shared" si="43"/>
        <v>1</v>
      </c>
      <c r="W695" s="237">
        <f ca="1">$U695*EWSpacingFt+XOffset+PanArrayWidthHighEndFt</f>
        <v>40.802828354596642</v>
      </c>
      <c r="X695" s="241">
        <f ca="1">$V695*NSSpacingFt+YOffset+PanArrayLenFt*COS(RADIANS(Latitude+DecAng))</f>
        <v>34.439632545931751</v>
      </c>
      <c r="Y695" s="245">
        <f ca="1">+$V695*NSGradeFt+PedHeight+PanArrayLenFt*SIN(RADIANS(Latitude+DecAng))</f>
        <v>7.401410761154855</v>
      </c>
      <c r="Z695" s="214">
        <f ca="1">+$W695</f>
        <v>40.802828354596642</v>
      </c>
      <c r="AA695" s="214">
        <f ca="1">+$Y695</f>
        <v>7.401410761154855</v>
      </c>
      <c r="AB695" s="214">
        <f ca="1">+$X695</f>
        <v>34.439632545931751</v>
      </c>
      <c r="AC695" s="214">
        <f ca="1">+$W695-XOffset</f>
        <v>40.802828354596642</v>
      </c>
    </row>
    <row r="696" spans="8:29" s="213" customFormat="1" ht="9" customHeight="1">
      <c r="H696" s="212"/>
      <c r="I696" s="212"/>
      <c r="S696" s="307"/>
      <c r="T696" s="226">
        <f t="shared" si="44"/>
        <v>693</v>
      </c>
      <c r="U696" s="224">
        <f t="shared" si="42"/>
        <v>1</v>
      </c>
      <c r="V696" s="225">
        <f t="shared" si="43"/>
        <v>1</v>
      </c>
      <c r="W696" s="238">
        <f ca="1">$U696*EWSpacingFt+XOffset+0</f>
        <v>30.000006832286932</v>
      </c>
      <c r="X696" s="242">
        <f ca="1">$V696*NSSpacingFt+YOffset+PanArrayLenFt*COS(RADIANS(Latitude+DecAng))</f>
        <v>34.439632545931751</v>
      </c>
      <c r="Y696" s="246">
        <f ca="1">+$V696*NSGradeFt+PedHeight+PanArrayLenFt*SIN(RADIANS(Latitude+DecAng))</f>
        <v>7.401410761154855</v>
      </c>
      <c r="Z696" s="214">
        <f ca="1">+$W696</f>
        <v>30.000006832286932</v>
      </c>
      <c r="AA696" s="214">
        <f ca="1">+$Y696</f>
        <v>7.401410761154855</v>
      </c>
      <c r="AB696" s="214">
        <f ca="1">+$X696</f>
        <v>34.439632545931751</v>
      </c>
      <c r="AC696" s="214">
        <f ca="1">+$W696-XOffset</f>
        <v>30.000006832286932</v>
      </c>
    </row>
    <row r="697" spans="8:29" s="213" customFormat="1" ht="9" customHeight="1">
      <c r="H697" s="212"/>
      <c r="I697" s="212"/>
      <c r="S697" s="307"/>
      <c r="T697" s="226">
        <f t="shared" si="44"/>
        <v>694</v>
      </c>
      <c r="U697" s="224">
        <f t="shared" si="42"/>
        <v>1</v>
      </c>
      <c r="V697" s="225">
        <f t="shared" si="43"/>
        <v>1</v>
      </c>
      <c r="W697" s="239">
        <f ca="1">$U697*EWSpacingFt+XOffset+(PanArrayWidthHighEndFt-PanArrayWidthLowEndFt)/2</f>
        <v>30.000006832286932</v>
      </c>
      <c r="X697" s="243">
        <f ca="1">$V697*NSSpacingFt+YOffset+0</f>
        <v>17.999999999999989</v>
      </c>
      <c r="Y697" s="247">
        <f ca="1">+$V697*NSGradeFt+PedHeight+0</f>
        <v>7.401410761154855</v>
      </c>
      <c r="Z697" s="214">
        <f ca="1">+$W697</f>
        <v>30.000006832286932</v>
      </c>
      <c r="AA697" s="214">
        <f ca="1">+$Y697</f>
        <v>7.401410761154855</v>
      </c>
      <c r="AB697" s="214">
        <f ca="1">+$X697</f>
        <v>17.999999999999989</v>
      </c>
      <c r="AC697" s="214">
        <f ca="1">+$W697-XOffset</f>
        <v>30.000006832286932</v>
      </c>
    </row>
    <row r="698" spans="8:29" s="213" customFormat="1" ht="9" customHeight="1">
      <c r="H698" s="212"/>
      <c r="I698" s="212"/>
      <c r="S698" s="307"/>
      <c r="T698" s="226">
        <f t="shared" si="44"/>
        <v>695</v>
      </c>
      <c r="U698" s="224">
        <f t="shared" si="42"/>
        <v>1</v>
      </c>
      <c r="V698" s="225">
        <f t="shared" si="43"/>
        <v>1</v>
      </c>
      <c r="W698" s="217"/>
      <c r="X698" s="217"/>
      <c r="Y698" s="217"/>
      <c r="Z698" s="214"/>
      <c r="AA698" s="214"/>
      <c r="AB698" s="214"/>
      <c r="AC698" s="214"/>
    </row>
    <row r="699" spans="8:29" s="213" customFormat="1" ht="9" customHeight="1">
      <c r="H699" s="212"/>
      <c r="I699" s="212"/>
      <c r="S699" s="307">
        <f>INT((T699-0)/6)+1</f>
        <v>117</v>
      </c>
      <c r="T699" s="226">
        <f t="shared" si="44"/>
        <v>696</v>
      </c>
      <c r="U699" s="224">
        <f t="shared" si="42"/>
        <v>0</v>
      </c>
      <c r="V699" s="225">
        <f t="shared" si="43"/>
        <v>2</v>
      </c>
      <c r="W699" s="233">
        <f ca="1">$U699*EWSpacingFt+XOffset+(PanArrayWidthHighEndFt-PanArrayWidthLowEndFt)/2</f>
        <v>0</v>
      </c>
      <c r="X699" s="234">
        <f ca="1">$V699*NSSpacingFt+YOffset+0</f>
        <v>35.999999999999979</v>
      </c>
      <c r="Y699" s="235">
        <f ca="1">+$V699*NSGradeFt+PedHeight+0</f>
        <v>7.401410761154855</v>
      </c>
      <c r="Z699" s="214">
        <f ca="1">+$W699</f>
        <v>0</v>
      </c>
      <c r="AA699" s="214">
        <f ca="1">+$Y699</f>
        <v>7.401410761154855</v>
      </c>
      <c r="AB699" s="214">
        <f ca="1">+$X699</f>
        <v>35.999999999999979</v>
      </c>
      <c r="AC699" s="214">
        <f ca="1">+$W699-XOffset</f>
        <v>0</v>
      </c>
    </row>
    <row r="700" spans="8:29" s="213" customFormat="1" ht="9" customHeight="1">
      <c r="H700" s="212"/>
      <c r="I700" s="212"/>
      <c r="S700" s="307"/>
      <c r="T700" s="226">
        <f t="shared" si="44"/>
        <v>697</v>
      </c>
      <c r="U700" s="224">
        <f t="shared" si="42"/>
        <v>0</v>
      </c>
      <c r="V700" s="225">
        <f t="shared" si="43"/>
        <v>2</v>
      </c>
      <c r="W700" s="236">
        <f ca="1">+$U700*EWSpacingFt+XOffset+PanArrayWidthHighEndFt-(PanArrayWidthHighEndFt-PanArrayWidthLowEndFt)/2</f>
        <v>10.80282152230971</v>
      </c>
      <c r="X700" s="240">
        <f ca="1">$V700*NSSpacingFt+YOffset+0</f>
        <v>35.999999999999979</v>
      </c>
      <c r="Y700" s="244">
        <f ca="1">+$V700*NSGradeFt+PedHeight+0</f>
        <v>7.401410761154855</v>
      </c>
      <c r="Z700" s="214">
        <f ca="1">+$W700</f>
        <v>10.80282152230971</v>
      </c>
      <c r="AA700" s="214">
        <f ca="1">+$Y700</f>
        <v>7.401410761154855</v>
      </c>
      <c r="AB700" s="214">
        <f ca="1">+$X700</f>
        <v>35.999999999999979</v>
      </c>
      <c r="AC700" s="214">
        <f ca="1">+$W700-XOffset</f>
        <v>10.80282152230971</v>
      </c>
    </row>
    <row r="701" spans="8:29" s="213" customFormat="1" ht="9" customHeight="1">
      <c r="H701" s="212"/>
      <c r="I701" s="212"/>
      <c r="S701" s="307"/>
      <c r="T701" s="226">
        <f t="shared" si="44"/>
        <v>698</v>
      </c>
      <c r="U701" s="224">
        <f t="shared" si="42"/>
        <v>0</v>
      </c>
      <c r="V701" s="225">
        <f t="shared" si="43"/>
        <v>2</v>
      </c>
      <c r="W701" s="237">
        <f ca="1">$U701*EWSpacingFt+XOffset+PanArrayWidthHighEndFt</f>
        <v>10.80282152230971</v>
      </c>
      <c r="X701" s="241">
        <f ca="1">$V701*NSSpacingFt+YOffset+PanArrayLenFt*COS(RADIANS(Latitude+DecAng))</f>
        <v>52.439632545931744</v>
      </c>
      <c r="Y701" s="245">
        <f ca="1">+$V701*NSGradeFt+PedHeight+PanArrayLenFt*SIN(RADIANS(Latitude+DecAng))</f>
        <v>7.401410761154855</v>
      </c>
      <c r="Z701" s="214">
        <f ca="1">+$W701</f>
        <v>10.80282152230971</v>
      </c>
      <c r="AA701" s="214">
        <f ca="1">+$Y701</f>
        <v>7.401410761154855</v>
      </c>
      <c r="AB701" s="214">
        <f ca="1">+$X701</f>
        <v>52.439632545931744</v>
      </c>
      <c r="AC701" s="214">
        <f ca="1">+$W701-XOffset</f>
        <v>10.80282152230971</v>
      </c>
    </row>
    <row r="702" spans="8:29" s="213" customFormat="1" ht="9" customHeight="1">
      <c r="H702" s="212"/>
      <c r="I702" s="212"/>
      <c r="S702" s="307"/>
      <c r="T702" s="226">
        <f t="shared" si="44"/>
        <v>699</v>
      </c>
      <c r="U702" s="224">
        <f t="shared" si="42"/>
        <v>0</v>
      </c>
      <c r="V702" s="225">
        <f t="shared" si="43"/>
        <v>2</v>
      </c>
      <c r="W702" s="238">
        <f ca="1">$U702*EWSpacingFt+XOffset+0</f>
        <v>0</v>
      </c>
      <c r="X702" s="242">
        <f ca="1">$V702*NSSpacingFt+YOffset+PanArrayLenFt*COS(RADIANS(Latitude+DecAng))</f>
        <v>52.439632545931744</v>
      </c>
      <c r="Y702" s="246">
        <f ca="1">+$V702*NSGradeFt+PedHeight+PanArrayLenFt*SIN(RADIANS(Latitude+DecAng))</f>
        <v>7.401410761154855</v>
      </c>
      <c r="Z702" s="214">
        <f ca="1">+$W702</f>
        <v>0</v>
      </c>
      <c r="AA702" s="214">
        <f ca="1">+$Y702</f>
        <v>7.401410761154855</v>
      </c>
      <c r="AB702" s="214">
        <f ca="1">+$X702</f>
        <v>52.439632545931744</v>
      </c>
      <c r="AC702" s="214">
        <f ca="1">+$W702-XOffset</f>
        <v>0</v>
      </c>
    </row>
    <row r="703" spans="8:29" s="213" customFormat="1" ht="9" customHeight="1">
      <c r="H703" s="212"/>
      <c r="I703" s="212"/>
      <c r="S703" s="307"/>
      <c r="T703" s="226">
        <f t="shared" si="44"/>
        <v>700</v>
      </c>
      <c r="U703" s="224">
        <f t="shared" si="42"/>
        <v>0</v>
      </c>
      <c r="V703" s="225">
        <f t="shared" si="43"/>
        <v>2</v>
      </c>
      <c r="W703" s="239">
        <f ca="1">$U703*EWSpacingFt+XOffset+(PanArrayWidthHighEndFt-PanArrayWidthLowEndFt)/2</f>
        <v>0</v>
      </c>
      <c r="X703" s="243">
        <f ca="1">$V703*NSSpacingFt+YOffset+0</f>
        <v>35.999999999999979</v>
      </c>
      <c r="Y703" s="247">
        <f ca="1">+$V703*NSGradeFt+PedHeight+0</f>
        <v>7.401410761154855</v>
      </c>
      <c r="Z703" s="214">
        <f ca="1">+$W703</f>
        <v>0</v>
      </c>
      <c r="AA703" s="214">
        <f ca="1">+$Y703</f>
        <v>7.401410761154855</v>
      </c>
      <c r="AB703" s="214">
        <f ca="1">+$X703</f>
        <v>35.999999999999979</v>
      </c>
      <c r="AC703" s="214">
        <f ca="1">+$W703-XOffset</f>
        <v>0</v>
      </c>
    </row>
    <row r="704" spans="8:29" s="213" customFormat="1" ht="9" customHeight="1">
      <c r="H704" s="212"/>
      <c r="I704" s="212"/>
      <c r="S704" s="307"/>
      <c r="T704" s="226">
        <f t="shared" si="44"/>
        <v>701</v>
      </c>
      <c r="U704" s="224">
        <f t="shared" si="42"/>
        <v>0</v>
      </c>
      <c r="V704" s="225">
        <f t="shared" si="43"/>
        <v>2</v>
      </c>
      <c r="W704" s="217"/>
      <c r="X704" s="217"/>
      <c r="Y704" s="217"/>
      <c r="Z704" s="214"/>
      <c r="AA704" s="214"/>
      <c r="AB704" s="214"/>
      <c r="AC704" s="214"/>
    </row>
    <row r="705" spans="8:29" s="213" customFormat="1" ht="9" customHeight="1">
      <c r="H705" s="212"/>
      <c r="I705" s="212"/>
      <c r="S705" s="307">
        <f>INT((T705-0)/6)+1</f>
        <v>118</v>
      </c>
      <c r="T705" s="226">
        <f t="shared" si="44"/>
        <v>702</v>
      </c>
      <c r="U705" s="224">
        <f t="shared" si="42"/>
        <v>1</v>
      </c>
      <c r="V705" s="225">
        <f t="shared" si="43"/>
        <v>2</v>
      </c>
      <c r="W705" s="233">
        <f ca="1">$U705*EWSpacingFt+XOffset+(PanArrayWidthHighEndFt-PanArrayWidthLowEndFt)/2</f>
        <v>30.000006832286932</v>
      </c>
      <c r="X705" s="234">
        <f ca="1">$V705*NSSpacingFt+YOffset+0</f>
        <v>35.999999999999979</v>
      </c>
      <c r="Y705" s="235">
        <f ca="1">+$V705*NSGradeFt+PedHeight+0</f>
        <v>7.401410761154855</v>
      </c>
      <c r="Z705" s="214">
        <f ca="1">+$W705</f>
        <v>30.000006832286932</v>
      </c>
      <c r="AA705" s="214">
        <f ca="1">+$Y705</f>
        <v>7.401410761154855</v>
      </c>
      <c r="AB705" s="214">
        <f ca="1">+$X705</f>
        <v>35.999999999999979</v>
      </c>
      <c r="AC705" s="214">
        <f ca="1">+$W705-XOffset</f>
        <v>30.000006832286932</v>
      </c>
    </row>
    <row r="706" spans="8:29" s="213" customFormat="1" ht="9" customHeight="1">
      <c r="H706" s="212"/>
      <c r="I706" s="212"/>
      <c r="S706" s="307"/>
      <c r="T706" s="226">
        <f t="shared" si="44"/>
        <v>703</v>
      </c>
      <c r="U706" s="224">
        <f t="shared" si="42"/>
        <v>1</v>
      </c>
      <c r="V706" s="225">
        <f t="shared" si="43"/>
        <v>2</v>
      </c>
      <c r="W706" s="236">
        <f ca="1">+$U706*EWSpacingFt+XOffset+PanArrayWidthHighEndFt-(PanArrayWidthHighEndFt-PanArrayWidthLowEndFt)/2</f>
        <v>40.802828354596642</v>
      </c>
      <c r="X706" s="240">
        <f ca="1">$V706*NSSpacingFt+YOffset+0</f>
        <v>35.999999999999979</v>
      </c>
      <c r="Y706" s="244">
        <f ca="1">+$V706*NSGradeFt+PedHeight+0</f>
        <v>7.401410761154855</v>
      </c>
      <c r="Z706" s="214">
        <f ca="1">+$W706</f>
        <v>40.802828354596642</v>
      </c>
      <c r="AA706" s="214">
        <f ca="1">+$Y706</f>
        <v>7.401410761154855</v>
      </c>
      <c r="AB706" s="214">
        <f ca="1">+$X706</f>
        <v>35.999999999999979</v>
      </c>
      <c r="AC706" s="214">
        <f ca="1">+$W706-XOffset</f>
        <v>40.802828354596642</v>
      </c>
    </row>
    <row r="707" spans="8:29" s="213" customFormat="1" ht="9" customHeight="1">
      <c r="H707" s="212"/>
      <c r="I707" s="212"/>
      <c r="S707" s="307"/>
      <c r="T707" s="226">
        <f t="shared" si="44"/>
        <v>704</v>
      </c>
      <c r="U707" s="224">
        <f t="shared" ref="U707:U770" si="45">+MOD(INT(T707/6),ColumnsOfMounts)</f>
        <v>1</v>
      </c>
      <c r="V707" s="225">
        <f t="shared" ref="V707:V770" si="46">+MOD(INT(T707/6/ColumnsOfMounts),RowsOfMounts)</f>
        <v>2</v>
      </c>
      <c r="W707" s="237">
        <f ca="1">$U707*EWSpacingFt+XOffset+PanArrayWidthHighEndFt</f>
        <v>40.802828354596642</v>
      </c>
      <c r="X707" s="241">
        <f ca="1">$V707*NSSpacingFt+YOffset+PanArrayLenFt*COS(RADIANS(Latitude+DecAng))</f>
        <v>52.439632545931744</v>
      </c>
      <c r="Y707" s="245">
        <f ca="1">+$V707*NSGradeFt+PedHeight+PanArrayLenFt*SIN(RADIANS(Latitude+DecAng))</f>
        <v>7.401410761154855</v>
      </c>
      <c r="Z707" s="214">
        <f ca="1">+$W707</f>
        <v>40.802828354596642</v>
      </c>
      <c r="AA707" s="214">
        <f ca="1">+$Y707</f>
        <v>7.401410761154855</v>
      </c>
      <c r="AB707" s="214">
        <f ca="1">+$X707</f>
        <v>52.439632545931744</v>
      </c>
      <c r="AC707" s="214">
        <f ca="1">+$W707-XOffset</f>
        <v>40.802828354596642</v>
      </c>
    </row>
    <row r="708" spans="8:29" s="213" customFormat="1" ht="9" customHeight="1">
      <c r="H708" s="212"/>
      <c r="I708" s="212"/>
      <c r="S708" s="307"/>
      <c r="T708" s="226">
        <f t="shared" si="44"/>
        <v>705</v>
      </c>
      <c r="U708" s="224">
        <f t="shared" si="45"/>
        <v>1</v>
      </c>
      <c r="V708" s="225">
        <f t="shared" si="46"/>
        <v>2</v>
      </c>
      <c r="W708" s="238">
        <f ca="1">$U708*EWSpacingFt+XOffset+0</f>
        <v>30.000006832286932</v>
      </c>
      <c r="X708" s="242">
        <f ca="1">$V708*NSSpacingFt+YOffset+PanArrayLenFt*COS(RADIANS(Latitude+DecAng))</f>
        <v>52.439632545931744</v>
      </c>
      <c r="Y708" s="246">
        <f ca="1">+$V708*NSGradeFt+PedHeight+PanArrayLenFt*SIN(RADIANS(Latitude+DecAng))</f>
        <v>7.401410761154855</v>
      </c>
      <c r="Z708" s="214">
        <f ca="1">+$W708</f>
        <v>30.000006832286932</v>
      </c>
      <c r="AA708" s="214">
        <f ca="1">+$Y708</f>
        <v>7.401410761154855</v>
      </c>
      <c r="AB708" s="214">
        <f ca="1">+$X708</f>
        <v>52.439632545931744</v>
      </c>
      <c r="AC708" s="214">
        <f ca="1">+$W708-XOffset</f>
        <v>30.000006832286932</v>
      </c>
    </row>
    <row r="709" spans="8:29" s="213" customFormat="1" ht="9" customHeight="1">
      <c r="H709" s="212"/>
      <c r="I709" s="212"/>
      <c r="S709" s="307"/>
      <c r="T709" s="226">
        <f t="shared" si="44"/>
        <v>706</v>
      </c>
      <c r="U709" s="224">
        <f t="shared" si="45"/>
        <v>1</v>
      </c>
      <c r="V709" s="225">
        <f t="shared" si="46"/>
        <v>2</v>
      </c>
      <c r="W709" s="239">
        <f ca="1">$U709*EWSpacingFt+XOffset+(PanArrayWidthHighEndFt-PanArrayWidthLowEndFt)/2</f>
        <v>30.000006832286932</v>
      </c>
      <c r="X709" s="243">
        <f ca="1">$V709*NSSpacingFt+YOffset+0</f>
        <v>35.999999999999979</v>
      </c>
      <c r="Y709" s="247">
        <f ca="1">+$V709*NSGradeFt+PedHeight+0</f>
        <v>7.401410761154855</v>
      </c>
      <c r="Z709" s="214">
        <f ca="1">+$W709</f>
        <v>30.000006832286932</v>
      </c>
      <c r="AA709" s="214">
        <f ca="1">+$Y709</f>
        <v>7.401410761154855</v>
      </c>
      <c r="AB709" s="214">
        <f ca="1">+$X709</f>
        <v>35.999999999999979</v>
      </c>
      <c r="AC709" s="214">
        <f ca="1">+$W709-XOffset</f>
        <v>30.000006832286932</v>
      </c>
    </row>
    <row r="710" spans="8:29" s="213" customFormat="1" ht="9" customHeight="1">
      <c r="H710" s="212"/>
      <c r="I710" s="212"/>
      <c r="S710" s="307"/>
      <c r="T710" s="226">
        <f t="shared" si="44"/>
        <v>707</v>
      </c>
      <c r="U710" s="224">
        <f t="shared" si="45"/>
        <v>1</v>
      </c>
      <c r="V710" s="225">
        <f t="shared" si="46"/>
        <v>2</v>
      </c>
      <c r="W710" s="217"/>
      <c r="X710" s="217"/>
      <c r="Y710" s="217"/>
      <c r="Z710" s="214"/>
      <c r="AA710" s="214"/>
      <c r="AB710" s="214"/>
      <c r="AC710" s="214"/>
    </row>
    <row r="711" spans="8:29" s="213" customFormat="1" ht="9" customHeight="1">
      <c r="H711" s="212"/>
      <c r="I711" s="212"/>
      <c r="S711" s="307">
        <f>INT((T711-0)/6)+1</f>
        <v>119</v>
      </c>
      <c r="T711" s="226">
        <f t="shared" si="44"/>
        <v>708</v>
      </c>
      <c r="U711" s="224">
        <f t="shared" si="45"/>
        <v>0</v>
      </c>
      <c r="V711" s="225">
        <f t="shared" si="46"/>
        <v>3</v>
      </c>
      <c r="W711" s="233">
        <f ca="1">$U711*EWSpacingFt+XOffset+(PanArrayWidthHighEndFt-PanArrayWidthLowEndFt)/2</f>
        <v>0</v>
      </c>
      <c r="X711" s="234">
        <f ca="1">$V711*NSSpacingFt+YOffset+0</f>
        <v>53.999999999999972</v>
      </c>
      <c r="Y711" s="235">
        <f ca="1">+$V711*NSGradeFt+PedHeight+0</f>
        <v>7.401410761154855</v>
      </c>
      <c r="Z711" s="214">
        <f ca="1">+$W711</f>
        <v>0</v>
      </c>
      <c r="AA711" s="214">
        <f ca="1">+$Y711</f>
        <v>7.401410761154855</v>
      </c>
      <c r="AB711" s="214">
        <f ca="1">+$X711</f>
        <v>53.999999999999972</v>
      </c>
      <c r="AC711" s="214">
        <f ca="1">+$W711-XOffset</f>
        <v>0</v>
      </c>
    </row>
    <row r="712" spans="8:29" s="213" customFormat="1" ht="9" customHeight="1">
      <c r="H712" s="212"/>
      <c r="I712" s="212"/>
      <c r="S712" s="307"/>
      <c r="T712" s="226">
        <f t="shared" si="44"/>
        <v>709</v>
      </c>
      <c r="U712" s="224">
        <f t="shared" si="45"/>
        <v>0</v>
      </c>
      <c r="V712" s="225">
        <f t="shared" si="46"/>
        <v>3</v>
      </c>
      <c r="W712" s="236">
        <f ca="1">+$U712*EWSpacingFt+XOffset+PanArrayWidthHighEndFt-(PanArrayWidthHighEndFt-PanArrayWidthLowEndFt)/2</f>
        <v>10.80282152230971</v>
      </c>
      <c r="X712" s="240">
        <f ca="1">$V712*NSSpacingFt+YOffset+0</f>
        <v>53.999999999999972</v>
      </c>
      <c r="Y712" s="244">
        <f ca="1">+$V712*NSGradeFt+PedHeight+0</f>
        <v>7.401410761154855</v>
      </c>
      <c r="Z712" s="214">
        <f ca="1">+$W712</f>
        <v>10.80282152230971</v>
      </c>
      <c r="AA712" s="214">
        <f ca="1">+$Y712</f>
        <v>7.401410761154855</v>
      </c>
      <c r="AB712" s="214">
        <f ca="1">+$X712</f>
        <v>53.999999999999972</v>
      </c>
      <c r="AC712" s="214">
        <f ca="1">+$W712-XOffset</f>
        <v>10.80282152230971</v>
      </c>
    </row>
    <row r="713" spans="8:29" s="213" customFormat="1" ht="9" customHeight="1">
      <c r="H713" s="212"/>
      <c r="I713" s="212"/>
      <c r="S713" s="307"/>
      <c r="T713" s="226">
        <f t="shared" si="44"/>
        <v>710</v>
      </c>
      <c r="U713" s="224">
        <f t="shared" si="45"/>
        <v>0</v>
      </c>
      <c r="V713" s="225">
        <f t="shared" si="46"/>
        <v>3</v>
      </c>
      <c r="W713" s="237">
        <f ca="1">$U713*EWSpacingFt+XOffset+PanArrayWidthHighEndFt</f>
        <v>10.80282152230971</v>
      </c>
      <c r="X713" s="241">
        <f ca="1">$V713*NSSpacingFt+YOffset+PanArrayLenFt*COS(RADIANS(Latitude+DecAng))</f>
        <v>70.43963254593173</v>
      </c>
      <c r="Y713" s="245">
        <f ca="1">+$V713*NSGradeFt+PedHeight+PanArrayLenFt*SIN(RADIANS(Latitude+DecAng))</f>
        <v>7.401410761154855</v>
      </c>
      <c r="Z713" s="214">
        <f ca="1">+$W713</f>
        <v>10.80282152230971</v>
      </c>
      <c r="AA713" s="214">
        <f ca="1">+$Y713</f>
        <v>7.401410761154855</v>
      </c>
      <c r="AB713" s="214">
        <f ca="1">+$X713</f>
        <v>70.43963254593173</v>
      </c>
      <c r="AC713" s="214">
        <f ca="1">+$W713-XOffset</f>
        <v>10.80282152230971</v>
      </c>
    </row>
    <row r="714" spans="8:29" s="213" customFormat="1" ht="9" customHeight="1">
      <c r="H714" s="212"/>
      <c r="I714" s="212"/>
      <c r="S714" s="307"/>
      <c r="T714" s="226">
        <f t="shared" si="44"/>
        <v>711</v>
      </c>
      <c r="U714" s="224">
        <f t="shared" si="45"/>
        <v>0</v>
      </c>
      <c r="V714" s="225">
        <f t="shared" si="46"/>
        <v>3</v>
      </c>
      <c r="W714" s="238">
        <f ca="1">$U714*EWSpacingFt+XOffset+0</f>
        <v>0</v>
      </c>
      <c r="X714" s="242">
        <f ca="1">$V714*NSSpacingFt+YOffset+PanArrayLenFt*COS(RADIANS(Latitude+DecAng))</f>
        <v>70.43963254593173</v>
      </c>
      <c r="Y714" s="246">
        <f ca="1">+$V714*NSGradeFt+PedHeight+PanArrayLenFt*SIN(RADIANS(Latitude+DecAng))</f>
        <v>7.401410761154855</v>
      </c>
      <c r="Z714" s="214">
        <f ca="1">+$W714</f>
        <v>0</v>
      </c>
      <c r="AA714" s="214">
        <f ca="1">+$Y714</f>
        <v>7.401410761154855</v>
      </c>
      <c r="AB714" s="214">
        <f ca="1">+$X714</f>
        <v>70.43963254593173</v>
      </c>
      <c r="AC714" s="214">
        <f ca="1">+$W714-XOffset</f>
        <v>0</v>
      </c>
    </row>
    <row r="715" spans="8:29" s="213" customFormat="1" ht="9" customHeight="1">
      <c r="H715" s="212"/>
      <c r="I715" s="212"/>
      <c r="S715" s="307"/>
      <c r="T715" s="226">
        <f t="shared" si="44"/>
        <v>712</v>
      </c>
      <c r="U715" s="224">
        <f t="shared" si="45"/>
        <v>0</v>
      </c>
      <c r="V715" s="225">
        <f t="shared" si="46"/>
        <v>3</v>
      </c>
      <c r="W715" s="239">
        <f ca="1">$U715*EWSpacingFt+XOffset+(PanArrayWidthHighEndFt-PanArrayWidthLowEndFt)/2</f>
        <v>0</v>
      </c>
      <c r="X715" s="243">
        <f ca="1">$V715*NSSpacingFt+YOffset+0</f>
        <v>53.999999999999972</v>
      </c>
      <c r="Y715" s="247">
        <f ca="1">+$V715*NSGradeFt+PedHeight+0</f>
        <v>7.401410761154855</v>
      </c>
      <c r="Z715" s="214">
        <f ca="1">+$W715</f>
        <v>0</v>
      </c>
      <c r="AA715" s="214">
        <f ca="1">+$Y715</f>
        <v>7.401410761154855</v>
      </c>
      <c r="AB715" s="214">
        <f ca="1">+$X715</f>
        <v>53.999999999999972</v>
      </c>
      <c r="AC715" s="214">
        <f ca="1">+$W715-XOffset</f>
        <v>0</v>
      </c>
    </row>
    <row r="716" spans="8:29" s="213" customFormat="1" ht="9" customHeight="1">
      <c r="H716" s="212"/>
      <c r="I716" s="212"/>
      <c r="S716" s="307"/>
      <c r="T716" s="226">
        <f t="shared" si="44"/>
        <v>713</v>
      </c>
      <c r="U716" s="224">
        <f t="shared" si="45"/>
        <v>0</v>
      </c>
      <c r="V716" s="225">
        <f t="shared" si="46"/>
        <v>3</v>
      </c>
      <c r="W716" s="217"/>
      <c r="X716" s="217"/>
      <c r="Y716" s="217"/>
      <c r="Z716" s="214"/>
      <c r="AA716" s="214"/>
      <c r="AB716" s="214"/>
      <c r="AC716" s="214"/>
    </row>
    <row r="717" spans="8:29" s="213" customFormat="1" ht="9" customHeight="1">
      <c r="H717" s="212"/>
      <c r="I717" s="212"/>
      <c r="S717" s="307">
        <f>INT((T717-0)/6)+1</f>
        <v>120</v>
      </c>
      <c r="T717" s="226">
        <f t="shared" si="44"/>
        <v>714</v>
      </c>
      <c r="U717" s="224">
        <f t="shared" si="45"/>
        <v>1</v>
      </c>
      <c r="V717" s="225">
        <f t="shared" si="46"/>
        <v>3</v>
      </c>
      <c r="W717" s="233">
        <f ca="1">$U717*EWSpacingFt+XOffset+(PanArrayWidthHighEndFt-PanArrayWidthLowEndFt)/2</f>
        <v>30.000006832286932</v>
      </c>
      <c r="X717" s="234">
        <f ca="1">$V717*NSSpacingFt+YOffset+0</f>
        <v>53.999999999999972</v>
      </c>
      <c r="Y717" s="235">
        <f ca="1">+$V717*NSGradeFt+PedHeight+0</f>
        <v>7.401410761154855</v>
      </c>
      <c r="Z717" s="214">
        <f ca="1">+$W717</f>
        <v>30.000006832286932</v>
      </c>
      <c r="AA717" s="214">
        <f ca="1">+$Y717</f>
        <v>7.401410761154855</v>
      </c>
      <c r="AB717" s="214">
        <f ca="1">+$X717</f>
        <v>53.999999999999972</v>
      </c>
      <c r="AC717" s="214">
        <f ca="1">+$W717-XOffset</f>
        <v>30.000006832286932</v>
      </c>
    </row>
    <row r="718" spans="8:29" s="213" customFormat="1" ht="9" customHeight="1">
      <c r="H718" s="212"/>
      <c r="I718" s="212"/>
      <c r="S718" s="307"/>
      <c r="T718" s="226">
        <f t="shared" si="44"/>
        <v>715</v>
      </c>
      <c r="U718" s="224">
        <f t="shared" si="45"/>
        <v>1</v>
      </c>
      <c r="V718" s="225">
        <f t="shared" si="46"/>
        <v>3</v>
      </c>
      <c r="W718" s="236">
        <f ca="1">+$U718*EWSpacingFt+XOffset+PanArrayWidthHighEndFt-(PanArrayWidthHighEndFt-PanArrayWidthLowEndFt)/2</f>
        <v>40.802828354596642</v>
      </c>
      <c r="X718" s="240">
        <f ca="1">$V718*NSSpacingFt+YOffset+0</f>
        <v>53.999999999999972</v>
      </c>
      <c r="Y718" s="244">
        <f ca="1">+$V718*NSGradeFt+PedHeight+0</f>
        <v>7.401410761154855</v>
      </c>
      <c r="Z718" s="214">
        <f ca="1">+$W718</f>
        <v>40.802828354596642</v>
      </c>
      <c r="AA718" s="214">
        <f ca="1">+$Y718</f>
        <v>7.401410761154855</v>
      </c>
      <c r="AB718" s="214">
        <f ca="1">+$X718</f>
        <v>53.999999999999972</v>
      </c>
      <c r="AC718" s="214">
        <f ca="1">+$W718-XOffset</f>
        <v>40.802828354596642</v>
      </c>
    </row>
    <row r="719" spans="8:29" s="213" customFormat="1" ht="9" customHeight="1">
      <c r="H719" s="212"/>
      <c r="I719" s="212"/>
      <c r="S719" s="307"/>
      <c r="T719" s="226">
        <f t="shared" si="44"/>
        <v>716</v>
      </c>
      <c r="U719" s="224">
        <f t="shared" si="45"/>
        <v>1</v>
      </c>
      <c r="V719" s="225">
        <f t="shared" si="46"/>
        <v>3</v>
      </c>
      <c r="W719" s="237">
        <f ca="1">$U719*EWSpacingFt+XOffset+PanArrayWidthHighEndFt</f>
        <v>40.802828354596642</v>
      </c>
      <c r="X719" s="241">
        <f ca="1">$V719*NSSpacingFt+YOffset+PanArrayLenFt*COS(RADIANS(Latitude+DecAng))</f>
        <v>70.43963254593173</v>
      </c>
      <c r="Y719" s="245">
        <f ca="1">+$V719*NSGradeFt+PedHeight+PanArrayLenFt*SIN(RADIANS(Latitude+DecAng))</f>
        <v>7.401410761154855</v>
      </c>
      <c r="Z719" s="214">
        <f ca="1">+$W719</f>
        <v>40.802828354596642</v>
      </c>
      <c r="AA719" s="214">
        <f ca="1">+$Y719</f>
        <v>7.401410761154855</v>
      </c>
      <c r="AB719" s="214">
        <f ca="1">+$X719</f>
        <v>70.43963254593173</v>
      </c>
      <c r="AC719" s="214">
        <f ca="1">+$W719-XOffset</f>
        <v>40.802828354596642</v>
      </c>
    </row>
    <row r="720" spans="8:29" s="213" customFormat="1" ht="9" customHeight="1">
      <c r="H720" s="212"/>
      <c r="I720" s="212"/>
      <c r="S720" s="307"/>
      <c r="T720" s="226">
        <f t="shared" si="44"/>
        <v>717</v>
      </c>
      <c r="U720" s="224">
        <f t="shared" si="45"/>
        <v>1</v>
      </c>
      <c r="V720" s="225">
        <f t="shared" si="46"/>
        <v>3</v>
      </c>
      <c r="W720" s="238">
        <f ca="1">$U720*EWSpacingFt+XOffset+0</f>
        <v>30.000006832286932</v>
      </c>
      <c r="X720" s="242">
        <f ca="1">$V720*NSSpacingFt+YOffset+PanArrayLenFt*COS(RADIANS(Latitude+DecAng))</f>
        <v>70.43963254593173</v>
      </c>
      <c r="Y720" s="246">
        <f ca="1">+$V720*NSGradeFt+PedHeight+PanArrayLenFt*SIN(RADIANS(Latitude+DecAng))</f>
        <v>7.401410761154855</v>
      </c>
      <c r="Z720" s="214">
        <f ca="1">+$W720</f>
        <v>30.000006832286932</v>
      </c>
      <c r="AA720" s="214">
        <f ca="1">+$Y720</f>
        <v>7.401410761154855</v>
      </c>
      <c r="AB720" s="214">
        <f ca="1">+$X720</f>
        <v>70.43963254593173</v>
      </c>
      <c r="AC720" s="214">
        <f ca="1">+$W720-XOffset</f>
        <v>30.000006832286932</v>
      </c>
    </row>
    <row r="721" spans="8:29" s="213" customFormat="1" ht="9" customHeight="1">
      <c r="H721" s="212"/>
      <c r="I721" s="212"/>
      <c r="S721" s="307"/>
      <c r="T721" s="226">
        <f t="shared" ref="T721:T722" si="47">+T720+1</f>
        <v>718</v>
      </c>
      <c r="U721" s="224">
        <f t="shared" si="45"/>
        <v>1</v>
      </c>
      <c r="V721" s="225">
        <f t="shared" si="46"/>
        <v>3</v>
      </c>
      <c r="W721" s="239">
        <f ca="1">$U721*EWSpacingFt+XOffset+(PanArrayWidthHighEndFt-PanArrayWidthLowEndFt)/2</f>
        <v>30.000006832286932</v>
      </c>
      <c r="X721" s="243">
        <f ca="1">$V721*NSSpacingFt+YOffset+0</f>
        <v>53.999999999999972</v>
      </c>
      <c r="Y721" s="247">
        <f ca="1">+$V721*NSGradeFt+PedHeight+0</f>
        <v>7.401410761154855</v>
      </c>
      <c r="Z721" s="214">
        <f ca="1">+$W721</f>
        <v>30.000006832286932</v>
      </c>
      <c r="AA721" s="214">
        <f ca="1">+$Y721</f>
        <v>7.401410761154855</v>
      </c>
      <c r="AB721" s="214">
        <f ca="1">+$X721</f>
        <v>53.999999999999972</v>
      </c>
      <c r="AC721" s="214">
        <f ca="1">+$W721-XOffset</f>
        <v>30.000006832286932</v>
      </c>
    </row>
    <row r="722" spans="8:29" s="213" customFormat="1" ht="9" customHeight="1">
      <c r="H722" s="212"/>
      <c r="I722" s="212"/>
      <c r="S722" s="307"/>
      <c r="T722" s="226">
        <f t="shared" si="47"/>
        <v>719</v>
      </c>
      <c r="U722" s="224">
        <f t="shared" si="45"/>
        <v>1</v>
      </c>
      <c r="V722" s="225">
        <f t="shared" si="46"/>
        <v>3</v>
      </c>
      <c r="W722" s="217"/>
      <c r="X722" s="217"/>
      <c r="Y722" s="217"/>
      <c r="Z722" s="214"/>
      <c r="AA722" s="214"/>
      <c r="AB722" s="214"/>
      <c r="AC722" s="214"/>
    </row>
    <row r="723" spans="8:29" ht="8.4" customHeight="1">
      <c r="S723" s="307">
        <f>INT((T723-0)/6)+1</f>
        <v>121</v>
      </c>
      <c r="T723" s="226">
        <f>+T722+1</f>
        <v>720</v>
      </c>
      <c r="U723" s="224">
        <f t="shared" si="45"/>
        <v>0</v>
      </c>
      <c r="V723" s="225">
        <f t="shared" si="46"/>
        <v>0</v>
      </c>
      <c r="W723" s="233">
        <f ca="1">$U723*EWSpacingFt+XOffset+(PanArrayWidthHighEndFt-PanArrayWidthLowEndFt)/2</f>
        <v>0</v>
      </c>
      <c r="X723" s="234">
        <f ca="1">$V723*NSSpacingFt+YOffset+0</f>
        <v>0</v>
      </c>
      <c r="Y723" s="235">
        <f ca="1">+$V723*NSGradeFt+PedHeight+0</f>
        <v>7.401410761154855</v>
      </c>
      <c r="Z723" s="214">
        <f ca="1">+$W723</f>
        <v>0</v>
      </c>
      <c r="AA723" s="214">
        <f ca="1">+$Y723</f>
        <v>7.401410761154855</v>
      </c>
      <c r="AB723" s="214">
        <f ca="1">+$X723</f>
        <v>0</v>
      </c>
      <c r="AC723" s="214">
        <f ca="1">+$W723-XOffset</f>
        <v>0</v>
      </c>
    </row>
    <row r="724" spans="8:29" ht="8.4" customHeight="1">
      <c r="S724" s="307"/>
      <c r="T724" s="226">
        <f>+T723+1</f>
        <v>721</v>
      </c>
      <c r="U724" s="224">
        <f t="shared" si="45"/>
        <v>0</v>
      </c>
      <c r="V724" s="225">
        <f t="shared" si="46"/>
        <v>0</v>
      </c>
      <c r="W724" s="236">
        <f ca="1">+$U724*EWSpacingFt+XOffset+PanArrayWidthHighEndFt-(PanArrayWidthHighEndFt-PanArrayWidthLowEndFt)/2</f>
        <v>10.80282152230971</v>
      </c>
      <c r="X724" s="240">
        <f ca="1">$V724*NSSpacingFt+YOffset+0</f>
        <v>0</v>
      </c>
      <c r="Y724" s="244">
        <f ca="1">+$V724*NSGradeFt+PedHeight+0</f>
        <v>7.401410761154855</v>
      </c>
      <c r="Z724" s="214">
        <f ca="1">+$W724</f>
        <v>10.80282152230971</v>
      </c>
      <c r="AA724" s="214">
        <f ca="1">+$Y724</f>
        <v>7.401410761154855</v>
      </c>
      <c r="AB724" s="214">
        <f ca="1">+$X724</f>
        <v>0</v>
      </c>
      <c r="AC724" s="214">
        <f ca="1">+$W724-XOffset</f>
        <v>10.80282152230971</v>
      </c>
    </row>
    <row r="725" spans="8:29" ht="8.4" customHeight="1">
      <c r="S725" s="307"/>
      <c r="T725" s="226">
        <f t="shared" ref="T725:T788" si="48">+T724+1</f>
        <v>722</v>
      </c>
      <c r="U725" s="224">
        <f t="shared" si="45"/>
        <v>0</v>
      </c>
      <c r="V725" s="225">
        <f t="shared" si="46"/>
        <v>0</v>
      </c>
      <c r="W725" s="237">
        <f ca="1">$U725*EWSpacingFt+XOffset+PanArrayWidthHighEndFt</f>
        <v>10.80282152230971</v>
      </c>
      <c r="X725" s="241">
        <f ca="1">$V725*NSSpacingFt+YOffset+PanArrayLenFt*COS(RADIANS(Latitude+DecAng))</f>
        <v>16.439632545931762</v>
      </c>
      <c r="Y725" s="245">
        <f ca="1">+$V725*NSGradeFt+PedHeight+PanArrayLenFt*SIN(RADIANS(Latitude+DecAng))</f>
        <v>7.401410761154855</v>
      </c>
      <c r="Z725" s="214">
        <f ca="1">+$W725</f>
        <v>10.80282152230971</v>
      </c>
      <c r="AA725" s="214">
        <f ca="1">+$Y725</f>
        <v>7.401410761154855</v>
      </c>
      <c r="AB725" s="214">
        <f ca="1">+$X725</f>
        <v>16.439632545931762</v>
      </c>
      <c r="AC725" s="214">
        <f ca="1">+$W725-XOffset</f>
        <v>10.80282152230971</v>
      </c>
    </row>
    <row r="726" spans="8:29" ht="8.4" customHeight="1">
      <c r="S726" s="307"/>
      <c r="T726" s="226">
        <f t="shared" si="48"/>
        <v>723</v>
      </c>
      <c r="U726" s="224">
        <f t="shared" si="45"/>
        <v>0</v>
      </c>
      <c r="V726" s="225">
        <f t="shared" si="46"/>
        <v>0</v>
      </c>
      <c r="W726" s="238">
        <f ca="1">$U726*EWSpacingFt+XOffset+0</f>
        <v>0</v>
      </c>
      <c r="X726" s="242">
        <f ca="1">$V726*NSSpacingFt+YOffset+PanArrayLenFt*COS(RADIANS(Latitude+DecAng))</f>
        <v>16.439632545931762</v>
      </c>
      <c r="Y726" s="246">
        <f ca="1">+$V726*NSGradeFt+PedHeight+PanArrayLenFt*SIN(RADIANS(Latitude+DecAng))</f>
        <v>7.401410761154855</v>
      </c>
      <c r="Z726" s="214">
        <f ca="1">+$W726</f>
        <v>0</v>
      </c>
      <c r="AA726" s="214">
        <f ca="1">+$Y726</f>
        <v>7.401410761154855</v>
      </c>
      <c r="AB726" s="214">
        <f ca="1">+$X726</f>
        <v>16.439632545931762</v>
      </c>
      <c r="AC726" s="214">
        <f ca="1">+$W726-XOffset</f>
        <v>0</v>
      </c>
    </row>
    <row r="727" spans="8:29" ht="8.4" customHeight="1">
      <c r="S727" s="307"/>
      <c r="T727" s="226">
        <f t="shared" si="48"/>
        <v>724</v>
      </c>
      <c r="U727" s="224">
        <f t="shared" si="45"/>
        <v>0</v>
      </c>
      <c r="V727" s="225">
        <f t="shared" si="46"/>
        <v>0</v>
      </c>
      <c r="W727" s="239">
        <f ca="1">$U727*EWSpacingFt+XOffset+(PanArrayWidthHighEndFt-PanArrayWidthLowEndFt)/2</f>
        <v>0</v>
      </c>
      <c r="X727" s="243">
        <f ca="1">$V727*NSSpacingFt+YOffset+0</f>
        <v>0</v>
      </c>
      <c r="Y727" s="247">
        <f ca="1">+$V727*NSGradeFt+PedHeight+0</f>
        <v>7.401410761154855</v>
      </c>
      <c r="Z727" s="214">
        <f ca="1">+$W727</f>
        <v>0</v>
      </c>
      <c r="AA727" s="214">
        <f ca="1">+$Y727</f>
        <v>7.401410761154855</v>
      </c>
      <c r="AB727" s="214">
        <f ca="1">+$X727</f>
        <v>0</v>
      </c>
      <c r="AC727" s="214">
        <f ca="1">+$W727-XOffset</f>
        <v>0</v>
      </c>
    </row>
    <row r="728" spans="8:29" ht="8.4" customHeight="1">
      <c r="S728" s="307"/>
      <c r="T728" s="226">
        <f t="shared" si="48"/>
        <v>725</v>
      </c>
      <c r="U728" s="224">
        <f t="shared" si="45"/>
        <v>0</v>
      </c>
      <c r="V728" s="225">
        <f t="shared" si="46"/>
        <v>0</v>
      </c>
      <c r="W728" s="217"/>
      <c r="X728" s="217"/>
      <c r="Y728" s="217"/>
      <c r="Z728" s="214"/>
      <c r="AA728" s="214"/>
      <c r="AB728" s="214"/>
      <c r="AC728" s="214"/>
    </row>
    <row r="729" spans="8:29" ht="8.4" customHeight="1">
      <c r="S729" s="307">
        <f>INT((T729-0)/6)+1</f>
        <v>122</v>
      </c>
      <c r="T729" s="226">
        <f t="shared" si="48"/>
        <v>726</v>
      </c>
      <c r="U729" s="224">
        <f t="shared" si="45"/>
        <v>1</v>
      </c>
      <c r="V729" s="225">
        <f t="shared" si="46"/>
        <v>0</v>
      </c>
      <c r="W729" s="233">
        <f ca="1">$U729*EWSpacingFt+XOffset+(PanArrayWidthHighEndFt-PanArrayWidthLowEndFt)/2</f>
        <v>30.000006832286932</v>
      </c>
      <c r="X729" s="234">
        <f ca="1">$V729*NSSpacingFt+YOffset+0</f>
        <v>0</v>
      </c>
      <c r="Y729" s="235">
        <f ca="1">+$V729*NSGradeFt+PedHeight+0</f>
        <v>7.401410761154855</v>
      </c>
      <c r="Z729" s="214">
        <f ca="1">+$W729</f>
        <v>30.000006832286932</v>
      </c>
      <c r="AA729" s="214">
        <f ca="1">+$Y729</f>
        <v>7.401410761154855</v>
      </c>
      <c r="AB729" s="214">
        <f ca="1">+$X729</f>
        <v>0</v>
      </c>
      <c r="AC729" s="214">
        <f ca="1">+$W729-XOffset</f>
        <v>30.000006832286932</v>
      </c>
    </row>
    <row r="730" spans="8:29" ht="8.4" customHeight="1">
      <c r="S730" s="307"/>
      <c r="T730" s="226">
        <f t="shared" si="48"/>
        <v>727</v>
      </c>
      <c r="U730" s="224">
        <f t="shared" si="45"/>
        <v>1</v>
      </c>
      <c r="V730" s="225">
        <f t="shared" si="46"/>
        <v>0</v>
      </c>
      <c r="W730" s="236">
        <f ca="1">+$U730*EWSpacingFt+XOffset+PanArrayWidthHighEndFt-(PanArrayWidthHighEndFt-PanArrayWidthLowEndFt)/2</f>
        <v>40.802828354596642</v>
      </c>
      <c r="X730" s="240">
        <f ca="1">$V730*NSSpacingFt+YOffset+0</f>
        <v>0</v>
      </c>
      <c r="Y730" s="244">
        <f ca="1">+$V730*NSGradeFt+PedHeight+0</f>
        <v>7.401410761154855</v>
      </c>
      <c r="Z730" s="214">
        <f ca="1">+$W730</f>
        <v>40.802828354596642</v>
      </c>
      <c r="AA730" s="214">
        <f ca="1">+$Y730</f>
        <v>7.401410761154855</v>
      </c>
      <c r="AB730" s="214">
        <f ca="1">+$X730</f>
        <v>0</v>
      </c>
      <c r="AC730" s="214">
        <f ca="1">+$W730-XOffset</f>
        <v>40.802828354596642</v>
      </c>
    </row>
    <row r="731" spans="8:29" ht="8.4" customHeight="1">
      <c r="S731" s="307"/>
      <c r="T731" s="226">
        <f t="shared" si="48"/>
        <v>728</v>
      </c>
      <c r="U731" s="224">
        <f t="shared" si="45"/>
        <v>1</v>
      </c>
      <c r="V731" s="225">
        <f t="shared" si="46"/>
        <v>0</v>
      </c>
      <c r="W731" s="237">
        <f ca="1">$U731*EWSpacingFt+XOffset+PanArrayWidthHighEndFt</f>
        <v>40.802828354596642</v>
      </c>
      <c r="X731" s="241">
        <f ca="1">$V731*NSSpacingFt+YOffset+PanArrayLenFt*COS(RADIANS(Latitude+DecAng))</f>
        <v>16.439632545931762</v>
      </c>
      <c r="Y731" s="245">
        <f ca="1">+$V731*NSGradeFt+PedHeight+PanArrayLenFt*SIN(RADIANS(Latitude+DecAng))</f>
        <v>7.401410761154855</v>
      </c>
      <c r="Z731" s="214">
        <f ca="1">+$W731</f>
        <v>40.802828354596642</v>
      </c>
      <c r="AA731" s="214">
        <f ca="1">+$Y731</f>
        <v>7.401410761154855</v>
      </c>
      <c r="AB731" s="214">
        <f ca="1">+$X731</f>
        <v>16.439632545931762</v>
      </c>
      <c r="AC731" s="214">
        <f ca="1">+$W731-XOffset</f>
        <v>40.802828354596642</v>
      </c>
    </row>
    <row r="732" spans="8:29" ht="8.4" customHeight="1">
      <c r="S732" s="307"/>
      <c r="T732" s="226">
        <f t="shared" si="48"/>
        <v>729</v>
      </c>
      <c r="U732" s="224">
        <f t="shared" si="45"/>
        <v>1</v>
      </c>
      <c r="V732" s="225">
        <f t="shared" si="46"/>
        <v>0</v>
      </c>
      <c r="W732" s="238">
        <f ca="1">$U732*EWSpacingFt+XOffset+0</f>
        <v>30.000006832286932</v>
      </c>
      <c r="X732" s="242">
        <f ca="1">$V732*NSSpacingFt+YOffset+PanArrayLenFt*COS(RADIANS(Latitude+DecAng))</f>
        <v>16.439632545931762</v>
      </c>
      <c r="Y732" s="246">
        <f ca="1">+$V732*NSGradeFt+PedHeight+PanArrayLenFt*SIN(RADIANS(Latitude+DecAng))</f>
        <v>7.401410761154855</v>
      </c>
      <c r="Z732" s="214">
        <f ca="1">+$W732</f>
        <v>30.000006832286932</v>
      </c>
      <c r="AA732" s="214">
        <f ca="1">+$Y732</f>
        <v>7.401410761154855</v>
      </c>
      <c r="AB732" s="214">
        <f ca="1">+$X732</f>
        <v>16.439632545931762</v>
      </c>
      <c r="AC732" s="214">
        <f ca="1">+$W732-XOffset</f>
        <v>30.000006832286932</v>
      </c>
    </row>
    <row r="733" spans="8:29" ht="8.4" customHeight="1">
      <c r="S733" s="307"/>
      <c r="T733" s="226">
        <f t="shared" si="48"/>
        <v>730</v>
      </c>
      <c r="U733" s="224">
        <f t="shared" si="45"/>
        <v>1</v>
      </c>
      <c r="V733" s="225">
        <f t="shared" si="46"/>
        <v>0</v>
      </c>
      <c r="W733" s="239">
        <f ca="1">$U733*EWSpacingFt+XOffset+(PanArrayWidthHighEndFt-PanArrayWidthLowEndFt)/2</f>
        <v>30.000006832286932</v>
      </c>
      <c r="X733" s="243">
        <f ca="1">$V733*NSSpacingFt+YOffset+0</f>
        <v>0</v>
      </c>
      <c r="Y733" s="247">
        <f ca="1">+$V733*NSGradeFt+PedHeight+0</f>
        <v>7.401410761154855</v>
      </c>
      <c r="Z733" s="214">
        <f ca="1">+$W733</f>
        <v>30.000006832286932</v>
      </c>
      <c r="AA733" s="214">
        <f ca="1">+$Y733</f>
        <v>7.401410761154855</v>
      </c>
      <c r="AB733" s="214">
        <f ca="1">+$X733</f>
        <v>0</v>
      </c>
      <c r="AC733" s="214">
        <f ca="1">+$W733-XOffset</f>
        <v>30.000006832286932</v>
      </c>
    </row>
    <row r="734" spans="8:29" ht="8.4" customHeight="1">
      <c r="S734" s="307"/>
      <c r="T734" s="226">
        <f t="shared" si="48"/>
        <v>731</v>
      </c>
      <c r="U734" s="224">
        <f t="shared" si="45"/>
        <v>1</v>
      </c>
      <c r="V734" s="225">
        <f t="shared" si="46"/>
        <v>0</v>
      </c>
      <c r="W734" s="217"/>
      <c r="X734" s="217"/>
      <c r="Y734" s="217"/>
      <c r="Z734" s="214"/>
      <c r="AA734" s="214"/>
      <c r="AB734" s="214"/>
      <c r="AC734" s="214"/>
    </row>
    <row r="735" spans="8:29" ht="8.4" customHeight="1">
      <c r="S735" s="307">
        <f>INT((T735-0)/6)+1</f>
        <v>123</v>
      </c>
      <c r="T735" s="226">
        <f t="shared" si="48"/>
        <v>732</v>
      </c>
      <c r="U735" s="224">
        <f t="shared" si="45"/>
        <v>0</v>
      </c>
      <c r="V735" s="225">
        <f t="shared" si="46"/>
        <v>1</v>
      </c>
      <c r="W735" s="233">
        <f ca="1">$U735*EWSpacingFt+XOffset+(PanArrayWidthHighEndFt-PanArrayWidthLowEndFt)/2</f>
        <v>0</v>
      </c>
      <c r="X735" s="234">
        <f ca="1">$V735*NSSpacingFt+YOffset+0</f>
        <v>17.999999999999989</v>
      </c>
      <c r="Y735" s="235">
        <f ca="1">+$V735*NSGradeFt+PedHeight+0</f>
        <v>7.401410761154855</v>
      </c>
      <c r="Z735" s="214">
        <f ca="1">+$W735</f>
        <v>0</v>
      </c>
      <c r="AA735" s="214">
        <f ca="1">+$Y735</f>
        <v>7.401410761154855</v>
      </c>
      <c r="AB735" s="214">
        <f ca="1">+$X735</f>
        <v>17.999999999999989</v>
      </c>
      <c r="AC735" s="214">
        <f ca="1">+$W735-XOffset</f>
        <v>0</v>
      </c>
    </row>
    <row r="736" spans="8:29" ht="8.4" customHeight="1">
      <c r="S736" s="307"/>
      <c r="T736" s="226">
        <f t="shared" si="48"/>
        <v>733</v>
      </c>
      <c r="U736" s="224">
        <f t="shared" si="45"/>
        <v>0</v>
      </c>
      <c r="V736" s="225">
        <f t="shared" si="46"/>
        <v>1</v>
      </c>
      <c r="W736" s="236">
        <f ca="1">+$U736*EWSpacingFt+XOffset+PanArrayWidthHighEndFt-(PanArrayWidthHighEndFt-PanArrayWidthLowEndFt)/2</f>
        <v>10.80282152230971</v>
      </c>
      <c r="X736" s="240">
        <f ca="1">$V736*NSSpacingFt+YOffset+0</f>
        <v>17.999999999999989</v>
      </c>
      <c r="Y736" s="244">
        <f ca="1">+$V736*NSGradeFt+PedHeight+0</f>
        <v>7.401410761154855</v>
      </c>
      <c r="Z736" s="214">
        <f ca="1">+$W736</f>
        <v>10.80282152230971</v>
      </c>
      <c r="AA736" s="214">
        <f ca="1">+$Y736</f>
        <v>7.401410761154855</v>
      </c>
      <c r="AB736" s="214">
        <f ca="1">+$X736</f>
        <v>17.999999999999989</v>
      </c>
      <c r="AC736" s="214">
        <f ca="1">+$W736-XOffset</f>
        <v>10.80282152230971</v>
      </c>
    </row>
    <row r="737" spans="19:29" ht="8.4" customHeight="1">
      <c r="S737" s="307"/>
      <c r="T737" s="226">
        <f t="shared" si="48"/>
        <v>734</v>
      </c>
      <c r="U737" s="224">
        <f t="shared" si="45"/>
        <v>0</v>
      </c>
      <c r="V737" s="225">
        <f t="shared" si="46"/>
        <v>1</v>
      </c>
      <c r="W737" s="237">
        <f ca="1">$U737*EWSpacingFt+XOffset+PanArrayWidthHighEndFt</f>
        <v>10.80282152230971</v>
      </c>
      <c r="X737" s="241">
        <f ca="1">$V737*NSSpacingFt+YOffset+PanArrayLenFt*COS(RADIANS(Latitude+DecAng))</f>
        <v>34.439632545931751</v>
      </c>
      <c r="Y737" s="245">
        <f ca="1">+$V737*NSGradeFt+PedHeight+PanArrayLenFt*SIN(RADIANS(Latitude+DecAng))</f>
        <v>7.401410761154855</v>
      </c>
      <c r="Z737" s="214">
        <f ca="1">+$W737</f>
        <v>10.80282152230971</v>
      </c>
      <c r="AA737" s="214">
        <f ca="1">+$Y737</f>
        <v>7.401410761154855</v>
      </c>
      <c r="AB737" s="214">
        <f ca="1">+$X737</f>
        <v>34.439632545931751</v>
      </c>
      <c r="AC737" s="214">
        <f ca="1">+$W737-XOffset</f>
        <v>10.80282152230971</v>
      </c>
    </row>
    <row r="738" spans="19:29" ht="8.4" customHeight="1">
      <c r="S738" s="307"/>
      <c r="T738" s="226">
        <f t="shared" si="48"/>
        <v>735</v>
      </c>
      <c r="U738" s="224">
        <f t="shared" si="45"/>
        <v>0</v>
      </c>
      <c r="V738" s="225">
        <f t="shared" si="46"/>
        <v>1</v>
      </c>
      <c r="W738" s="238">
        <f ca="1">$U738*EWSpacingFt+XOffset+0</f>
        <v>0</v>
      </c>
      <c r="X738" s="242">
        <f ca="1">$V738*NSSpacingFt+YOffset+PanArrayLenFt*COS(RADIANS(Latitude+DecAng))</f>
        <v>34.439632545931751</v>
      </c>
      <c r="Y738" s="246">
        <f ca="1">+$V738*NSGradeFt+PedHeight+PanArrayLenFt*SIN(RADIANS(Latitude+DecAng))</f>
        <v>7.401410761154855</v>
      </c>
      <c r="Z738" s="214">
        <f ca="1">+$W738</f>
        <v>0</v>
      </c>
      <c r="AA738" s="214">
        <f ca="1">+$Y738</f>
        <v>7.401410761154855</v>
      </c>
      <c r="AB738" s="214">
        <f ca="1">+$X738</f>
        <v>34.439632545931751</v>
      </c>
      <c r="AC738" s="214">
        <f ca="1">+$W738-XOffset</f>
        <v>0</v>
      </c>
    </row>
    <row r="739" spans="19:29" ht="8.4" customHeight="1">
      <c r="S739" s="307"/>
      <c r="T739" s="226">
        <f t="shared" si="48"/>
        <v>736</v>
      </c>
      <c r="U739" s="224">
        <f t="shared" si="45"/>
        <v>0</v>
      </c>
      <c r="V739" s="225">
        <f t="shared" si="46"/>
        <v>1</v>
      </c>
      <c r="W739" s="239">
        <f ca="1">$U739*EWSpacingFt+XOffset+(PanArrayWidthHighEndFt-PanArrayWidthLowEndFt)/2</f>
        <v>0</v>
      </c>
      <c r="X739" s="243">
        <f ca="1">$V739*NSSpacingFt+YOffset+0</f>
        <v>17.999999999999989</v>
      </c>
      <c r="Y739" s="247">
        <f ca="1">+$V739*NSGradeFt+PedHeight+0</f>
        <v>7.401410761154855</v>
      </c>
      <c r="Z739" s="214">
        <f ca="1">+$W739</f>
        <v>0</v>
      </c>
      <c r="AA739" s="214">
        <f ca="1">+$Y739</f>
        <v>7.401410761154855</v>
      </c>
      <c r="AB739" s="214">
        <f ca="1">+$X739</f>
        <v>17.999999999999989</v>
      </c>
      <c r="AC739" s="214">
        <f ca="1">+$W739-XOffset</f>
        <v>0</v>
      </c>
    </row>
    <row r="740" spans="19:29" ht="8.4" customHeight="1">
      <c r="S740" s="307"/>
      <c r="T740" s="226">
        <f t="shared" si="48"/>
        <v>737</v>
      </c>
      <c r="U740" s="224">
        <f t="shared" si="45"/>
        <v>0</v>
      </c>
      <c r="V740" s="225">
        <f t="shared" si="46"/>
        <v>1</v>
      </c>
      <c r="W740" s="217"/>
      <c r="X740" s="217"/>
      <c r="Y740" s="217"/>
      <c r="Z740" s="214"/>
      <c r="AA740" s="214"/>
      <c r="AB740" s="214"/>
      <c r="AC740" s="214"/>
    </row>
    <row r="741" spans="19:29" ht="8.4" customHeight="1">
      <c r="S741" s="307">
        <f>INT((T741-0)/6)+1</f>
        <v>124</v>
      </c>
      <c r="T741" s="226">
        <f t="shared" si="48"/>
        <v>738</v>
      </c>
      <c r="U741" s="224">
        <f t="shared" si="45"/>
        <v>1</v>
      </c>
      <c r="V741" s="225">
        <f t="shared" si="46"/>
        <v>1</v>
      </c>
      <c r="W741" s="233">
        <f ca="1">$U741*EWSpacingFt+XOffset+(PanArrayWidthHighEndFt-PanArrayWidthLowEndFt)/2</f>
        <v>30.000006832286932</v>
      </c>
      <c r="X741" s="234">
        <f ca="1">$V741*NSSpacingFt+YOffset+0</f>
        <v>17.999999999999989</v>
      </c>
      <c r="Y741" s="235">
        <f ca="1">+$V741*NSGradeFt+PedHeight+0</f>
        <v>7.401410761154855</v>
      </c>
      <c r="Z741" s="214">
        <f ca="1">+$W741</f>
        <v>30.000006832286932</v>
      </c>
      <c r="AA741" s="214">
        <f ca="1">+$Y741</f>
        <v>7.401410761154855</v>
      </c>
      <c r="AB741" s="214">
        <f ca="1">+$X741</f>
        <v>17.999999999999989</v>
      </c>
      <c r="AC741" s="214">
        <f ca="1">+$W741-XOffset</f>
        <v>30.000006832286932</v>
      </c>
    </row>
    <row r="742" spans="19:29" ht="8.4" customHeight="1">
      <c r="S742" s="307"/>
      <c r="T742" s="226">
        <f t="shared" si="48"/>
        <v>739</v>
      </c>
      <c r="U742" s="224">
        <f t="shared" si="45"/>
        <v>1</v>
      </c>
      <c r="V742" s="225">
        <f t="shared" si="46"/>
        <v>1</v>
      </c>
      <c r="W742" s="236">
        <f ca="1">+$U742*EWSpacingFt+XOffset+PanArrayWidthHighEndFt-(PanArrayWidthHighEndFt-PanArrayWidthLowEndFt)/2</f>
        <v>40.802828354596642</v>
      </c>
      <c r="X742" s="240">
        <f ca="1">$V742*NSSpacingFt+YOffset+0</f>
        <v>17.999999999999989</v>
      </c>
      <c r="Y742" s="244">
        <f ca="1">+$V742*NSGradeFt+PedHeight+0</f>
        <v>7.401410761154855</v>
      </c>
      <c r="Z742" s="214">
        <f ca="1">+$W742</f>
        <v>40.802828354596642</v>
      </c>
      <c r="AA742" s="214">
        <f ca="1">+$Y742</f>
        <v>7.401410761154855</v>
      </c>
      <c r="AB742" s="214">
        <f ca="1">+$X742</f>
        <v>17.999999999999989</v>
      </c>
      <c r="AC742" s="214">
        <f ca="1">+$W742-XOffset</f>
        <v>40.802828354596642</v>
      </c>
    </row>
    <row r="743" spans="19:29" ht="8.4" customHeight="1">
      <c r="S743" s="307"/>
      <c r="T743" s="226">
        <f t="shared" si="48"/>
        <v>740</v>
      </c>
      <c r="U743" s="224">
        <f t="shared" si="45"/>
        <v>1</v>
      </c>
      <c r="V743" s="225">
        <f t="shared" si="46"/>
        <v>1</v>
      </c>
      <c r="W743" s="237">
        <f ca="1">$U743*EWSpacingFt+XOffset+PanArrayWidthHighEndFt</f>
        <v>40.802828354596642</v>
      </c>
      <c r="X743" s="241">
        <f ca="1">$V743*NSSpacingFt+YOffset+PanArrayLenFt*COS(RADIANS(Latitude+DecAng))</f>
        <v>34.439632545931751</v>
      </c>
      <c r="Y743" s="245">
        <f ca="1">+$V743*NSGradeFt+PedHeight+PanArrayLenFt*SIN(RADIANS(Latitude+DecAng))</f>
        <v>7.401410761154855</v>
      </c>
      <c r="Z743" s="214">
        <f ca="1">+$W743</f>
        <v>40.802828354596642</v>
      </c>
      <c r="AA743" s="214">
        <f ca="1">+$Y743</f>
        <v>7.401410761154855</v>
      </c>
      <c r="AB743" s="214">
        <f ca="1">+$X743</f>
        <v>34.439632545931751</v>
      </c>
      <c r="AC743" s="214">
        <f ca="1">+$W743-XOffset</f>
        <v>40.802828354596642</v>
      </c>
    </row>
    <row r="744" spans="19:29" ht="8.4" customHeight="1">
      <c r="S744" s="307"/>
      <c r="T744" s="226">
        <f t="shared" si="48"/>
        <v>741</v>
      </c>
      <c r="U744" s="224">
        <f t="shared" si="45"/>
        <v>1</v>
      </c>
      <c r="V744" s="225">
        <f t="shared" si="46"/>
        <v>1</v>
      </c>
      <c r="W744" s="238">
        <f ca="1">$U744*EWSpacingFt+XOffset+0</f>
        <v>30.000006832286932</v>
      </c>
      <c r="X744" s="242">
        <f ca="1">$V744*NSSpacingFt+YOffset+PanArrayLenFt*COS(RADIANS(Latitude+DecAng))</f>
        <v>34.439632545931751</v>
      </c>
      <c r="Y744" s="246">
        <f ca="1">+$V744*NSGradeFt+PedHeight+PanArrayLenFt*SIN(RADIANS(Latitude+DecAng))</f>
        <v>7.401410761154855</v>
      </c>
      <c r="Z744" s="214">
        <f ca="1">+$W744</f>
        <v>30.000006832286932</v>
      </c>
      <c r="AA744" s="214">
        <f ca="1">+$Y744</f>
        <v>7.401410761154855</v>
      </c>
      <c r="AB744" s="214">
        <f ca="1">+$X744</f>
        <v>34.439632545931751</v>
      </c>
      <c r="AC744" s="214">
        <f ca="1">+$W744-XOffset</f>
        <v>30.000006832286932</v>
      </c>
    </row>
    <row r="745" spans="19:29" ht="8.4" customHeight="1">
      <c r="S745" s="307"/>
      <c r="T745" s="226">
        <f t="shared" si="48"/>
        <v>742</v>
      </c>
      <c r="U745" s="224">
        <f t="shared" si="45"/>
        <v>1</v>
      </c>
      <c r="V745" s="225">
        <f t="shared" si="46"/>
        <v>1</v>
      </c>
      <c r="W745" s="239">
        <f ca="1">$U745*EWSpacingFt+XOffset+(PanArrayWidthHighEndFt-PanArrayWidthLowEndFt)/2</f>
        <v>30.000006832286932</v>
      </c>
      <c r="X745" s="243">
        <f ca="1">$V745*NSSpacingFt+YOffset+0</f>
        <v>17.999999999999989</v>
      </c>
      <c r="Y745" s="247">
        <f ca="1">+$V745*NSGradeFt+PedHeight+0</f>
        <v>7.401410761154855</v>
      </c>
      <c r="Z745" s="214">
        <f ca="1">+$W745</f>
        <v>30.000006832286932</v>
      </c>
      <c r="AA745" s="214">
        <f ca="1">+$Y745</f>
        <v>7.401410761154855</v>
      </c>
      <c r="AB745" s="214">
        <f ca="1">+$X745</f>
        <v>17.999999999999989</v>
      </c>
      <c r="AC745" s="214">
        <f ca="1">+$W745-XOffset</f>
        <v>30.000006832286932</v>
      </c>
    </row>
    <row r="746" spans="19:29" ht="8.4" customHeight="1">
      <c r="S746" s="307"/>
      <c r="T746" s="226">
        <f t="shared" si="48"/>
        <v>743</v>
      </c>
      <c r="U746" s="224">
        <f t="shared" si="45"/>
        <v>1</v>
      </c>
      <c r="V746" s="225">
        <f t="shared" si="46"/>
        <v>1</v>
      </c>
      <c r="W746" s="217"/>
      <c r="X746" s="217"/>
      <c r="Y746" s="217"/>
      <c r="Z746" s="214"/>
      <c r="AA746" s="214"/>
      <c r="AB746" s="214"/>
      <c r="AC746" s="214"/>
    </row>
    <row r="747" spans="19:29" ht="8.4" customHeight="1">
      <c r="S747" s="307">
        <f>INT((T747-0)/6)+1</f>
        <v>125</v>
      </c>
      <c r="T747" s="226">
        <f t="shared" si="48"/>
        <v>744</v>
      </c>
      <c r="U747" s="224">
        <f t="shared" si="45"/>
        <v>0</v>
      </c>
      <c r="V747" s="225">
        <f t="shared" si="46"/>
        <v>2</v>
      </c>
      <c r="W747" s="233">
        <f ca="1">$U747*EWSpacingFt+XOffset+(PanArrayWidthHighEndFt-PanArrayWidthLowEndFt)/2</f>
        <v>0</v>
      </c>
      <c r="X747" s="234">
        <f ca="1">$V747*NSSpacingFt+YOffset+0</f>
        <v>35.999999999999979</v>
      </c>
      <c r="Y747" s="235">
        <f ca="1">+$V747*NSGradeFt+PedHeight+0</f>
        <v>7.401410761154855</v>
      </c>
      <c r="Z747" s="214">
        <f ca="1">+$W747</f>
        <v>0</v>
      </c>
      <c r="AA747" s="214">
        <f ca="1">+$Y747</f>
        <v>7.401410761154855</v>
      </c>
      <c r="AB747" s="214">
        <f ca="1">+$X747</f>
        <v>35.999999999999979</v>
      </c>
      <c r="AC747" s="214">
        <f ca="1">+$W747-XOffset</f>
        <v>0</v>
      </c>
    </row>
    <row r="748" spans="19:29" ht="8.4" customHeight="1">
      <c r="S748" s="307"/>
      <c r="T748" s="226">
        <f t="shared" si="48"/>
        <v>745</v>
      </c>
      <c r="U748" s="224">
        <f t="shared" si="45"/>
        <v>0</v>
      </c>
      <c r="V748" s="225">
        <f t="shared" si="46"/>
        <v>2</v>
      </c>
      <c r="W748" s="236">
        <f ca="1">+$U748*EWSpacingFt+XOffset+PanArrayWidthHighEndFt-(PanArrayWidthHighEndFt-PanArrayWidthLowEndFt)/2</f>
        <v>10.80282152230971</v>
      </c>
      <c r="X748" s="240">
        <f ca="1">$V748*NSSpacingFt+YOffset+0</f>
        <v>35.999999999999979</v>
      </c>
      <c r="Y748" s="244">
        <f ca="1">+$V748*NSGradeFt+PedHeight+0</f>
        <v>7.401410761154855</v>
      </c>
      <c r="Z748" s="214">
        <f ca="1">+$W748</f>
        <v>10.80282152230971</v>
      </c>
      <c r="AA748" s="214">
        <f ca="1">+$Y748</f>
        <v>7.401410761154855</v>
      </c>
      <c r="AB748" s="214">
        <f ca="1">+$X748</f>
        <v>35.999999999999979</v>
      </c>
      <c r="AC748" s="214">
        <f ca="1">+$W748-XOffset</f>
        <v>10.80282152230971</v>
      </c>
    </row>
    <row r="749" spans="19:29" ht="8.4" customHeight="1">
      <c r="S749" s="307"/>
      <c r="T749" s="226">
        <f t="shared" si="48"/>
        <v>746</v>
      </c>
      <c r="U749" s="224">
        <f t="shared" si="45"/>
        <v>0</v>
      </c>
      <c r="V749" s="225">
        <f t="shared" si="46"/>
        <v>2</v>
      </c>
      <c r="W749" s="237">
        <f ca="1">$U749*EWSpacingFt+XOffset+PanArrayWidthHighEndFt</f>
        <v>10.80282152230971</v>
      </c>
      <c r="X749" s="241">
        <f ca="1">$V749*NSSpacingFt+YOffset+PanArrayLenFt*COS(RADIANS(Latitude+DecAng))</f>
        <v>52.439632545931744</v>
      </c>
      <c r="Y749" s="245">
        <f ca="1">+$V749*NSGradeFt+PedHeight+PanArrayLenFt*SIN(RADIANS(Latitude+DecAng))</f>
        <v>7.401410761154855</v>
      </c>
      <c r="Z749" s="214">
        <f ca="1">+$W749</f>
        <v>10.80282152230971</v>
      </c>
      <c r="AA749" s="214">
        <f ca="1">+$Y749</f>
        <v>7.401410761154855</v>
      </c>
      <c r="AB749" s="214">
        <f ca="1">+$X749</f>
        <v>52.439632545931744</v>
      </c>
      <c r="AC749" s="214">
        <f ca="1">+$W749-XOffset</f>
        <v>10.80282152230971</v>
      </c>
    </row>
    <row r="750" spans="19:29" ht="8.4" customHeight="1">
      <c r="S750" s="307"/>
      <c r="T750" s="226">
        <f t="shared" si="48"/>
        <v>747</v>
      </c>
      <c r="U750" s="224">
        <f t="shared" si="45"/>
        <v>0</v>
      </c>
      <c r="V750" s="225">
        <f t="shared" si="46"/>
        <v>2</v>
      </c>
      <c r="W750" s="238">
        <f ca="1">$U750*EWSpacingFt+XOffset+0</f>
        <v>0</v>
      </c>
      <c r="X750" s="242">
        <f ca="1">$V750*NSSpacingFt+YOffset+PanArrayLenFt*COS(RADIANS(Latitude+DecAng))</f>
        <v>52.439632545931744</v>
      </c>
      <c r="Y750" s="246">
        <f ca="1">+$V750*NSGradeFt+PedHeight+PanArrayLenFt*SIN(RADIANS(Latitude+DecAng))</f>
        <v>7.401410761154855</v>
      </c>
      <c r="Z750" s="214">
        <f ca="1">+$W750</f>
        <v>0</v>
      </c>
      <c r="AA750" s="214">
        <f ca="1">+$Y750</f>
        <v>7.401410761154855</v>
      </c>
      <c r="AB750" s="214">
        <f ca="1">+$X750</f>
        <v>52.439632545931744</v>
      </c>
      <c r="AC750" s="214">
        <f ca="1">+$W750-XOffset</f>
        <v>0</v>
      </c>
    </row>
    <row r="751" spans="19:29" ht="8.4" customHeight="1">
      <c r="S751" s="307"/>
      <c r="T751" s="226">
        <f t="shared" si="48"/>
        <v>748</v>
      </c>
      <c r="U751" s="224">
        <f t="shared" si="45"/>
        <v>0</v>
      </c>
      <c r="V751" s="225">
        <f t="shared" si="46"/>
        <v>2</v>
      </c>
      <c r="W751" s="239">
        <f ca="1">$U751*EWSpacingFt+XOffset+(PanArrayWidthHighEndFt-PanArrayWidthLowEndFt)/2</f>
        <v>0</v>
      </c>
      <c r="X751" s="243">
        <f ca="1">$V751*NSSpacingFt+YOffset+0</f>
        <v>35.999999999999979</v>
      </c>
      <c r="Y751" s="247">
        <f ca="1">+$V751*NSGradeFt+PedHeight+0</f>
        <v>7.401410761154855</v>
      </c>
      <c r="Z751" s="214">
        <f ca="1">+$W751</f>
        <v>0</v>
      </c>
      <c r="AA751" s="214">
        <f ca="1">+$Y751</f>
        <v>7.401410761154855</v>
      </c>
      <c r="AB751" s="214">
        <f ca="1">+$X751</f>
        <v>35.999999999999979</v>
      </c>
      <c r="AC751" s="214">
        <f ca="1">+$W751-XOffset</f>
        <v>0</v>
      </c>
    </row>
    <row r="752" spans="19:29" ht="8.4" customHeight="1">
      <c r="S752" s="307"/>
      <c r="T752" s="226">
        <f t="shared" si="48"/>
        <v>749</v>
      </c>
      <c r="U752" s="224">
        <f t="shared" si="45"/>
        <v>0</v>
      </c>
      <c r="V752" s="225">
        <f t="shared" si="46"/>
        <v>2</v>
      </c>
      <c r="W752" s="217"/>
      <c r="X752" s="217"/>
      <c r="Y752" s="217"/>
      <c r="Z752" s="214"/>
      <c r="AA752" s="214"/>
      <c r="AB752" s="214"/>
      <c r="AC752" s="214"/>
    </row>
    <row r="753" spans="19:29" ht="8.4" customHeight="1">
      <c r="S753" s="307">
        <f>INT((T753-0)/6)+1</f>
        <v>126</v>
      </c>
      <c r="T753" s="226">
        <f t="shared" si="48"/>
        <v>750</v>
      </c>
      <c r="U753" s="224">
        <f t="shared" si="45"/>
        <v>1</v>
      </c>
      <c r="V753" s="225">
        <f t="shared" si="46"/>
        <v>2</v>
      </c>
      <c r="W753" s="233">
        <f ca="1">$U753*EWSpacingFt+XOffset+(PanArrayWidthHighEndFt-PanArrayWidthLowEndFt)/2</f>
        <v>30.000006832286932</v>
      </c>
      <c r="X753" s="234">
        <f ca="1">$V753*NSSpacingFt+YOffset+0</f>
        <v>35.999999999999979</v>
      </c>
      <c r="Y753" s="235">
        <f ca="1">+$V753*NSGradeFt+PedHeight+0</f>
        <v>7.401410761154855</v>
      </c>
      <c r="Z753" s="214">
        <f ca="1">+$W753</f>
        <v>30.000006832286932</v>
      </c>
      <c r="AA753" s="214">
        <f ca="1">+$Y753</f>
        <v>7.401410761154855</v>
      </c>
      <c r="AB753" s="214">
        <f ca="1">+$X753</f>
        <v>35.999999999999979</v>
      </c>
      <c r="AC753" s="214">
        <f ca="1">+$W753-XOffset</f>
        <v>30.000006832286932</v>
      </c>
    </row>
    <row r="754" spans="19:29" ht="8.4" customHeight="1">
      <c r="S754" s="307"/>
      <c r="T754" s="226">
        <f t="shared" si="48"/>
        <v>751</v>
      </c>
      <c r="U754" s="224">
        <f t="shared" si="45"/>
        <v>1</v>
      </c>
      <c r="V754" s="225">
        <f t="shared" si="46"/>
        <v>2</v>
      </c>
      <c r="W754" s="236">
        <f ca="1">+$U754*EWSpacingFt+XOffset+PanArrayWidthHighEndFt-(PanArrayWidthHighEndFt-PanArrayWidthLowEndFt)/2</f>
        <v>40.802828354596642</v>
      </c>
      <c r="X754" s="240">
        <f ca="1">$V754*NSSpacingFt+YOffset+0</f>
        <v>35.999999999999979</v>
      </c>
      <c r="Y754" s="244">
        <f ca="1">+$V754*NSGradeFt+PedHeight+0</f>
        <v>7.401410761154855</v>
      </c>
      <c r="Z754" s="214">
        <f ca="1">+$W754</f>
        <v>40.802828354596642</v>
      </c>
      <c r="AA754" s="214">
        <f ca="1">+$Y754</f>
        <v>7.401410761154855</v>
      </c>
      <c r="AB754" s="214">
        <f ca="1">+$X754</f>
        <v>35.999999999999979</v>
      </c>
      <c r="AC754" s="214">
        <f ca="1">+$W754-XOffset</f>
        <v>40.802828354596642</v>
      </c>
    </row>
    <row r="755" spans="19:29" ht="8.4" customHeight="1">
      <c r="S755" s="307"/>
      <c r="T755" s="226">
        <f t="shared" si="48"/>
        <v>752</v>
      </c>
      <c r="U755" s="224">
        <f t="shared" si="45"/>
        <v>1</v>
      </c>
      <c r="V755" s="225">
        <f t="shared" si="46"/>
        <v>2</v>
      </c>
      <c r="W755" s="237">
        <f ca="1">$U755*EWSpacingFt+XOffset+PanArrayWidthHighEndFt</f>
        <v>40.802828354596642</v>
      </c>
      <c r="X755" s="241">
        <f ca="1">$V755*NSSpacingFt+YOffset+PanArrayLenFt*COS(RADIANS(Latitude+DecAng))</f>
        <v>52.439632545931744</v>
      </c>
      <c r="Y755" s="245">
        <f ca="1">+$V755*NSGradeFt+PedHeight+PanArrayLenFt*SIN(RADIANS(Latitude+DecAng))</f>
        <v>7.401410761154855</v>
      </c>
      <c r="Z755" s="214">
        <f ca="1">+$W755</f>
        <v>40.802828354596642</v>
      </c>
      <c r="AA755" s="214">
        <f ca="1">+$Y755</f>
        <v>7.401410761154855</v>
      </c>
      <c r="AB755" s="214">
        <f ca="1">+$X755</f>
        <v>52.439632545931744</v>
      </c>
      <c r="AC755" s="214">
        <f ca="1">+$W755-XOffset</f>
        <v>40.802828354596642</v>
      </c>
    </row>
    <row r="756" spans="19:29" ht="8.4" customHeight="1">
      <c r="S756" s="307"/>
      <c r="T756" s="226">
        <f t="shared" si="48"/>
        <v>753</v>
      </c>
      <c r="U756" s="224">
        <f t="shared" si="45"/>
        <v>1</v>
      </c>
      <c r="V756" s="225">
        <f t="shared" si="46"/>
        <v>2</v>
      </c>
      <c r="W756" s="238">
        <f ca="1">$U756*EWSpacingFt+XOffset+0</f>
        <v>30.000006832286932</v>
      </c>
      <c r="X756" s="242">
        <f ca="1">$V756*NSSpacingFt+YOffset+PanArrayLenFt*COS(RADIANS(Latitude+DecAng))</f>
        <v>52.439632545931744</v>
      </c>
      <c r="Y756" s="246">
        <f ca="1">+$V756*NSGradeFt+PedHeight+PanArrayLenFt*SIN(RADIANS(Latitude+DecAng))</f>
        <v>7.401410761154855</v>
      </c>
      <c r="Z756" s="214">
        <f ca="1">+$W756</f>
        <v>30.000006832286932</v>
      </c>
      <c r="AA756" s="214">
        <f ca="1">+$Y756</f>
        <v>7.401410761154855</v>
      </c>
      <c r="AB756" s="214">
        <f ca="1">+$X756</f>
        <v>52.439632545931744</v>
      </c>
      <c r="AC756" s="214">
        <f ca="1">+$W756-XOffset</f>
        <v>30.000006832286932</v>
      </c>
    </row>
    <row r="757" spans="19:29" ht="8.4" customHeight="1">
      <c r="S757" s="307"/>
      <c r="T757" s="226">
        <f t="shared" si="48"/>
        <v>754</v>
      </c>
      <c r="U757" s="224">
        <f t="shared" si="45"/>
        <v>1</v>
      </c>
      <c r="V757" s="225">
        <f t="shared" si="46"/>
        <v>2</v>
      </c>
      <c r="W757" s="239">
        <f ca="1">$U757*EWSpacingFt+XOffset+(PanArrayWidthHighEndFt-PanArrayWidthLowEndFt)/2</f>
        <v>30.000006832286932</v>
      </c>
      <c r="X757" s="243">
        <f ca="1">$V757*NSSpacingFt+YOffset+0</f>
        <v>35.999999999999979</v>
      </c>
      <c r="Y757" s="247">
        <f ca="1">+$V757*NSGradeFt+PedHeight+0</f>
        <v>7.401410761154855</v>
      </c>
      <c r="Z757" s="214">
        <f ca="1">+$W757</f>
        <v>30.000006832286932</v>
      </c>
      <c r="AA757" s="214">
        <f ca="1">+$Y757</f>
        <v>7.401410761154855</v>
      </c>
      <c r="AB757" s="214">
        <f ca="1">+$X757</f>
        <v>35.999999999999979</v>
      </c>
      <c r="AC757" s="214">
        <f ca="1">+$W757-XOffset</f>
        <v>30.000006832286932</v>
      </c>
    </row>
    <row r="758" spans="19:29" ht="8.4" customHeight="1">
      <c r="S758" s="307"/>
      <c r="T758" s="226">
        <f t="shared" si="48"/>
        <v>755</v>
      </c>
      <c r="U758" s="224">
        <f t="shared" si="45"/>
        <v>1</v>
      </c>
      <c r="V758" s="225">
        <f t="shared" si="46"/>
        <v>2</v>
      </c>
      <c r="W758" s="217"/>
      <c r="X758" s="217"/>
      <c r="Y758" s="217"/>
      <c r="Z758" s="214"/>
      <c r="AA758" s="214"/>
      <c r="AB758" s="214"/>
      <c r="AC758" s="214"/>
    </row>
    <row r="759" spans="19:29" ht="8.4" customHeight="1">
      <c r="S759" s="307">
        <f>INT((T759-0)/6)+1</f>
        <v>127</v>
      </c>
      <c r="T759" s="226">
        <f t="shared" si="48"/>
        <v>756</v>
      </c>
      <c r="U759" s="224">
        <f t="shared" si="45"/>
        <v>0</v>
      </c>
      <c r="V759" s="225">
        <f t="shared" si="46"/>
        <v>3</v>
      </c>
      <c r="W759" s="233">
        <f ca="1">$U759*EWSpacingFt+XOffset+(PanArrayWidthHighEndFt-PanArrayWidthLowEndFt)/2</f>
        <v>0</v>
      </c>
      <c r="X759" s="234">
        <f ca="1">$V759*NSSpacingFt+YOffset+0</f>
        <v>53.999999999999972</v>
      </c>
      <c r="Y759" s="235">
        <f ca="1">+$V759*NSGradeFt+PedHeight+0</f>
        <v>7.401410761154855</v>
      </c>
      <c r="Z759" s="214">
        <f ca="1">+$W759</f>
        <v>0</v>
      </c>
      <c r="AA759" s="214">
        <f ca="1">+$Y759</f>
        <v>7.401410761154855</v>
      </c>
      <c r="AB759" s="214">
        <f ca="1">+$X759</f>
        <v>53.999999999999972</v>
      </c>
      <c r="AC759" s="214">
        <f ca="1">+$W759-XOffset</f>
        <v>0</v>
      </c>
    </row>
    <row r="760" spans="19:29" ht="8.4" customHeight="1">
      <c r="S760" s="307"/>
      <c r="T760" s="226">
        <f t="shared" si="48"/>
        <v>757</v>
      </c>
      <c r="U760" s="224">
        <f t="shared" si="45"/>
        <v>0</v>
      </c>
      <c r="V760" s="225">
        <f t="shared" si="46"/>
        <v>3</v>
      </c>
      <c r="W760" s="236">
        <f ca="1">+$U760*EWSpacingFt+XOffset+PanArrayWidthHighEndFt-(PanArrayWidthHighEndFt-PanArrayWidthLowEndFt)/2</f>
        <v>10.80282152230971</v>
      </c>
      <c r="X760" s="240">
        <f ca="1">$V760*NSSpacingFt+YOffset+0</f>
        <v>53.999999999999972</v>
      </c>
      <c r="Y760" s="244">
        <f ca="1">+$V760*NSGradeFt+PedHeight+0</f>
        <v>7.401410761154855</v>
      </c>
      <c r="Z760" s="214">
        <f ca="1">+$W760</f>
        <v>10.80282152230971</v>
      </c>
      <c r="AA760" s="214">
        <f ca="1">+$Y760</f>
        <v>7.401410761154855</v>
      </c>
      <c r="AB760" s="214">
        <f ca="1">+$X760</f>
        <v>53.999999999999972</v>
      </c>
      <c r="AC760" s="214">
        <f ca="1">+$W760-XOffset</f>
        <v>10.80282152230971</v>
      </c>
    </row>
    <row r="761" spans="19:29" ht="8.4" customHeight="1">
      <c r="S761" s="307"/>
      <c r="T761" s="226">
        <f t="shared" si="48"/>
        <v>758</v>
      </c>
      <c r="U761" s="224">
        <f t="shared" si="45"/>
        <v>0</v>
      </c>
      <c r="V761" s="225">
        <f t="shared" si="46"/>
        <v>3</v>
      </c>
      <c r="W761" s="237">
        <f ca="1">$U761*EWSpacingFt+XOffset+PanArrayWidthHighEndFt</f>
        <v>10.80282152230971</v>
      </c>
      <c r="X761" s="241">
        <f ca="1">$V761*NSSpacingFt+YOffset+PanArrayLenFt*COS(RADIANS(Latitude+DecAng))</f>
        <v>70.43963254593173</v>
      </c>
      <c r="Y761" s="245">
        <f ca="1">+$V761*NSGradeFt+PedHeight+PanArrayLenFt*SIN(RADIANS(Latitude+DecAng))</f>
        <v>7.401410761154855</v>
      </c>
      <c r="Z761" s="214">
        <f ca="1">+$W761</f>
        <v>10.80282152230971</v>
      </c>
      <c r="AA761" s="214">
        <f ca="1">+$Y761</f>
        <v>7.401410761154855</v>
      </c>
      <c r="AB761" s="214">
        <f ca="1">+$X761</f>
        <v>70.43963254593173</v>
      </c>
      <c r="AC761" s="214">
        <f ca="1">+$W761-XOffset</f>
        <v>10.80282152230971</v>
      </c>
    </row>
    <row r="762" spans="19:29" ht="8.4" customHeight="1">
      <c r="S762" s="307"/>
      <c r="T762" s="226">
        <f t="shared" si="48"/>
        <v>759</v>
      </c>
      <c r="U762" s="224">
        <f t="shared" si="45"/>
        <v>0</v>
      </c>
      <c r="V762" s="225">
        <f t="shared" si="46"/>
        <v>3</v>
      </c>
      <c r="W762" s="238">
        <f ca="1">$U762*EWSpacingFt+XOffset+0</f>
        <v>0</v>
      </c>
      <c r="X762" s="242">
        <f ca="1">$V762*NSSpacingFt+YOffset+PanArrayLenFt*COS(RADIANS(Latitude+DecAng))</f>
        <v>70.43963254593173</v>
      </c>
      <c r="Y762" s="246">
        <f ca="1">+$V762*NSGradeFt+PedHeight+PanArrayLenFt*SIN(RADIANS(Latitude+DecAng))</f>
        <v>7.401410761154855</v>
      </c>
      <c r="Z762" s="214">
        <f ca="1">+$W762</f>
        <v>0</v>
      </c>
      <c r="AA762" s="214">
        <f ca="1">+$Y762</f>
        <v>7.401410761154855</v>
      </c>
      <c r="AB762" s="214">
        <f ca="1">+$X762</f>
        <v>70.43963254593173</v>
      </c>
      <c r="AC762" s="214">
        <f ca="1">+$W762-XOffset</f>
        <v>0</v>
      </c>
    </row>
    <row r="763" spans="19:29" ht="8.4" customHeight="1">
      <c r="S763" s="307"/>
      <c r="T763" s="226">
        <f t="shared" si="48"/>
        <v>760</v>
      </c>
      <c r="U763" s="224">
        <f t="shared" si="45"/>
        <v>0</v>
      </c>
      <c r="V763" s="225">
        <f t="shared" si="46"/>
        <v>3</v>
      </c>
      <c r="W763" s="239">
        <f ca="1">$U763*EWSpacingFt+XOffset+(PanArrayWidthHighEndFt-PanArrayWidthLowEndFt)/2</f>
        <v>0</v>
      </c>
      <c r="X763" s="243">
        <f ca="1">$V763*NSSpacingFt+YOffset+0</f>
        <v>53.999999999999972</v>
      </c>
      <c r="Y763" s="247">
        <f ca="1">+$V763*NSGradeFt+PedHeight+0</f>
        <v>7.401410761154855</v>
      </c>
      <c r="Z763" s="214">
        <f ca="1">+$W763</f>
        <v>0</v>
      </c>
      <c r="AA763" s="214">
        <f ca="1">+$Y763</f>
        <v>7.401410761154855</v>
      </c>
      <c r="AB763" s="214">
        <f ca="1">+$X763</f>
        <v>53.999999999999972</v>
      </c>
      <c r="AC763" s="214">
        <f ca="1">+$W763-XOffset</f>
        <v>0</v>
      </c>
    </row>
    <row r="764" spans="19:29" ht="8.4" customHeight="1">
      <c r="S764" s="307"/>
      <c r="T764" s="226">
        <f t="shared" si="48"/>
        <v>761</v>
      </c>
      <c r="U764" s="224">
        <f t="shared" si="45"/>
        <v>0</v>
      </c>
      <c r="V764" s="225">
        <f t="shared" si="46"/>
        <v>3</v>
      </c>
      <c r="W764" s="217"/>
      <c r="X764" s="217"/>
      <c r="Y764" s="217"/>
      <c r="Z764" s="214"/>
      <c r="AA764" s="214"/>
      <c r="AB764" s="214"/>
      <c r="AC764" s="214"/>
    </row>
    <row r="765" spans="19:29" ht="8.4" customHeight="1">
      <c r="S765" s="307">
        <f>INT((T765-0)/6)+1</f>
        <v>128</v>
      </c>
      <c r="T765" s="226">
        <f t="shared" si="48"/>
        <v>762</v>
      </c>
      <c r="U765" s="224">
        <f t="shared" si="45"/>
        <v>1</v>
      </c>
      <c r="V765" s="225">
        <f t="shared" si="46"/>
        <v>3</v>
      </c>
      <c r="W765" s="233">
        <f ca="1">$U765*EWSpacingFt+XOffset+(PanArrayWidthHighEndFt-PanArrayWidthLowEndFt)/2</f>
        <v>30.000006832286932</v>
      </c>
      <c r="X765" s="234">
        <f ca="1">$V765*NSSpacingFt+YOffset+0</f>
        <v>53.999999999999972</v>
      </c>
      <c r="Y765" s="235">
        <f ca="1">+$V765*NSGradeFt+PedHeight+0</f>
        <v>7.401410761154855</v>
      </c>
      <c r="Z765" s="214">
        <f ca="1">+$W765</f>
        <v>30.000006832286932</v>
      </c>
      <c r="AA765" s="214">
        <f ca="1">+$Y765</f>
        <v>7.401410761154855</v>
      </c>
      <c r="AB765" s="214">
        <f ca="1">+$X765</f>
        <v>53.999999999999972</v>
      </c>
      <c r="AC765" s="214">
        <f ca="1">+$W765-XOffset</f>
        <v>30.000006832286932</v>
      </c>
    </row>
    <row r="766" spans="19:29" ht="8.4" customHeight="1">
      <c r="S766" s="307"/>
      <c r="T766" s="226">
        <f t="shared" si="48"/>
        <v>763</v>
      </c>
      <c r="U766" s="224">
        <f t="shared" si="45"/>
        <v>1</v>
      </c>
      <c r="V766" s="225">
        <f t="shared" si="46"/>
        <v>3</v>
      </c>
      <c r="W766" s="236">
        <f ca="1">+$U766*EWSpacingFt+XOffset+PanArrayWidthHighEndFt-(PanArrayWidthHighEndFt-PanArrayWidthLowEndFt)/2</f>
        <v>40.802828354596642</v>
      </c>
      <c r="X766" s="240">
        <f ca="1">$V766*NSSpacingFt+YOffset+0</f>
        <v>53.999999999999972</v>
      </c>
      <c r="Y766" s="244">
        <f ca="1">+$V766*NSGradeFt+PedHeight+0</f>
        <v>7.401410761154855</v>
      </c>
      <c r="Z766" s="214">
        <f ca="1">+$W766</f>
        <v>40.802828354596642</v>
      </c>
      <c r="AA766" s="214">
        <f ca="1">+$Y766</f>
        <v>7.401410761154855</v>
      </c>
      <c r="AB766" s="214">
        <f ca="1">+$X766</f>
        <v>53.999999999999972</v>
      </c>
      <c r="AC766" s="214">
        <f ca="1">+$W766-XOffset</f>
        <v>40.802828354596642</v>
      </c>
    </row>
    <row r="767" spans="19:29" ht="8.4" customHeight="1">
      <c r="S767" s="307"/>
      <c r="T767" s="226">
        <f t="shared" si="48"/>
        <v>764</v>
      </c>
      <c r="U767" s="224">
        <f t="shared" si="45"/>
        <v>1</v>
      </c>
      <c r="V767" s="225">
        <f t="shared" si="46"/>
        <v>3</v>
      </c>
      <c r="W767" s="237">
        <f ca="1">$U767*EWSpacingFt+XOffset+PanArrayWidthHighEndFt</f>
        <v>40.802828354596642</v>
      </c>
      <c r="X767" s="241">
        <f ca="1">$V767*NSSpacingFt+YOffset+PanArrayLenFt*COS(RADIANS(Latitude+DecAng))</f>
        <v>70.43963254593173</v>
      </c>
      <c r="Y767" s="245">
        <f ca="1">+$V767*NSGradeFt+PedHeight+PanArrayLenFt*SIN(RADIANS(Latitude+DecAng))</f>
        <v>7.401410761154855</v>
      </c>
      <c r="Z767" s="214">
        <f ca="1">+$W767</f>
        <v>40.802828354596642</v>
      </c>
      <c r="AA767" s="214">
        <f ca="1">+$Y767</f>
        <v>7.401410761154855</v>
      </c>
      <c r="AB767" s="214">
        <f ca="1">+$X767</f>
        <v>70.43963254593173</v>
      </c>
      <c r="AC767" s="214">
        <f ca="1">+$W767-XOffset</f>
        <v>40.802828354596642</v>
      </c>
    </row>
    <row r="768" spans="19:29" ht="8.4" customHeight="1">
      <c r="S768" s="307"/>
      <c r="T768" s="226">
        <f t="shared" si="48"/>
        <v>765</v>
      </c>
      <c r="U768" s="224">
        <f t="shared" si="45"/>
        <v>1</v>
      </c>
      <c r="V768" s="225">
        <f t="shared" si="46"/>
        <v>3</v>
      </c>
      <c r="W768" s="238">
        <f ca="1">$U768*EWSpacingFt+XOffset+0</f>
        <v>30.000006832286932</v>
      </c>
      <c r="X768" s="242">
        <f ca="1">$V768*NSSpacingFt+YOffset+PanArrayLenFt*COS(RADIANS(Latitude+DecAng))</f>
        <v>70.43963254593173</v>
      </c>
      <c r="Y768" s="246">
        <f ca="1">+$V768*NSGradeFt+PedHeight+PanArrayLenFt*SIN(RADIANS(Latitude+DecAng))</f>
        <v>7.401410761154855</v>
      </c>
      <c r="Z768" s="214">
        <f ca="1">+$W768</f>
        <v>30.000006832286932</v>
      </c>
      <c r="AA768" s="214">
        <f ca="1">+$Y768</f>
        <v>7.401410761154855</v>
      </c>
      <c r="AB768" s="214">
        <f ca="1">+$X768</f>
        <v>70.43963254593173</v>
      </c>
      <c r="AC768" s="214">
        <f ca="1">+$W768-XOffset</f>
        <v>30.000006832286932</v>
      </c>
    </row>
    <row r="769" spans="19:29" ht="8.4" customHeight="1">
      <c r="S769" s="307"/>
      <c r="T769" s="226">
        <f t="shared" si="48"/>
        <v>766</v>
      </c>
      <c r="U769" s="224">
        <f t="shared" si="45"/>
        <v>1</v>
      </c>
      <c r="V769" s="225">
        <f t="shared" si="46"/>
        <v>3</v>
      </c>
      <c r="W769" s="239">
        <f ca="1">$U769*EWSpacingFt+XOffset+(PanArrayWidthHighEndFt-PanArrayWidthLowEndFt)/2</f>
        <v>30.000006832286932</v>
      </c>
      <c r="X769" s="243">
        <f ca="1">$V769*NSSpacingFt+YOffset+0</f>
        <v>53.999999999999972</v>
      </c>
      <c r="Y769" s="247">
        <f ca="1">+$V769*NSGradeFt+PedHeight+0</f>
        <v>7.401410761154855</v>
      </c>
      <c r="Z769" s="214">
        <f ca="1">+$W769</f>
        <v>30.000006832286932</v>
      </c>
      <c r="AA769" s="214">
        <f ca="1">+$Y769</f>
        <v>7.401410761154855</v>
      </c>
      <c r="AB769" s="214">
        <f ca="1">+$X769</f>
        <v>53.999999999999972</v>
      </c>
      <c r="AC769" s="214">
        <f ca="1">+$W769-XOffset</f>
        <v>30.000006832286932</v>
      </c>
    </row>
    <row r="770" spans="19:29" ht="8.4" customHeight="1">
      <c r="S770" s="307"/>
      <c r="T770" s="226">
        <f t="shared" si="48"/>
        <v>767</v>
      </c>
      <c r="U770" s="224">
        <f t="shared" si="45"/>
        <v>1</v>
      </c>
      <c r="V770" s="225">
        <f t="shared" si="46"/>
        <v>3</v>
      </c>
      <c r="W770" s="217"/>
      <c r="X770" s="217"/>
      <c r="Y770" s="217"/>
      <c r="Z770" s="214"/>
      <c r="AA770" s="214"/>
      <c r="AB770" s="214"/>
      <c r="AC770" s="214"/>
    </row>
    <row r="771" spans="19:29" ht="8.4" customHeight="1">
      <c r="S771" s="307">
        <f>INT((T771-0)/6)+1</f>
        <v>129</v>
      </c>
      <c r="T771" s="226">
        <f t="shared" si="48"/>
        <v>768</v>
      </c>
      <c r="U771" s="224">
        <f t="shared" ref="U771:U834" si="49">+MOD(INT(T771/6),ColumnsOfMounts)</f>
        <v>0</v>
      </c>
      <c r="V771" s="225">
        <f t="shared" ref="V771:V834" si="50">+MOD(INT(T771/6/ColumnsOfMounts),RowsOfMounts)</f>
        <v>0</v>
      </c>
      <c r="W771" s="233">
        <f ca="1">$U771*EWSpacingFt+XOffset+(PanArrayWidthHighEndFt-PanArrayWidthLowEndFt)/2</f>
        <v>0</v>
      </c>
      <c r="X771" s="234">
        <f ca="1">$V771*NSSpacingFt+YOffset+0</f>
        <v>0</v>
      </c>
      <c r="Y771" s="235">
        <f ca="1">+$V771*NSGradeFt+PedHeight+0</f>
        <v>7.401410761154855</v>
      </c>
      <c r="Z771" s="214">
        <f ca="1">+$W771</f>
        <v>0</v>
      </c>
      <c r="AA771" s="214">
        <f ca="1">+$Y771</f>
        <v>7.401410761154855</v>
      </c>
      <c r="AB771" s="214">
        <f ca="1">+$X771</f>
        <v>0</v>
      </c>
      <c r="AC771" s="214">
        <f ca="1">+$W771-XOffset</f>
        <v>0</v>
      </c>
    </row>
    <row r="772" spans="19:29" ht="8.4" customHeight="1">
      <c r="S772" s="307"/>
      <c r="T772" s="226">
        <f t="shared" si="48"/>
        <v>769</v>
      </c>
      <c r="U772" s="224">
        <f t="shared" si="49"/>
        <v>0</v>
      </c>
      <c r="V772" s="225">
        <f t="shared" si="50"/>
        <v>0</v>
      </c>
      <c r="W772" s="236">
        <f ca="1">+$U772*EWSpacingFt+XOffset+PanArrayWidthHighEndFt-(PanArrayWidthHighEndFt-PanArrayWidthLowEndFt)/2</f>
        <v>10.80282152230971</v>
      </c>
      <c r="X772" s="240">
        <f ca="1">$V772*NSSpacingFt+YOffset+0</f>
        <v>0</v>
      </c>
      <c r="Y772" s="244">
        <f ca="1">+$V772*NSGradeFt+PedHeight+0</f>
        <v>7.401410761154855</v>
      </c>
      <c r="Z772" s="214">
        <f ca="1">+$W772</f>
        <v>10.80282152230971</v>
      </c>
      <c r="AA772" s="214">
        <f ca="1">+$Y772</f>
        <v>7.401410761154855</v>
      </c>
      <c r="AB772" s="214">
        <f ca="1">+$X772</f>
        <v>0</v>
      </c>
      <c r="AC772" s="214">
        <f ca="1">+$W772-XOffset</f>
        <v>10.80282152230971</v>
      </c>
    </row>
    <row r="773" spans="19:29" ht="8.4" customHeight="1">
      <c r="S773" s="307"/>
      <c r="T773" s="226">
        <f t="shared" si="48"/>
        <v>770</v>
      </c>
      <c r="U773" s="224">
        <f t="shared" si="49"/>
        <v>0</v>
      </c>
      <c r="V773" s="225">
        <f t="shared" si="50"/>
        <v>0</v>
      </c>
      <c r="W773" s="237">
        <f ca="1">$U773*EWSpacingFt+XOffset+PanArrayWidthHighEndFt</f>
        <v>10.80282152230971</v>
      </c>
      <c r="X773" s="241">
        <f ca="1">$V773*NSSpacingFt+YOffset+PanArrayLenFt*COS(RADIANS(Latitude+DecAng))</f>
        <v>16.439632545931762</v>
      </c>
      <c r="Y773" s="245">
        <f ca="1">+$V773*NSGradeFt+PedHeight+PanArrayLenFt*SIN(RADIANS(Latitude+DecAng))</f>
        <v>7.401410761154855</v>
      </c>
      <c r="Z773" s="214">
        <f ca="1">+$W773</f>
        <v>10.80282152230971</v>
      </c>
      <c r="AA773" s="214">
        <f ca="1">+$Y773</f>
        <v>7.401410761154855</v>
      </c>
      <c r="AB773" s="214">
        <f ca="1">+$X773</f>
        <v>16.439632545931762</v>
      </c>
      <c r="AC773" s="214">
        <f ca="1">+$W773-XOffset</f>
        <v>10.80282152230971</v>
      </c>
    </row>
    <row r="774" spans="19:29" ht="8.4" customHeight="1">
      <c r="S774" s="307"/>
      <c r="T774" s="226">
        <f t="shared" si="48"/>
        <v>771</v>
      </c>
      <c r="U774" s="224">
        <f t="shared" si="49"/>
        <v>0</v>
      </c>
      <c r="V774" s="225">
        <f t="shared" si="50"/>
        <v>0</v>
      </c>
      <c r="W774" s="238">
        <f ca="1">$U774*EWSpacingFt+XOffset+0</f>
        <v>0</v>
      </c>
      <c r="X774" s="242">
        <f ca="1">$V774*NSSpacingFt+YOffset+PanArrayLenFt*COS(RADIANS(Latitude+DecAng))</f>
        <v>16.439632545931762</v>
      </c>
      <c r="Y774" s="246">
        <f ca="1">+$V774*NSGradeFt+PedHeight+PanArrayLenFt*SIN(RADIANS(Latitude+DecAng))</f>
        <v>7.401410761154855</v>
      </c>
      <c r="Z774" s="214">
        <f ca="1">+$W774</f>
        <v>0</v>
      </c>
      <c r="AA774" s="214">
        <f ca="1">+$Y774</f>
        <v>7.401410761154855</v>
      </c>
      <c r="AB774" s="214">
        <f ca="1">+$X774</f>
        <v>16.439632545931762</v>
      </c>
      <c r="AC774" s="214">
        <f ca="1">+$W774-XOffset</f>
        <v>0</v>
      </c>
    </row>
    <row r="775" spans="19:29" ht="8.4" customHeight="1">
      <c r="S775" s="307"/>
      <c r="T775" s="226">
        <f t="shared" si="48"/>
        <v>772</v>
      </c>
      <c r="U775" s="224">
        <f t="shared" si="49"/>
        <v>0</v>
      </c>
      <c r="V775" s="225">
        <f t="shared" si="50"/>
        <v>0</v>
      </c>
      <c r="W775" s="239">
        <f ca="1">$U775*EWSpacingFt+XOffset+(PanArrayWidthHighEndFt-PanArrayWidthLowEndFt)/2</f>
        <v>0</v>
      </c>
      <c r="X775" s="243">
        <f ca="1">$V775*NSSpacingFt+YOffset+0</f>
        <v>0</v>
      </c>
      <c r="Y775" s="247">
        <f ca="1">+$V775*NSGradeFt+PedHeight+0</f>
        <v>7.401410761154855</v>
      </c>
      <c r="Z775" s="214">
        <f ca="1">+$W775</f>
        <v>0</v>
      </c>
      <c r="AA775" s="214">
        <f ca="1">+$Y775</f>
        <v>7.401410761154855</v>
      </c>
      <c r="AB775" s="214">
        <f ca="1">+$X775</f>
        <v>0</v>
      </c>
      <c r="AC775" s="214">
        <f ca="1">+$W775-XOffset</f>
        <v>0</v>
      </c>
    </row>
    <row r="776" spans="19:29" ht="8.4" customHeight="1">
      <c r="S776" s="307"/>
      <c r="T776" s="226">
        <f t="shared" si="48"/>
        <v>773</v>
      </c>
      <c r="U776" s="224">
        <f t="shared" si="49"/>
        <v>0</v>
      </c>
      <c r="V776" s="225">
        <f t="shared" si="50"/>
        <v>0</v>
      </c>
      <c r="W776" s="217"/>
      <c r="X776" s="217"/>
      <c r="Y776" s="217"/>
      <c r="Z776" s="214"/>
      <c r="AA776" s="214"/>
      <c r="AB776" s="214"/>
      <c r="AC776" s="214"/>
    </row>
    <row r="777" spans="19:29" ht="8.4" customHeight="1">
      <c r="S777" s="307">
        <f>INT((T777-0)/6)+1</f>
        <v>130</v>
      </c>
      <c r="T777" s="226">
        <f t="shared" si="48"/>
        <v>774</v>
      </c>
      <c r="U777" s="224">
        <f t="shared" si="49"/>
        <v>1</v>
      </c>
      <c r="V777" s="225">
        <f t="shared" si="50"/>
        <v>0</v>
      </c>
      <c r="W777" s="233">
        <f ca="1">$U777*EWSpacingFt+XOffset+(PanArrayWidthHighEndFt-PanArrayWidthLowEndFt)/2</f>
        <v>30.000006832286932</v>
      </c>
      <c r="X777" s="234">
        <f ca="1">$V777*NSSpacingFt+YOffset+0</f>
        <v>0</v>
      </c>
      <c r="Y777" s="235">
        <f ca="1">+$V777*NSGradeFt+PedHeight+0</f>
        <v>7.401410761154855</v>
      </c>
      <c r="Z777" s="214">
        <f ca="1">+$W777</f>
        <v>30.000006832286932</v>
      </c>
      <c r="AA777" s="214">
        <f ca="1">+$Y777</f>
        <v>7.401410761154855</v>
      </c>
      <c r="AB777" s="214">
        <f ca="1">+$X777</f>
        <v>0</v>
      </c>
      <c r="AC777" s="214">
        <f ca="1">+$W777-XOffset</f>
        <v>30.000006832286932</v>
      </c>
    </row>
    <row r="778" spans="19:29" ht="8.4" customHeight="1">
      <c r="S778" s="307"/>
      <c r="T778" s="226">
        <f t="shared" si="48"/>
        <v>775</v>
      </c>
      <c r="U778" s="224">
        <f t="shared" si="49"/>
        <v>1</v>
      </c>
      <c r="V778" s="225">
        <f t="shared" si="50"/>
        <v>0</v>
      </c>
      <c r="W778" s="236">
        <f ca="1">+$U778*EWSpacingFt+XOffset+PanArrayWidthHighEndFt-(PanArrayWidthHighEndFt-PanArrayWidthLowEndFt)/2</f>
        <v>40.802828354596642</v>
      </c>
      <c r="X778" s="240">
        <f ca="1">$V778*NSSpacingFt+YOffset+0</f>
        <v>0</v>
      </c>
      <c r="Y778" s="244">
        <f ca="1">+$V778*NSGradeFt+PedHeight+0</f>
        <v>7.401410761154855</v>
      </c>
      <c r="Z778" s="214">
        <f ca="1">+$W778</f>
        <v>40.802828354596642</v>
      </c>
      <c r="AA778" s="214">
        <f ca="1">+$Y778</f>
        <v>7.401410761154855</v>
      </c>
      <c r="AB778" s="214">
        <f ca="1">+$X778</f>
        <v>0</v>
      </c>
      <c r="AC778" s="214">
        <f ca="1">+$W778-XOffset</f>
        <v>40.802828354596642</v>
      </c>
    </row>
    <row r="779" spans="19:29" ht="8.4" customHeight="1">
      <c r="S779" s="307"/>
      <c r="T779" s="226">
        <f t="shared" si="48"/>
        <v>776</v>
      </c>
      <c r="U779" s="224">
        <f t="shared" si="49"/>
        <v>1</v>
      </c>
      <c r="V779" s="225">
        <f t="shared" si="50"/>
        <v>0</v>
      </c>
      <c r="W779" s="237">
        <f ca="1">$U779*EWSpacingFt+XOffset+PanArrayWidthHighEndFt</f>
        <v>40.802828354596642</v>
      </c>
      <c r="X779" s="241">
        <f ca="1">$V779*NSSpacingFt+YOffset+PanArrayLenFt*COS(RADIANS(Latitude+DecAng))</f>
        <v>16.439632545931762</v>
      </c>
      <c r="Y779" s="245">
        <f ca="1">+$V779*NSGradeFt+PedHeight+PanArrayLenFt*SIN(RADIANS(Latitude+DecAng))</f>
        <v>7.401410761154855</v>
      </c>
      <c r="Z779" s="214">
        <f ca="1">+$W779</f>
        <v>40.802828354596642</v>
      </c>
      <c r="AA779" s="214">
        <f ca="1">+$Y779</f>
        <v>7.401410761154855</v>
      </c>
      <c r="AB779" s="214">
        <f ca="1">+$X779</f>
        <v>16.439632545931762</v>
      </c>
      <c r="AC779" s="214">
        <f ca="1">+$W779-XOffset</f>
        <v>40.802828354596642</v>
      </c>
    </row>
    <row r="780" spans="19:29" ht="8.4" customHeight="1">
      <c r="S780" s="307"/>
      <c r="T780" s="226">
        <f t="shared" si="48"/>
        <v>777</v>
      </c>
      <c r="U780" s="224">
        <f t="shared" si="49"/>
        <v>1</v>
      </c>
      <c r="V780" s="225">
        <f t="shared" si="50"/>
        <v>0</v>
      </c>
      <c r="W780" s="238">
        <f ca="1">$U780*EWSpacingFt+XOffset+0</f>
        <v>30.000006832286932</v>
      </c>
      <c r="X780" s="242">
        <f ca="1">$V780*NSSpacingFt+YOffset+PanArrayLenFt*COS(RADIANS(Latitude+DecAng))</f>
        <v>16.439632545931762</v>
      </c>
      <c r="Y780" s="246">
        <f ca="1">+$V780*NSGradeFt+PedHeight+PanArrayLenFt*SIN(RADIANS(Latitude+DecAng))</f>
        <v>7.401410761154855</v>
      </c>
      <c r="Z780" s="214">
        <f ca="1">+$W780</f>
        <v>30.000006832286932</v>
      </c>
      <c r="AA780" s="214">
        <f ca="1">+$Y780</f>
        <v>7.401410761154855</v>
      </c>
      <c r="AB780" s="214">
        <f ca="1">+$X780</f>
        <v>16.439632545931762</v>
      </c>
      <c r="AC780" s="214">
        <f ca="1">+$W780-XOffset</f>
        <v>30.000006832286932</v>
      </c>
    </row>
    <row r="781" spans="19:29" ht="8.4" customHeight="1">
      <c r="S781" s="307"/>
      <c r="T781" s="226">
        <f t="shared" si="48"/>
        <v>778</v>
      </c>
      <c r="U781" s="224">
        <f t="shared" si="49"/>
        <v>1</v>
      </c>
      <c r="V781" s="225">
        <f t="shared" si="50"/>
        <v>0</v>
      </c>
      <c r="W781" s="239">
        <f ca="1">$U781*EWSpacingFt+XOffset+(PanArrayWidthHighEndFt-PanArrayWidthLowEndFt)/2</f>
        <v>30.000006832286932</v>
      </c>
      <c r="X781" s="243">
        <f ca="1">$V781*NSSpacingFt+YOffset+0</f>
        <v>0</v>
      </c>
      <c r="Y781" s="247">
        <f ca="1">+$V781*NSGradeFt+PedHeight+0</f>
        <v>7.401410761154855</v>
      </c>
      <c r="Z781" s="214">
        <f ca="1">+$W781</f>
        <v>30.000006832286932</v>
      </c>
      <c r="AA781" s="214">
        <f ca="1">+$Y781</f>
        <v>7.401410761154855</v>
      </c>
      <c r="AB781" s="214">
        <f ca="1">+$X781</f>
        <v>0</v>
      </c>
      <c r="AC781" s="214">
        <f ca="1">+$W781-XOffset</f>
        <v>30.000006832286932</v>
      </c>
    </row>
    <row r="782" spans="19:29" ht="8.4" customHeight="1">
      <c r="S782" s="307"/>
      <c r="T782" s="226">
        <f t="shared" si="48"/>
        <v>779</v>
      </c>
      <c r="U782" s="224">
        <f t="shared" si="49"/>
        <v>1</v>
      </c>
      <c r="V782" s="225">
        <f t="shared" si="50"/>
        <v>0</v>
      </c>
      <c r="W782" s="217"/>
      <c r="X782" s="217"/>
      <c r="Y782" s="217"/>
      <c r="Z782" s="214"/>
      <c r="AA782" s="214"/>
      <c r="AB782" s="214"/>
      <c r="AC782" s="214"/>
    </row>
    <row r="783" spans="19:29" ht="8.4" customHeight="1">
      <c r="S783" s="307">
        <f>INT((T783-0)/6)+1</f>
        <v>131</v>
      </c>
      <c r="T783" s="226">
        <f t="shared" si="48"/>
        <v>780</v>
      </c>
      <c r="U783" s="224">
        <f t="shared" si="49"/>
        <v>0</v>
      </c>
      <c r="V783" s="225">
        <f t="shared" si="50"/>
        <v>1</v>
      </c>
      <c r="W783" s="233">
        <f ca="1">$U783*EWSpacingFt+XOffset+(PanArrayWidthHighEndFt-PanArrayWidthLowEndFt)/2</f>
        <v>0</v>
      </c>
      <c r="X783" s="234">
        <f ca="1">$V783*NSSpacingFt+YOffset+0</f>
        <v>17.999999999999989</v>
      </c>
      <c r="Y783" s="235">
        <f ca="1">+$V783*NSGradeFt+PedHeight+0</f>
        <v>7.401410761154855</v>
      </c>
      <c r="Z783" s="214">
        <f ca="1">+$W783</f>
        <v>0</v>
      </c>
      <c r="AA783" s="214">
        <f ca="1">+$Y783</f>
        <v>7.401410761154855</v>
      </c>
      <c r="AB783" s="214">
        <f ca="1">+$X783</f>
        <v>17.999999999999989</v>
      </c>
      <c r="AC783" s="214">
        <f ca="1">+$W783-XOffset</f>
        <v>0</v>
      </c>
    </row>
    <row r="784" spans="19:29" ht="8.4" customHeight="1">
      <c r="S784" s="307"/>
      <c r="T784" s="226">
        <f t="shared" si="48"/>
        <v>781</v>
      </c>
      <c r="U784" s="224">
        <f t="shared" si="49"/>
        <v>0</v>
      </c>
      <c r="V784" s="225">
        <f t="shared" si="50"/>
        <v>1</v>
      </c>
      <c r="W784" s="236">
        <f ca="1">+$U784*EWSpacingFt+XOffset+PanArrayWidthHighEndFt-(PanArrayWidthHighEndFt-PanArrayWidthLowEndFt)/2</f>
        <v>10.80282152230971</v>
      </c>
      <c r="X784" s="240">
        <f ca="1">$V784*NSSpacingFt+YOffset+0</f>
        <v>17.999999999999989</v>
      </c>
      <c r="Y784" s="244">
        <f ca="1">+$V784*NSGradeFt+PedHeight+0</f>
        <v>7.401410761154855</v>
      </c>
      <c r="Z784" s="214">
        <f ca="1">+$W784</f>
        <v>10.80282152230971</v>
      </c>
      <c r="AA784" s="214">
        <f ca="1">+$Y784</f>
        <v>7.401410761154855</v>
      </c>
      <c r="AB784" s="214">
        <f ca="1">+$X784</f>
        <v>17.999999999999989</v>
      </c>
      <c r="AC784" s="214">
        <f ca="1">+$W784-XOffset</f>
        <v>10.80282152230971</v>
      </c>
    </row>
    <row r="785" spans="19:29" ht="8.4" customHeight="1">
      <c r="S785" s="307"/>
      <c r="T785" s="226">
        <f t="shared" si="48"/>
        <v>782</v>
      </c>
      <c r="U785" s="224">
        <f t="shared" si="49"/>
        <v>0</v>
      </c>
      <c r="V785" s="225">
        <f t="shared" si="50"/>
        <v>1</v>
      </c>
      <c r="W785" s="237">
        <f ca="1">$U785*EWSpacingFt+XOffset+PanArrayWidthHighEndFt</f>
        <v>10.80282152230971</v>
      </c>
      <c r="X785" s="241">
        <f ca="1">$V785*NSSpacingFt+YOffset+PanArrayLenFt*COS(RADIANS(Latitude+DecAng))</f>
        <v>34.439632545931751</v>
      </c>
      <c r="Y785" s="245">
        <f ca="1">+$V785*NSGradeFt+PedHeight+PanArrayLenFt*SIN(RADIANS(Latitude+DecAng))</f>
        <v>7.401410761154855</v>
      </c>
      <c r="Z785" s="214">
        <f ca="1">+$W785</f>
        <v>10.80282152230971</v>
      </c>
      <c r="AA785" s="214">
        <f ca="1">+$Y785</f>
        <v>7.401410761154855</v>
      </c>
      <c r="AB785" s="214">
        <f ca="1">+$X785</f>
        <v>34.439632545931751</v>
      </c>
      <c r="AC785" s="214">
        <f ca="1">+$W785-XOffset</f>
        <v>10.80282152230971</v>
      </c>
    </row>
    <row r="786" spans="19:29" ht="8.4" customHeight="1">
      <c r="S786" s="307"/>
      <c r="T786" s="226">
        <f t="shared" si="48"/>
        <v>783</v>
      </c>
      <c r="U786" s="224">
        <f t="shared" si="49"/>
        <v>0</v>
      </c>
      <c r="V786" s="225">
        <f t="shared" si="50"/>
        <v>1</v>
      </c>
      <c r="W786" s="238">
        <f ca="1">$U786*EWSpacingFt+XOffset+0</f>
        <v>0</v>
      </c>
      <c r="X786" s="242">
        <f ca="1">$V786*NSSpacingFt+YOffset+PanArrayLenFt*COS(RADIANS(Latitude+DecAng))</f>
        <v>34.439632545931751</v>
      </c>
      <c r="Y786" s="246">
        <f ca="1">+$V786*NSGradeFt+PedHeight+PanArrayLenFt*SIN(RADIANS(Latitude+DecAng))</f>
        <v>7.401410761154855</v>
      </c>
      <c r="Z786" s="214">
        <f ca="1">+$W786</f>
        <v>0</v>
      </c>
      <c r="AA786" s="214">
        <f ca="1">+$Y786</f>
        <v>7.401410761154855</v>
      </c>
      <c r="AB786" s="214">
        <f ca="1">+$X786</f>
        <v>34.439632545931751</v>
      </c>
      <c r="AC786" s="214">
        <f ca="1">+$W786-XOffset</f>
        <v>0</v>
      </c>
    </row>
    <row r="787" spans="19:29" ht="8.4" customHeight="1">
      <c r="S787" s="307"/>
      <c r="T787" s="226">
        <f t="shared" si="48"/>
        <v>784</v>
      </c>
      <c r="U787" s="224">
        <f t="shared" si="49"/>
        <v>0</v>
      </c>
      <c r="V787" s="225">
        <f t="shared" si="50"/>
        <v>1</v>
      </c>
      <c r="W787" s="239">
        <f ca="1">$U787*EWSpacingFt+XOffset+(PanArrayWidthHighEndFt-PanArrayWidthLowEndFt)/2</f>
        <v>0</v>
      </c>
      <c r="X787" s="243">
        <f ca="1">$V787*NSSpacingFt+YOffset+0</f>
        <v>17.999999999999989</v>
      </c>
      <c r="Y787" s="247">
        <f ca="1">+$V787*NSGradeFt+PedHeight+0</f>
        <v>7.401410761154855</v>
      </c>
      <c r="Z787" s="214">
        <f ca="1">+$W787</f>
        <v>0</v>
      </c>
      <c r="AA787" s="214">
        <f ca="1">+$Y787</f>
        <v>7.401410761154855</v>
      </c>
      <c r="AB787" s="214">
        <f ca="1">+$X787</f>
        <v>17.999999999999989</v>
      </c>
      <c r="AC787" s="214">
        <f ca="1">+$W787-XOffset</f>
        <v>0</v>
      </c>
    </row>
    <row r="788" spans="19:29" ht="8.4" customHeight="1">
      <c r="S788" s="307"/>
      <c r="T788" s="226">
        <f t="shared" si="48"/>
        <v>785</v>
      </c>
      <c r="U788" s="224">
        <f t="shared" si="49"/>
        <v>0</v>
      </c>
      <c r="V788" s="225">
        <f t="shared" si="50"/>
        <v>1</v>
      </c>
      <c r="W788" s="217"/>
      <c r="X788" s="217"/>
      <c r="Y788" s="217"/>
      <c r="Z788" s="214"/>
      <c r="AA788" s="214"/>
      <c r="AB788" s="214"/>
      <c r="AC788" s="214"/>
    </row>
    <row r="789" spans="19:29" ht="8.4" customHeight="1">
      <c r="S789" s="307">
        <f>INT((T789-0)/6)+1</f>
        <v>132</v>
      </c>
      <c r="T789" s="226">
        <f t="shared" ref="T789:T852" si="51">+T788+1</f>
        <v>786</v>
      </c>
      <c r="U789" s="224">
        <f t="shared" si="49"/>
        <v>1</v>
      </c>
      <c r="V789" s="225">
        <f t="shared" si="50"/>
        <v>1</v>
      </c>
      <c r="W789" s="233">
        <f ca="1">$U789*EWSpacingFt+XOffset+(PanArrayWidthHighEndFt-PanArrayWidthLowEndFt)/2</f>
        <v>30.000006832286932</v>
      </c>
      <c r="X789" s="234">
        <f ca="1">$V789*NSSpacingFt+YOffset+0</f>
        <v>17.999999999999989</v>
      </c>
      <c r="Y789" s="235">
        <f ca="1">+$V789*NSGradeFt+PedHeight+0</f>
        <v>7.401410761154855</v>
      </c>
      <c r="Z789" s="214">
        <f ca="1">+$W789</f>
        <v>30.000006832286932</v>
      </c>
      <c r="AA789" s="214">
        <f ca="1">+$Y789</f>
        <v>7.401410761154855</v>
      </c>
      <c r="AB789" s="214">
        <f ca="1">+$X789</f>
        <v>17.999999999999989</v>
      </c>
      <c r="AC789" s="214">
        <f ca="1">+$W789-XOffset</f>
        <v>30.000006832286932</v>
      </c>
    </row>
    <row r="790" spans="19:29" ht="8.4" customHeight="1">
      <c r="S790" s="307"/>
      <c r="T790" s="226">
        <f t="shared" si="51"/>
        <v>787</v>
      </c>
      <c r="U790" s="224">
        <f t="shared" si="49"/>
        <v>1</v>
      </c>
      <c r="V790" s="225">
        <f t="shared" si="50"/>
        <v>1</v>
      </c>
      <c r="W790" s="236">
        <f ca="1">+$U790*EWSpacingFt+XOffset+PanArrayWidthHighEndFt-(PanArrayWidthHighEndFt-PanArrayWidthLowEndFt)/2</f>
        <v>40.802828354596642</v>
      </c>
      <c r="X790" s="240">
        <f ca="1">$V790*NSSpacingFt+YOffset+0</f>
        <v>17.999999999999989</v>
      </c>
      <c r="Y790" s="244">
        <f ca="1">+$V790*NSGradeFt+PedHeight+0</f>
        <v>7.401410761154855</v>
      </c>
      <c r="Z790" s="214">
        <f ca="1">+$W790</f>
        <v>40.802828354596642</v>
      </c>
      <c r="AA790" s="214">
        <f ca="1">+$Y790</f>
        <v>7.401410761154855</v>
      </c>
      <c r="AB790" s="214">
        <f ca="1">+$X790</f>
        <v>17.999999999999989</v>
      </c>
      <c r="AC790" s="214">
        <f ca="1">+$W790-XOffset</f>
        <v>40.802828354596642</v>
      </c>
    </row>
    <row r="791" spans="19:29" ht="8.4" customHeight="1">
      <c r="S791" s="307"/>
      <c r="T791" s="226">
        <f t="shared" si="51"/>
        <v>788</v>
      </c>
      <c r="U791" s="224">
        <f t="shared" si="49"/>
        <v>1</v>
      </c>
      <c r="V791" s="225">
        <f t="shared" si="50"/>
        <v>1</v>
      </c>
      <c r="W791" s="237">
        <f ca="1">$U791*EWSpacingFt+XOffset+PanArrayWidthHighEndFt</f>
        <v>40.802828354596642</v>
      </c>
      <c r="X791" s="241">
        <f ca="1">$V791*NSSpacingFt+YOffset+PanArrayLenFt*COS(RADIANS(Latitude+DecAng))</f>
        <v>34.439632545931751</v>
      </c>
      <c r="Y791" s="245">
        <f ca="1">+$V791*NSGradeFt+PedHeight+PanArrayLenFt*SIN(RADIANS(Latitude+DecAng))</f>
        <v>7.401410761154855</v>
      </c>
      <c r="Z791" s="214">
        <f ca="1">+$W791</f>
        <v>40.802828354596642</v>
      </c>
      <c r="AA791" s="214">
        <f ca="1">+$Y791</f>
        <v>7.401410761154855</v>
      </c>
      <c r="AB791" s="214">
        <f ca="1">+$X791</f>
        <v>34.439632545931751</v>
      </c>
      <c r="AC791" s="214">
        <f ca="1">+$W791-XOffset</f>
        <v>40.802828354596642</v>
      </c>
    </row>
    <row r="792" spans="19:29" ht="8.4" customHeight="1">
      <c r="S792" s="307"/>
      <c r="T792" s="226">
        <f t="shared" si="51"/>
        <v>789</v>
      </c>
      <c r="U792" s="224">
        <f t="shared" si="49"/>
        <v>1</v>
      </c>
      <c r="V792" s="225">
        <f t="shared" si="50"/>
        <v>1</v>
      </c>
      <c r="W792" s="238">
        <f ca="1">$U792*EWSpacingFt+XOffset+0</f>
        <v>30.000006832286932</v>
      </c>
      <c r="X792" s="242">
        <f ca="1">$V792*NSSpacingFt+YOffset+PanArrayLenFt*COS(RADIANS(Latitude+DecAng))</f>
        <v>34.439632545931751</v>
      </c>
      <c r="Y792" s="246">
        <f ca="1">+$V792*NSGradeFt+PedHeight+PanArrayLenFt*SIN(RADIANS(Latitude+DecAng))</f>
        <v>7.401410761154855</v>
      </c>
      <c r="Z792" s="214">
        <f ca="1">+$W792</f>
        <v>30.000006832286932</v>
      </c>
      <c r="AA792" s="214">
        <f ca="1">+$Y792</f>
        <v>7.401410761154855</v>
      </c>
      <c r="AB792" s="214">
        <f ca="1">+$X792</f>
        <v>34.439632545931751</v>
      </c>
      <c r="AC792" s="214">
        <f ca="1">+$W792-XOffset</f>
        <v>30.000006832286932</v>
      </c>
    </row>
    <row r="793" spans="19:29" ht="8.4" customHeight="1">
      <c r="S793" s="307"/>
      <c r="T793" s="226">
        <f t="shared" si="51"/>
        <v>790</v>
      </c>
      <c r="U793" s="224">
        <f t="shared" si="49"/>
        <v>1</v>
      </c>
      <c r="V793" s="225">
        <f t="shared" si="50"/>
        <v>1</v>
      </c>
      <c r="W793" s="239">
        <f ca="1">$U793*EWSpacingFt+XOffset+(PanArrayWidthHighEndFt-PanArrayWidthLowEndFt)/2</f>
        <v>30.000006832286932</v>
      </c>
      <c r="X793" s="243">
        <f ca="1">$V793*NSSpacingFt+YOffset+0</f>
        <v>17.999999999999989</v>
      </c>
      <c r="Y793" s="247">
        <f ca="1">+$V793*NSGradeFt+PedHeight+0</f>
        <v>7.401410761154855</v>
      </c>
      <c r="Z793" s="214">
        <f ca="1">+$W793</f>
        <v>30.000006832286932</v>
      </c>
      <c r="AA793" s="214">
        <f ca="1">+$Y793</f>
        <v>7.401410761154855</v>
      </c>
      <c r="AB793" s="214">
        <f ca="1">+$X793</f>
        <v>17.999999999999989</v>
      </c>
      <c r="AC793" s="214">
        <f ca="1">+$W793-XOffset</f>
        <v>30.000006832286932</v>
      </c>
    </row>
    <row r="794" spans="19:29" ht="8.4" customHeight="1">
      <c r="S794" s="307"/>
      <c r="T794" s="226">
        <f t="shared" si="51"/>
        <v>791</v>
      </c>
      <c r="U794" s="224">
        <f t="shared" si="49"/>
        <v>1</v>
      </c>
      <c r="V794" s="225">
        <f t="shared" si="50"/>
        <v>1</v>
      </c>
      <c r="W794" s="217"/>
      <c r="X794" s="217"/>
      <c r="Y794" s="217"/>
      <c r="Z794" s="214"/>
      <c r="AA794" s="214"/>
      <c r="AB794" s="214"/>
      <c r="AC794" s="214"/>
    </row>
    <row r="795" spans="19:29" ht="8.4" customHeight="1">
      <c r="S795" s="307">
        <f>INT((T795-0)/6)+1</f>
        <v>133</v>
      </c>
      <c r="T795" s="226">
        <f t="shared" si="51"/>
        <v>792</v>
      </c>
      <c r="U795" s="224">
        <f t="shared" si="49"/>
        <v>0</v>
      </c>
      <c r="V795" s="225">
        <f t="shared" si="50"/>
        <v>2</v>
      </c>
      <c r="W795" s="233">
        <f ca="1">$U795*EWSpacingFt+XOffset+(PanArrayWidthHighEndFt-PanArrayWidthLowEndFt)/2</f>
        <v>0</v>
      </c>
      <c r="X795" s="234">
        <f ca="1">$V795*NSSpacingFt+YOffset+0</f>
        <v>35.999999999999979</v>
      </c>
      <c r="Y795" s="235">
        <f ca="1">+$V795*NSGradeFt+PedHeight+0</f>
        <v>7.401410761154855</v>
      </c>
      <c r="Z795" s="214">
        <f ca="1">+$W795</f>
        <v>0</v>
      </c>
      <c r="AA795" s="214">
        <f ca="1">+$Y795</f>
        <v>7.401410761154855</v>
      </c>
      <c r="AB795" s="214">
        <f ca="1">+$X795</f>
        <v>35.999999999999979</v>
      </c>
      <c r="AC795" s="214">
        <f ca="1">+$W795-XOffset</f>
        <v>0</v>
      </c>
    </row>
    <row r="796" spans="19:29" ht="8.4" customHeight="1">
      <c r="S796" s="307"/>
      <c r="T796" s="226">
        <f t="shared" si="51"/>
        <v>793</v>
      </c>
      <c r="U796" s="224">
        <f t="shared" si="49"/>
        <v>0</v>
      </c>
      <c r="V796" s="225">
        <f t="shared" si="50"/>
        <v>2</v>
      </c>
      <c r="W796" s="236">
        <f ca="1">+$U796*EWSpacingFt+XOffset+PanArrayWidthHighEndFt-(PanArrayWidthHighEndFt-PanArrayWidthLowEndFt)/2</f>
        <v>10.80282152230971</v>
      </c>
      <c r="X796" s="240">
        <f ca="1">$V796*NSSpacingFt+YOffset+0</f>
        <v>35.999999999999979</v>
      </c>
      <c r="Y796" s="244">
        <f ca="1">+$V796*NSGradeFt+PedHeight+0</f>
        <v>7.401410761154855</v>
      </c>
      <c r="Z796" s="214">
        <f ca="1">+$W796</f>
        <v>10.80282152230971</v>
      </c>
      <c r="AA796" s="214">
        <f ca="1">+$Y796</f>
        <v>7.401410761154855</v>
      </c>
      <c r="AB796" s="214">
        <f ca="1">+$X796</f>
        <v>35.999999999999979</v>
      </c>
      <c r="AC796" s="214">
        <f ca="1">+$W796-XOffset</f>
        <v>10.80282152230971</v>
      </c>
    </row>
    <row r="797" spans="19:29" ht="8.4" customHeight="1">
      <c r="S797" s="307"/>
      <c r="T797" s="226">
        <f t="shared" si="51"/>
        <v>794</v>
      </c>
      <c r="U797" s="224">
        <f t="shared" si="49"/>
        <v>0</v>
      </c>
      <c r="V797" s="225">
        <f t="shared" si="50"/>
        <v>2</v>
      </c>
      <c r="W797" s="237">
        <f ca="1">$U797*EWSpacingFt+XOffset+PanArrayWidthHighEndFt</f>
        <v>10.80282152230971</v>
      </c>
      <c r="X797" s="241">
        <f ca="1">$V797*NSSpacingFt+YOffset+PanArrayLenFt*COS(RADIANS(Latitude+DecAng))</f>
        <v>52.439632545931744</v>
      </c>
      <c r="Y797" s="245">
        <f ca="1">+$V797*NSGradeFt+PedHeight+PanArrayLenFt*SIN(RADIANS(Latitude+DecAng))</f>
        <v>7.401410761154855</v>
      </c>
      <c r="Z797" s="214">
        <f ca="1">+$W797</f>
        <v>10.80282152230971</v>
      </c>
      <c r="AA797" s="214">
        <f ca="1">+$Y797</f>
        <v>7.401410761154855</v>
      </c>
      <c r="AB797" s="214">
        <f ca="1">+$X797</f>
        <v>52.439632545931744</v>
      </c>
      <c r="AC797" s="214">
        <f ca="1">+$W797-XOffset</f>
        <v>10.80282152230971</v>
      </c>
    </row>
    <row r="798" spans="19:29" ht="8.4" customHeight="1">
      <c r="S798" s="307"/>
      <c r="T798" s="226">
        <f t="shared" si="51"/>
        <v>795</v>
      </c>
      <c r="U798" s="224">
        <f t="shared" si="49"/>
        <v>0</v>
      </c>
      <c r="V798" s="225">
        <f t="shared" si="50"/>
        <v>2</v>
      </c>
      <c r="W798" s="238">
        <f ca="1">$U798*EWSpacingFt+XOffset+0</f>
        <v>0</v>
      </c>
      <c r="X798" s="242">
        <f ca="1">$V798*NSSpacingFt+YOffset+PanArrayLenFt*COS(RADIANS(Latitude+DecAng))</f>
        <v>52.439632545931744</v>
      </c>
      <c r="Y798" s="246">
        <f ca="1">+$V798*NSGradeFt+PedHeight+PanArrayLenFt*SIN(RADIANS(Latitude+DecAng))</f>
        <v>7.401410761154855</v>
      </c>
      <c r="Z798" s="214">
        <f ca="1">+$W798</f>
        <v>0</v>
      </c>
      <c r="AA798" s="214">
        <f ca="1">+$Y798</f>
        <v>7.401410761154855</v>
      </c>
      <c r="AB798" s="214">
        <f ca="1">+$X798</f>
        <v>52.439632545931744</v>
      </c>
      <c r="AC798" s="214">
        <f ca="1">+$W798-XOffset</f>
        <v>0</v>
      </c>
    </row>
    <row r="799" spans="19:29" ht="8.4" customHeight="1">
      <c r="S799" s="307"/>
      <c r="T799" s="226">
        <f t="shared" si="51"/>
        <v>796</v>
      </c>
      <c r="U799" s="224">
        <f t="shared" si="49"/>
        <v>0</v>
      </c>
      <c r="V799" s="225">
        <f t="shared" si="50"/>
        <v>2</v>
      </c>
      <c r="W799" s="239">
        <f ca="1">$U799*EWSpacingFt+XOffset+(PanArrayWidthHighEndFt-PanArrayWidthLowEndFt)/2</f>
        <v>0</v>
      </c>
      <c r="X799" s="243">
        <f ca="1">$V799*NSSpacingFt+YOffset+0</f>
        <v>35.999999999999979</v>
      </c>
      <c r="Y799" s="247">
        <f ca="1">+$V799*NSGradeFt+PedHeight+0</f>
        <v>7.401410761154855</v>
      </c>
      <c r="Z799" s="214">
        <f ca="1">+$W799</f>
        <v>0</v>
      </c>
      <c r="AA799" s="214">
        <f ca="1">+$Y799</f>
        <v>7.401410761154855</v>
      </c>
      <c r="AB799" s="214">
        <f ca="1">+$X799</f>
        <v>35.999999999999979</v>
      </c>
      <c r="AC799" s="214">
        <f ca="1">+$W799-XOffset</f>
        <v>0</v>
      </c>
    </row>
    <row r="800" spans="19:29" ht="8.4" customHeight="1">
      <c r="S800" s="307"/>
      <c r="T800" s="226">
        <f t="shared" si="51"/>
        <v>797</v>
      </c>
      <c r="U800" s="224">
        <f t="shared" si="49"/>
        <v>0</v>
      </c>
      <c r="V800" s="225">
        <f t="shared" si="50"/>
        <v>2</v>
      </c>
      <c r="W800" s="217"/>
      <c r="X800" s="217"/>
      <c r="Y800" s="217"/>
      <c r="Z800" s="214"/>
      <c r="AA800" s="214"/>
      <c r="AB800" s="214"/>
      <c r="AC800" s="214"/>
    </row>
    <row r="801" spans="19:29" ht="8.4" customHeight="1">
      <c r="S801" s="307">
        <f>INT((T801-0)/6)+1</f>
        <v>134</v>
      </c>
      <c r="T801" s="226">
        <f t="shared" si="51"/>
        <v>798</v>
      </c>
      <c r="U801" s="224">
        <f t="shared" si="49"/>
        <v>1</v>
      </c>
      <c r="V801" s="225">
        <f t="shared" si="50"/>
        <v>2</v>
      </c>
      <c r="W801" s="233">
        <f ca="1">$U801*EWSpacingFt+XOffset+(PanArrayWidthHighEndFt-PanArrayWidthLowEndFt)/2</f>
        <v>30.000006832286932</v>
      </c>
      <c r="X801" s="234">
        <f ca="1">$V801*NSSpacingFt+YOffset+0</f>
        <v>35.999999999999979</v>
      </c>
      <c r="Y801" s="235">
        <f ca="1">+$V801*NSGradeFt+PedHeight+0</f>
        <v>7.401410761154855</v>
      </c>
      <c r="Z801" s="214">
        <f ca="1">+$W801</f>
        <v>30.000006832286932</v>
      </c>
      <c r="AA801" s="214">
        <f ca="1">+$Y801</f>
        <v>7.401410761154855</v>
      </c>
      <c r="AB801" s="214">
        <f ca="1">+$X801</f>
        <v>35.999999999999979</v>
      </c>
      <c r="AC801" s="214">
        <f ca="1">+$W801-XOffset</f>
        <v>30.000006832286932</v>
      </c>
    </row>
    <row r="802" spans="19:29" ht="8.4" customHeight="1">
      <c r="S802" s="307"/>
      <c r="T802" s="226">
        <f t="shared" si="51"/>
        <v>799</v>
      </c>
      <c r="U802" s="224">
        <f t="shared" si="49"/>
        <v>1</v>
      </c>
      <c r="V802" s="225">
        <f t="shared" si="50"/>
        <v>2</v>
      </c>
      <c r="W802" s="236">
        <f ca="1">+$U802*EWSpacingFt+XOffset+PanArrayWidthHighEndFt-(PanArrayWidthHighEndFt-PanArrayWidthLowEndFt)/2</f>
        <v>40.802828354596642</v>
      </c>
      <c r="X802" s="240">
        <f ca="1">$V802*NSSpacingFt+YOffset+0</f>
        <v>35.999999999999979</v>
      </c>
      <c r="Y802" s="244">
        <f ca="1">+$V802*NSGradeFt+PedHeight+0</f>
        <v>7.401410761154855</v>
      </c>
      <c r="Z802" s="214">
        <f ca="1">+$W802</f>
        <v>40.802828354596642</v>
      </c>
      <c r="AA802" s="214">
        <f ca="1">+$Y802</f>
        <v>7.401410761154855</v>
      </c>
      <c r="AB802" s="214">
        <f ca="1">+$X802</f>
        <v>35.999999999999979</v>
      </c>
      <c r="AC802" s="214">
        <f ca="1">+$W802-XOffset</f>
        <v>40.802828354596642</v>
      </c>
    </row>
    <row r="803" spans="19:29" ht="8.4" customHeight="1">
      <c r="S803" s="307"/>
      <c r="T803" s="226">
        <f t="shared" si="51"/>
        <v>800</v>
      </c>
      <c r="U803" s="224">
        <f t="shared" si="49"/>
        <v>1</v>
      </c>
      <c r="V803" s="225">
        <f t="shared" si="50"/>
        <v>2</v>
      </c>
      <c r="W803" s="237">
        <f ca="1">$U803*EWSpacingFt+XOffset+PanArrayWidthHighEndFt</f>
        <v>40.802828354596642</v>
      </c>
      <c r="X803" s="241">
        <f ca="1">$V803*NSSpacingFt+YOffset+PanArrayLenFt*COS(RADIANS(Latitude+DecAng))</f>
        <v>52.439632545931744</v>
      </c>
      <c r="Y803" s="245">
        <f ca="1">+$V803*NSGradeFt+PedHeight+PanArrayLenFt*SIN(RADIANS(Latitude+DecAng))</f>
        <v>7.401410761154855</v>
      </c>
      <c r="Z803" s="214">
        <f ca="1">+$W803</f>
        <v>40.802828354596642</v>
      </c>
      <c r="AA803" s="214">
        <f ca="1">+$Y803</f>
        <v>7.401410761154855</v>
      </c>
      <c r="AB803" s="214">
        <f ca="1">+$X803</f>
        <v>52.439632545931744</v>
      </c>
      <c r="AC803" s="214">
        <f ca="1">+$W803-XOffset</f>
        <v>40.802828354596642</v>
      </c>
    </row>
    <row r="804" spans="19:29" ht="8.4" customHeight="1">
      <c r="S804" s="307"/>
      <c r="T804" s="226">
        <f t="shared" si="51"/>
        <v>801</v>
      </c>
      <c r="U804" s="224">
        <f t="shared" si="49"/>
        <v>1</v>
      </c>
      <c r="V804" s="225">
        <f t="shared" si="50"/>
        <v>2</v>
      </c>
      <c r="W804" s="238">
        <f ca="1">$U804*EWSpacingFt+XOffset+0</f>
        <v>30.000006832286932</v>
      </c>
      <c r="X804" s="242">
        <f ca="1">$V804*NSSpacingFt+YOffset+PanArrayLenFt*COS(RADIANS(Latitude+DecAng))</f>
        <v>52.439632545931744</v>
      </c>
      <c r="Y804" s="246">
        <f ca="1">+$V804*NSGradeFt+PedHeight+PanArrayLenFt*SIN(RADIANS(Latitude+DecAng))</f>
        <v>7.401410761154855</v>
      </c>
      <c r="Z804" s="214">
        <f ca="1">+$W804</f>
        <v>30.000006832286932</v>
      </c>
      <c r="AA804" s="214">
        <f ca="1">+$Y804</f>
        <v>7.401410761154855</v>
      </c>
      <c r="AB804" s="214">
        <f ca="1">+$X804</f>
        <v>52.439632545931744</v>
      </c>
      <c r="AC804" s="214">
        <f ca="1">+$W804-XOffset</f>
        <v>30.000006832286932</v>
      </c>
    </row>
    <row r="805" spans="19:29" ht="8.4" customHeight="1">
      <c r="S805" s="307"/>
      <c r="T805" s="226">
        <f t="shared" si="51"/>
        <v>802</v>
      </c>
      <c r="U805" s="224">
        <f t="shared" si="49"/>
        <v>1</v>
      </c>
      <c r="V805" s="225">
        <f t="shared" si="50"/>
        <v>2</v>
      </c>
      <c r="W805" s="239">
        <f ca="1">$U805*EWSpacingFt+XOffset+(PanArrayWidthHighEndFt-PanArrayWidthLowEndFt)/2</f>
        <v>30.000006832286932</v>
      </c>
      <c r="X805" s="243">
        <f ca="1">$V805*NSSpacingFt+YOffset+0</f>
        <v>35.999999999999979</v>
      </c>
      <c r="Y805" s="247">
        <f ca="1">+$V805*NSGradeFt+PedHeight+0</f>
        <v>7.401410761154855</v>
      </c>
      <c r="Z805" s="214">
        <f ca="1">+$W805</f>
        <v>30.000006832286932</v>
      </c>
      <c r="AA805" s="214">
        <f ca="1">+$Y805</f>
        <v>7.401410761154855</v>
      </c>
      <c r="AB805" s="214">
        <f ca="1">+$X805</f>
        <v>35.999999999999979</v>
      </c>
      <c r="AC805" s="214">
        <f ca="1">+$W805-XOffset</f>
        <v>30.000006832286932</v>
      </c>
    </row>
    <row r="806" spans="19:29" ht="8.4" customHeight="1">
      <c r="S806" s="307"/>
      <c r="T806" s="226">
        <f t="shared" si="51"/>
        <v>803</v>
      </c>
      <c r="U806" s="224">
        <f t="shared" si="49"/>
        <v>1</v>
      </c>
      <c r="V806" s="225">
        <f t="shared" si="50"/>
        <v>2</v>
      </c>
      <c r="W806" s="217"/>
      <c r="X806" s="217"/>
      <c r="Y806" s="217"/>
      <c r="Z806" s="214"/>
      <c r="AA806" s="214"/>
      <c r="AB806" s="214"/>
      <c r="AC806" s="214"/>
    </row>
    <row r="807" spans="19:29" ht="8.4" customHeight="1">
      <c r="S807" s="307">
        <f>INT((T807-0)/6)+1</f>
        <v>135</v>
      </c>
      <c r="T807" s="226">
        <f t="shared" si="51"/>
        <v>804</v>
      </c>
      <c r="U807" s="224">
        <f t="shared" si="49"/>
        <v>0</v>
      </c>
      <c r="V807" s="225">
        <f t="shared" si="50"/>
        <v>3</v>
      </c>
      <c r="W807" s="233">
        <f ca="1">$U807*EWSpacingFt+XOffset+(PanArrayWidthHighEndFt-PanArrayWidthLowEndFt)/2</f>
        <v>0</v>
      </c>
      <c r="X807" s="234">
        <f ca="1">$V807*NSSpacingFt+YOffset+0</f>
        <v>53.999999999999972</v>
      </c>
      <c r="Y807" s="235">
        <f ca="1">+$V807*NSGradeFt+PedHeight+0</f>
        <v>7.401410761154855</v>
      </c>
      <c r="Z807" s="214">
        <f ca="1">+$W807</f>
        <v>0</v>
      </c>
      <c r="AA807" s="214">
        <f ca="1">+$Y807</f>
        <v>7.401410761154855</v>
      </c>
      <c r="AB807" s="214">
        <f ca="1">+$X807</f>
        <v>53.999999999999972</v>
      </c>
      <c r="AC807" s="214">
        <f ca="1">+$W807-XOffset</f>
        <v>0</v>
      </c>
    </row>
    <row r="808" spans="19:29" ht="8.4" customHeight="1">
      <c r="S808" s="307"/>
      <c r="T808" s="226">
        <f t="shared" si="51"/>
        <v>805</v>
      </c>
      <c r="U808" s="224">
        <f t="shared" si="49"/>
        <v>0</v>
      </c>
      <c r="V808" s="225">
        <f t="shared" si="50"/>
        <v>3</v>
      </c>
      <c r="W808" s="236">
        <f ca="1">+$U808*EWSpacingFt+XOffset+PanArrayWidthHighEndFt-(PanArrayWidthHighEndFt-PanArrayWidthLowEndFt)/2</f>
        <v>10.80282152230971</v>
      </c>
      <c r="X808" s="240">
        <f ca="1">$V808*NSSpacingFt+YOffset+0</f>
        <v>53.999999999999972</v>
      </c>
      <c r="Y808" s="244">
        <f ca="1">+$V808*NSGradeFt+PedHeight+0</f>
        <v>7.401410761154855</v>
      </c>
      <c r="Z808" s="214">
        <f ca="1">+$W808</f>
        <v>10.80282152230971</v>
      </c>
      <c r="AA808" s="214">
        <f ca="1">+$Y808</f>
        <v>7.401410761154855</v>
      </c>
      <c r="AB808" s="214">
        <f ca="1">+$X808</f>
        <v>53.999999999999972</v>
      </c>
      <c r="AC808" s="214">
        <f ca="1">+$W808-XOffset</f>
        <v>10.80282152230971</v>
      </c>
    </row>
    <row r="809" spans="19:29" ht="8.4" customHeight="1">
      <c r="S809" s="307"/>
      <c r="T809" s="226">
        <f t="shared" si="51"/>
        <v>806</v>
      </c>
      <c r="U809" s="224">
        <f t="shared" si="49"/>
        <v>0</v>
      </c>
      <c r="V809" s="225">
        <f t="shared" si="50"/>
        <v>3</v>
      </c>
      <c r="W809" s="237">
        <f ca="1">$U809*EWSpacingFt+XOffset+PanArrayWidthHighEndFt</f>
        <v>10.80282152230971</v>
      </c>
      <c r="X809" s="241">
        <f ca="1">$V809*NSSpacingFt+YOffset+PanArrayLenFt*COS(RADIANS(Latitude+DecAng))</f>
        <v>70.43963254593173</v>
      </c>
      <c r="Y809" s="245">
        <f ca="1">+$V809*NSGradeFt+PedHeight+PanArrayLenFt*SIN(RADIANS(Latitude+DecAng))</f>
        <v>7.401410761154855</v>
      </c>
      <c r="Z809" s="214">
        <f ca="1">+$W809</f>
        <v>10.80282152230971</v>
      </c>
      <c r="AA809" s="214">
        <f ca="1">+$Y809</f>
        <v>7.401410761154855</v>
      </c>
      <c r="AB809" s="214">
        <f ca="1">+$X809</f>
        <v>70.43963254593173</v>
      </c>
      <c r="AC809" s="214">
        <f ca="1">+$W809-XOffset</f>
        <v>10.80282152230971</v>
      </c>
    </row>
    <row r="810" spans="19:29" ht="8.4" customHeight="1">
      <c r="S810" s="307"/>
      <c r="T810" s="226">
        <f t="shared" si="51"/>
        <v>807</v>
      </c>
      <c r="U810" s="224">
        <f t="shared" si="49"/>
        <v>0</v>
      </c>
      <c r="V810" s="225">
        <f t="shared" si="50"/>
        <v>3</v>
      </c>
      <c r="W810" s="238">
        <f ca="1">$U810*EWSpacingFt+XOffset+0</f>
        <v>0</v>
      </c>
      <c r="X810" s="242">
        <f ca="1">$V810*NSSpacingFt+YOffset+PanArrayLenFt*COS(RADIANS(Latitude+DecAng))</f>
        <v>70.43963254593173</v>
      </c>
      <c r="Y810" s="246">
        <f ca="1">+$V810*NSGradeFt+PedHeight+PanArrayLenFt*SIN(RADIANS(Latitude+DecAng))</f>
        <v>7.401410761154855</v>
      </c>
      <c r="Z810" s="214">
        <f ca="1">+$W810</f>
        <v>0</v>
      </c>
      <c r="AA810" s="214">
        <f ca="1">+$Y810</f>
        <v>7.401410761154855</v>
      </c>
      <c r="AB810" s="214">
        <f ca="1">+$X810</f>
        <v>70.43963254593173</v>
      </c>
      <c r="AC810" s="214">
        <f ca="1">+$W810-XOffset</f>
        <v>0</v>
      </c>
    </row>
    <row r="811" spans="19:29" ht="8.4" customHeight="1">
      <c r="S811" s="307"/>
      <c r="T811" s="226">
        <f t="shared" si="51"/>
        <v>808</v>
      </c>
      <c r="U811" s="224">
        <f t="shared" si="49"/>
        <v>0</v>
      </c>
      <c r="V811" s="225">
        <f t="shared" si="50"/>
        <v>3</v>
      </c>
      <c r="W811" s="239">
        <f ca="1">$U811*EWSpacingFt+XOffset+(PanArrayWidthHighEndFt-PanArrayWidthLowEndFt)/2</f>
        <v>0</v>
      </c>
      <c r="X811" s="243">
        <f ca="1">$V811*NSSpacingFt+YOffset+0</f>
        <v>53.999999999999972</v>
      </c>
      <c r="Y811" s="247">
        <f ca="1">+$V811*NSGradeFt+PedHeight+0</f>
        <v>7.401410761154855</v>
      </c>
      <c r="Z811" s="214">
        <f ca="1">+$W811</f>
        <v>0</v>
      </c>
      <c r="AA811" s="214">
        <f ca="1">+$Y811</f>
        <v>7.401410761154855</v>
      </c>
      <c r="AB811" s="214">
        <f ca="1">+$X811</f>
        <v>53.999999999999972</v>
      </c>
      <c r="AC811" s="214">
        <f ca="1">+$W811-XOffset</f>
        <v>0</v>
      </c>
    </row>
    <row r="812" spans="19:29" ht="8.4" customHeight="1">
      <c r="S812" s="307"/>
      <c r="T812" s="226">
        <f t="shared" si="51"/>
        <v>809</v>
      </c>
      <c r="U812" s="224">
        <f t="shared" si="49"/>
        <v>0</v>
      </c>
      <c r="V812" s="225">
        <f t="shared" si="50"/>
        <v>3</v>
      </c>
      <c r="W812" s="217"/>
      <c r="X812" s="217"/>
      <c r="Y812" s="217"/>
      <c r="Z812" s="214"/>
      <c r="AA812" s="214"/>
      <c r="AB812" s="214"/>
      <c r="AC812" s="214"/>
    </row>
    <row r="813" spans="19:29" ht="8.4" customHeight="1">
      <c r="S813" s="307">
        <f>INT((T813-0)/6)+1</f>
        <v>136</v>
      </c>
      <c r="T813" s="226">
        <f t="shared" si="51"/>
        <v>810</v>
      </c>
      <c r="U813" s="224">
        <f t="shared" si="49"/>
        <v>1</v>
      </c>
      <c r="V813" s="225">
        <f t="shared" si="50"/>
        <v>3</v>
      </c>
      <c r="W813" s="233">
        <f ca="1">$U813*EWSpacingFt+XOffset+(PanArrayWidthHighEndFt-PanArrayWidthLowEndFt)/2</f>
        <v>30.000006832286932</v>
      </c>
      <c r="X813" s="234">
        <f ca="1">$V813*NSSpacingFt+YOffset+0</f>
        <v>53.999999999999972</v>
      </c>
      <c r="Y813" s="235">
        <f ca="1">+$V813*NSGradeFt+PedHeight+0</f>
        <v>7.401410761154855</v>
      </c>
      <c r="Z813" s="214">
        <f ca="1">+$W813</f>
        <v>30.000006832286932</v>
      </c>
      <c r="AA813" s="214">
        <f ca="1">+$Y813</f>
        <v>7.401410761154855</v>
      </c>
      <c r="AB813" s="214">
        <f ca="1">+$X813</f>
        <v>53.999999999999972</v>
      </c>
      <c r="AC813" s="214">
        <f ca="1">+$W813-XOffset</f>
        <v>30.000006832286932</v>
      </c>
    </row>
    <row r="814" spans="19:29" ht="8.4" customHeight="1">
      <c r="S814" s="307"/>
      <c r="T814" s="226">
        <f t="shared" si="51"/>
        <v>811</v>
      </c>
      <c r="U814" s="224">
        <f t="shared" si="49"/>
        <v>1</v>
      </c>
      <c r="V814" s="225">
        <f t="shared" si="50"/>
        <v>3</v>
      </c>
      <c r="W814" s="236">
        <f ca="1">+$U814*EWSpacingFt+XOffset+PanArrayWidthHighEndFt-(PanArrayWidthHighEndFt-PanArrayWidthLowEndFt)/2</f>
        <v>40.802828354596642</v>
      </c>
      <c r="X814" s="240">
        <f ca="1">$V814*NSSpacingFt+YOffset+0</f>
        <v>53.999999999999972</v>
      </c>
      <c r="Y814" s="244">
        <f ca="1">+$V814*NSGradeFt+PedHeight+0</f>
        <v>7.401410761154855</v>
      </c>
      <c r="Z814" s="214">
        <f ca="1">+$W814</f>
        <v>40.802828354596642</v>
      </c>
      <c r="AA814" s="214">
        <f ca="1">+$Y814</f>
        <v>7.401410761154855</v>
      </c>
      <c r="AB814" s="214">
        <f ca="1">+$X814</f>
        <v>53.999999999999972</v>
      </c>
      <c r="AC814" s="214">
        <f ca="1">+$W814-XOffset</f>
        <v>40.802828354596642</v>
      </c>
    </row>
    <row r="815" spans="19:29" ht="8.4" customHeight="1">
      <c r="S815" s="307"/>
      <c r="T815" s="226">
        <f t="shared" si="51"/>
        <v>812</v>
      </c>
      <c r="U815" s="224">
        <f t="shared" si="49"/>
        <v>1</v>
      </c>
      <c r="V815" s="225">
        <f t="shared" si="50"/>
        <v>3</v>
      </c>
      <c r="W815" s="237">
        <f ca="1">$U815*EWSpacingFt+XOffset+PanArrayWidthHighEndFt</f>
        <v>40.802828354596642</v>
      </c>
      <c r="X815" s="241">
        <f ca="1">$V815*NSSpacingFt+YOffset+PanArrayLenFt*COS(RADIANS(Latitude+DecAng))</f>
        <v>70.43963254593173</v>
      </c>
      <c r="Y815" s="245">
        <f ca="1">+$V815*NSGradeFt+PedHeight+PanArrayLenFt*SIN(RADIANS(Latitude+DecAng))</f>
        <v>7.401410761154855</v>
      </c>
      <c r="Z815" s="214">
        <f ca="1">+$W815</f>
        <v>40.802828354596642</v>
      </c>
      <c r="AA815" s="214">
        <f ca="1">+$Y815</f>
        <v>7.401410761154855</v>
      </c>
      <c r="AB815" s="214">
        <f ca="1">+$X815</f>
        <v>70.43963254593173</v>
      </c>
      <c r="AC815" s="214">
        <f ca="1">+$W815-XOffset</f>
        <v>40.802828354596642</v>
      </c>
    </row>
    <row r="816" spans="19:29" ht="8.4" customHeight="1">
      <c r="S816" s="307"/>
      <c r="T816" s="226">
        <f t="shared" si="51"/>
        <v>813</v>
      </c>
      <c r="U816" s="224">
        <f t="shared" si="49"/>
        <v>1</v>
      </c>
      <c r="V816" s="225">
        <f t="shared" si="50"/>
        <v>3</v>
      </c>
      <c r="W816" s="238">
        <f ca="1">$U816*EWSpacingFt+XOffset+0</f>
        <v>30.000006832286932</v>
      </c>
      <c r="X816" s="242">
        <f ca="1">$V816*NSSpacingFt+YOffset+PanArrayLenFt*COS(RADIANS(Latitude+DecAng))</f>
        <v>70.43963254593173</v>
      </c>
      <c r="Y816" s="246">
        <f ca="1">+$V816*NSGradeFt+PedHeight+PanArrayLenFt*SIN(RADIANS(Latitude+DecAng))</f>
        <v>7.401410761154855</v>
      </c>
      <c r="Z816" s="214">
        <f ca="1">+$W816</f>
        <v>30.000006832286932</v>
      </c>
      <c r="AA816" s="214">
        <f ca="1">+$Y816</f>
        <v>7.401410761154855</v>
      </c>
      <c r="AB816" s="214">
        <f ca="1">+$X816</f>
        <v>70.43963254593173</v>
      </c>
      <c r="AC816" s="214">
        <f ca="1">+$W816-XOffset</f>
        <v>30.000006832286932</v>
      </c>
    </row>
    <row r="817" spans="19:29" ht="8.4" customHeight="1">
      <c r="S817" s="307"/>
      <c r="T817" s="226">
        <f t="shared" si="51"/>
        <v>814</v>
      </c>
      <c r="U817" s="224">
        <f t="shared" si="49"/>
        <v>1</v>
      </c>
      <c r="V817" s="225">
        <f t="shared" si="50"/>
        <v>3</v>
      </c>
      <c r="W817" s="239">
        <f ca="1">$U817*EWSpacingFt+XOffset+(PanArrayWidthHighEndFt-PanArrayWidthLowEndFt)/2</f>
        <v>30.000006832286932</v>
      </c>
      <c r="X817" s="243">
        <f ca="1">$V817*NSSpacingFt+YOffset+0</f>
        <v>53.999999999999972</v>
      </c>
      <c r="Y817" s="247">
        <f ca="1">+$V817*NSGradeFt+PedHeight+0</f>
        <v>7.401410761154855</v>
      </c>
      <c r="Z817" s="214">
        <f ca="1">+$W817</f>
        <v>30.000006832286932</v>
      </c>
      <c r="AA817" s="214">
        <f ca="1">+$Y817</f>
        <v>7.401410761154855</v>
      </c>
      <c r="AB817" s="214">
        <f ca="1">+$X817</f>
        <v>53.999999999999972</v>
      </c>
      <c r="AC817" s="214">
        <f ca="1">+$W817-XOffset</f>
        <v>30.000006832286932</v>
      </c>
    </row>
    <row r="818" spans="19:29" ht="8.4" customHeight="1">
      <c r="S818" s="307"/>
      <c r="T818" s="226">
        <f t="shared" si="51"/>
        <v>815</v>
      </c>
      <c r="U818" s="224">
        <f t="shared" si="49"/>
        <v>1</v>
      </c>
      <c r="V818" s="225">
        <f t="shared" si="50"/>
        <v>3</v>
      </c>
      <c r="W818" s="217"/>
      <c r="X818" s="217"/>
      <c r="Y818" s="217"/>
      <c r="Z818" s="214"/>
      <c r="AA818" s="214"/>
      <c r="AB818" s="214"/>
      <c r="AC818" s="214"/>
    </row>
    <row r="819" spans="19:29" ht="8.4" customHeight="1">
      <c r="S819" s="307">
        <f>INT((T819-0)/6)+1</f>
        <v>137</v>
      </c>
      <c r="T819" s="226">
        <f t="shared" si="51"/>
        <v>816</v>
      </c>
      <c r="U819" s="224">
        <f t="shared" si="49"/>
        <v>0</v>
      </c>
      <c r="V819" s="225">
        <f t="shared" si="50"/>
        <v>0</v>
      </c>
      <c r="W819" s="233">
        <f ca="1">$U819*EWSpacingFt+XOffset+(PanArrayWidthHighEndFt-PanArrayWidthLowEndFt)/2</f>
        <v>0</v>
      </c>
      <c r="X819" s="234">
        <f ca="1">$V819*NSSpacingFt+YOffset+0</f>
        <v>0</v>
      </c>
      <c r="Y819" s="235">
        <f ca="1">+$V819*NSGradeFt+PedHeight+0</f>
        <v>7.401410761154855</v>
      </c>
      <c r="Z819" s="214">
        <f ca="1">+$W819</f>
        <v>0</v>
      </c>
      <c r="AA819" s="214">
        <f ca="1">+$Y819</f>
        <v>7.401410761154855</v>
      </c>
      <c r="AB819" s="214">
        <f ca="1">+$X819</f>
        <v>0</v>
      </c>
      <c r="AC819" s="214">
        <f ca="1">+$W819-XOffset</f>
        <v>0</v>
      </c>
    </row>
    <row r="820" spans="19:29" ht="8.4" customHeight="1">
      <c r="S820" s="307"/>
      <c r="T820" s="226">
        <f t="shared" si="51"/>
        <v>817</v>
      </c>
      <c r="U820" s="224">
        <f t="shared" si="49"/>
        <v>0</v>
      </c>
      <c r="V820" s="225">
        <f t="shared" si="50"/>
        <v>0</v>
      </c>
      <c r="W820" s="236">
        <f ca="1">+$U820*EWSpacingFt+XOffset+PanArrayWidthHighEndFt-(PanArrayWidthHighEndFt-PanArrayWidthLowEndFt)/2</f>
        <v>10.80282152230971</v>
      </c>
      <c r="X820" s="240">
        <f ca="1">$V820*NSSpacingFt+YOffset+0</f>
        <v>0</v>
      </c>
      <c r="Y820" s="244">
        <f ca="1">+$V820*NSGradeFt+PedHeight+0</f>
        <v>7.401410761154855</v>
      </c>
      <c r="Z820" s="214">
        <f ca="1">+$W820</f>
        <v>10.80282152230971</v>
      </c>
      <c r="AA820" s="214">
        <f ca="1">+$Y820</f>
        <v>7.401410761154855</v>
      </c>
      <c r="AB820" s="214">
        <f ca="1">+$X820</f>
        <v>0</v>
      </c>
      <c r="AC820" s="214">
        <f ca="1">+$W820-XOffset</f>
        <v>10.80282152230971</v>
      </c>
    </row>
    <row r="821" spans="19:29" ht="8.4" customHeight="1">
      <c r="S821" s="307"/>
      <c r="T821" s="226">
        <f t="shared" si="51"/>
        <v>818</v>
      </c>
      <c r="U821" s="224">
        <f t="shared" si="49"/>
        <v>0</v>
      </c>
      <c r="V821" s="225">
        <f t="shared" si="50"/>
        <v>0</v>
      </c>
      <c r="W821" s="237">
        <f ca="1">$U821*EWSpacingFt+XOffset+PanArrayWidthHighEndFt</f>
        <v>10.80282152230971</v>
      </c>
      <c r="X821" s="241">
        <f ca="1">$V821*NSSpacingFt+YOffset+PanArrayLenFt*COS(RADIANS(Latitude+DecAng))</f>
        <v>16.439632545931762</v>
      </c>
      <c r="Y821" s="245">
        <f ca="1">+$V821*NSGradeFt+PedHeight+PanArrayLenFt*SIN(RADIANS(Latitude+DecAng))</f>
        <v>7.401410761154855</v>
      </c>
      <c r="Z821" s="214">
        <f ca="1">+$W821</f>
        <v>10.80282152230971</v>
      </c>
      <c r="AA821" s="214">
        <f ca="1">+$Y821</f>
        <v>7.401410761154855</v>
      </c>
      <c r="AB821" s="214">
        <f ca="1">+$X821</f>
        <v>16.439632545931762</v>
      </c>
      <c r="AC821" s="214">
        <f ca="1">+$W821-XOffset</f>
        <v>10.80282152230971</v>
      </c>
    </row>
    <row r="822" spans="19:29" ht="8.4" customHeight="1">
      <c r="S822" s="307"/>
      <c r="T822" s="226">
        <f t="shared" si="51"/>
        <v>819</v>
      </c>
      <c r="U822" s="224">
        <f t="shared" si="49"/>
        <v>0</v>
      </c>
      <c r="V822" s="225">
        <f t="shared" si="50"/>
        <v>0</v>
      </c>
      <c r="W822" s="238">
        <f ca="1">$U822*EWSpacingFt+XOffset+0</f>
        <v>0</v>
      </c>
      <c r="X822" s="242">
        <f ca="1">$V822*NSSpacingFt+YOffset+PanArrayLenFt*COS(RADIANS(Latitude+DecAng))</f>
        <v>16.439632545931762</v>
      </c>
      <c r="Y822" s="246">
        <f ca="1">+$V822*NSGradeFt+PedHeight+PanArrayLenFt*SIN(RADIANS(Latitude+DecAng))</f>
        <v>7.401410761154855</v>
      </c>
      <c r="Z822" s="214">
        <f ca="1">+$W822</f>
        <v>0</v>
      </c>
      <c r="AA822" s="214">
        <f ca="1">+$Y822</f>
        <v>7.401410761154855</v>
      </c>
      <c r="AB822" s="214">
        <f ca="1">+$X822</f>
        <v>16.439632545931762</v>
      </c>
      <c r="AC822" s="214">
        <f ca="1">+$W822-XOffset</f>
        <v>0</v>
      </c>
    </row>
    <row r="823" spans="19:29" ht="8.4" customHeight="1">
      <c r="S823" s="307"/>
      <c r="T823" s="226">
        <f t="shared" si="51"/>
        <v>820</v>
      </c>
      <c r="U823" s="224">
        <f t="shared" si="49"/>
        <v>0</v>
      </c>
      <c r="V823" s="225">
        <f t="shared" si="50"/>
        <v>0</v>
      </c>
      <c r="W823" s="239">
        <f ca="1">$U823*EWSpacingFt+XOffset+(PanArrayWidthHighEndFt-PanArrayWidthLowEndFt)/2</f>
        <v>0</v>
      </c>
      <c r="X823" s="243">
        <f ca="1">$V823*NSSpacingFt+YOffset+0</f>
        <v>0</v>
      </c>
      <c r="Y823" s="247">
        <f ca="1">+$V823*NSGradeFt+PedHeight+0</f>
        <v>7.401410761154855</v>
      </c>
      <c r="Z823" s="214">
        <f ca="1">+$W823</f>
        <v>0</v>
      </c>
      <c r="AA823" s="214">
        <f ca="1">+$Y823</f>
        <v>7.401410761154855</v>
      </c>
      <c r="AB823" s="214">
        <f ca="1">+$X823</f>
        <v>0</v>
      </c>
      <c r="AC823" s="214">
        <f ca="1">+$W823-XOffset</f>
        <v>0</v>
      </c>
    </row>
    <row r="824" spans="19:29" ht="8.4" customHeight="1">
      <c r="S824" s="307"/>
      <c r="T824" s="226">
        <f t="shared" si="51"/>
        <v>821</v>
      </c>
      <c r="U824" s="224">
        <f t="shared" si="49"/>
        <v>0</v>
      </c>
      <c r="V824" s="225">
        <f t="shared" si="50"/>
        <v>0</v>
      </c>
      <c r="W824" s="217"/>
      <c r="X824" s="217"/>
      <c r="Y824" s="217"/>
      <c r="Z824" s="214"/>
      <c r="AA824" s="214"/>
      <c r="AB824" s="214"/>
      <c r="AC824" s="214"/>
    </row>
    <row r="825" spans="19:29" ht="8.4" customHeight="1">
      <c r="S825" s="307">
        <f>INT((T825-0)/6)+1</f>
        <v>138</v>
      </c>
      <c r="T825" s="226">
        <f t="shared" si="51"/>
        <v>822</v>
      </c>
      <c r="U825" s="224">
        <f t="shared" si="49"/>
        <v>1</v>
      </c>
      <c r="V825" s="225">
        <f t="shared" si="50"/>
        <v>0</v>
      </c>
      <c r="W825" s="233">
        <f ca="1">$U825*EWSpacingFt+XOffset+(PanArrayWidthHighEndFt-PanArrayWidthLowEndFt)/2</f>
        <v>30.000006832286932</v>
      </c>
      <c r="X825" s="234">
        <f ca="1">$V825*NSSpacingFt+YOffset+0</f>
        <v>0</v>
      </c>
      <c r="Y825" s="235">
        <f ca="1">+$V825*NSGradeFt+PedHeight+0</f>
        <v>7.401410761154855</v>
      </c>
      <c r="Z825" s="214">
        <f ca="1">+$W825</f>
        <v>30.000006832286932</v>
      </c>
      <c r="AA825" s="214">
        <f ca="1">+$Y825</f>
        <v>7.401410761154855</v>
      </c>
      <c r="AB825" s="214">
        <f ca="1">+$X825</f>
        <v>0</v>
      </c>
      <c r="AC825" s="214">
        <f ca="1">+$W825-XOffset</f>
        <v>30.000006832286932</v>
      </c>
    </row>
    <row r="826" spans="19:29" ht="8.4" customHeight="1">
      <c r="S826" s="307"/>
      <c r="T826" s="226">
        <f t="shared" si="51"/>
        <v>823</v>
      </c>
      <c r="U826" s="224">
        <f t="shared" si="49"/>
        <v>1</v>
      </c>
      <c r="V826" s="225">
        <f t="shared" si="50"/>
        <v>0</v>
      </c>
      <c r="W826" s="236">
        <f ca="1">+$U826*EWSpacingFt+XOffset+PanArrayWidthHighEndFt-(PanArrayWidthHighEndFt-PanArrayWidthLowEndFt)/2</f>
        <v>40.802828354596642</v>
      </c>
      <c r="X826" s="240">
        <f ca="1">$V826*NSSpacingFt+YOffset+0</f>
        <v>0</v>
      </c>
      <c r="Y826" s="244">
        <f ca="1">+$V826*NSGradeFt+PedHeight+0</f>
        <v>7.401410761154855</v>
      </c>
      <c r="Z826" s="214">
        <f ca="1">+$W826</f>
        <v>40.802828354596642</v>
      </c>
      <c r="AA826" s="214">
        <f ca="1">+$Y826</f>
        <v>7.401410761154855</v>
      </c>
      <c r="AB826" s="214">
        <f ca="1">+$X826</f>
        <v>0</v>
      </c>
      <c r="AC826" s="214">
        <f ca="1">+$W826-XOffset</f>
        <v>40.802828354596642</v>
      </c>
    </row>
    <row r="827" spans="19:29" ht="8.4" customHeight="1">
      <c r="S827" s="307"/>
      <c r="T827" s="226">
        <f t="shared" si="51"/>
        <v>824</v>
      </c>
      <c r="U827" s="224">
        <f t="shared" si="49"/>
        <v>1</v>
      </c>
      <c r="V827" s="225">
        <f t="shared" si="50"/>
        <v>0</v>
      </c>
      <c r="W827" s="237">
        <f ca="1">$U827*EWSpacingFt+XOffset+PanArrayWidthHighEndFt</f>
        <v>40.802828354596642</v>
      </c>
      <c r="X827" s="241">
        <f ca="1">$V827*NSSpacingFt+YOffset+PanArrayLenFt*COS(RADIANS(Latitude+DecAng))</f>
        <v>16.439632545931762</v>
      </c>
      <c r="Y827" s="245">
        <f ca="1">+$V827*NSGradeFt+PedHeight+PanArrayLenFt*SIN(RADIANS(Latitude+DecAng))</f>
        <v>7.401410761154855</v>
      </c>
      <c r="Z827" s="214">
        <f ca="1">+$W827</f>
        <v>40.802828354596642</v>
      </c>
      <c r="AA827" s="214">
        <f ca="1">+$Y827</f>
        <v>7.401410761154855</v>
      </c>
      <c r="AB827" s="214">
        <f ca="1">+$X827</f>
        <v>16.439632545931762</v>
      </c>
      <c r="AC827" s="214">
        <f ca="1">+$W827-XOffset</f>
        <v>40.802828354596642</v>
      </c>
    </row>
    <row r="828" spans="19:29" ht="8.4" customHeight="1">
      <c r="S828" s="307"/>
      <c r="T828" s="226">
        <f t="shared" si="51"/>
        <v>825</v>
      </c>
      <c r="U828" s="224">
        <f t="shared" si="49"/>
        <v>1</v>
      </c>
      <c r="V828" s="225">
        <f t="shared" si="50"/>
        <v>0</v>
      </c>
      <c r="W828" s="238">
        <f ca="1">$U828*EWSpacingFt+XOffset+0</f>
        <v>30.000006832286932</v>
      </c>
      <c r="X828" s="242">
        <f ca="1">$V828*NSSpacingFt+YOffset+PanArrayLenFt*COS(RADIANS(Latitude+DecAng))</f>
        <v>16.439632545931762</v>
      </c>
      <c r="Y828" s="246">
        <f ca="1">+$V828*NSGradeFt+PedHeight+PanArrayLenFt*SIN(RADIANS(Latitude+DecAng))</f>
        <v>7.401410761154855</v>
      </c>
      <c r="Z828" s="214">
        <f ca="1">+$W828</f>
        <v>30.000006832286932</v>
      </c>
      <c r="AA828" s="214">
        <f ca="1">+$Y828</f>
        <v>7.401410761154855</v>
      </c>
      <c r="AB828" s="214">
        <f ca="1">+$X828</f>
        <v>16.439632545931762</v>
      </c>
      <c r="AC828" s="214">
        <f ca="1">+$W828-XOffset</f>
        <v>30.000006832286932</v>
      </c>
    </row>
    <row r="829" spans="19:29" ht="8.4" customHeight="1">
      <c r="S829" s="307"/>
      <c r="T829" s="226">
        <f t="shared" si="51"/>
        <v>826</v>
      </c>
      <c r="U829" s="224">
        <f t="shared" si="49"/>
        <v>1</v>
      </c>
      <c r="V829" s="225">
        <f t="shared" si="50"/>
        <v>0</v>
      </c>
      <c r="W829" s="239">
        <f ca="1">$U829*EWSpacingFt+XOffset+(PanArrayWidthHighEndFt-PanArrayWidthLowEndFt)/2</f>
        <v>30.000006832286932</v>
      </c>
      <c r="X829" s="243">
        <f ca="1">$V829*NSSpacingFt+YOffset+0</f>
        <v>0</v>
      </c>
      <c r="Y829" s="247">
        <f ca="1">+$V829*NSGradeFt+PedHeight+0</f>
        <v>7.401410761154855</v>
      </c>
      <c r="Z829" s="214">
        <f ca="1">+$W829</f>
        <v>30.000006832286932</v>
      </c>
      <c r="AA829" s="214">
        <f ca="1">+$Y829</f>
        <v>7.401410761154855</v>
      </c>
      <c r="AB829" s="214">
        <f ca="1">+$X829</f>
        <v>0</v>
      </c>
      <c r="AC829" s="214">
        <f ca="1">+$W829-XOffset</f>
        <v>30.000006832286932</v>
      </c>
    </row>
    <row r="830" spans="19:29" ht="8.4" customHeight="1">
      <c r="S830" s="307"/>
      <c r="T830" s="226">
        <f t="shared" si="51"/>
        <v>827</v>
      </c>
      <c r="U830" s="224">
        <f t="shared" si="49"/>
        <v>1</v>
      </c>
      <c r="V830" s="225">
        <f t="shared" si="50"/>
        <v>0</v>
      </c>
      <c r="W830" s="217"/>
      <c r="X830" s="217"/>
      <c r="Y830" s="217"/>
      <c r="Z830" s="214"/>
      <c r="AA830" s="214"/>
      <c r="AB830" s="214"/>
      <c r="AC830" s="214"/>
    </row>
    <row r="831" spans="19:29" ht="8.4" customHeight="1">
      <c r="S831" s="307">
        <f>INT((T831-0)/6)+1</f>
        <v>139</v>
      </c>
      <c r="T831" s="226">
        <f t="shared" si="51"/>
        <v>828</v>
      </c>
      <c r="U831" s="224">
        <f t="shared" si="49"/>
        <v>0</v>
      </c>
      <c r="V831" s="225">
        <f t="shared" si="50"/>
        <v>1</v>
      </c>
      <c r="W831" s="233">
        <f ca="1">$U831*EWSpacingFt+XOffset+(PanArrayWidthHighEndFt-PanArrayWidthLowEndFt)/2</f>
        <v>0</v>
      </c>
      <c r="X831" s="234">
        <f ca="1">$V831*NSSpacingFt+YOffset+0</f>
        <v>17.999999999999989</v>
      </c>
      <c r="Y831" s="235">
        <f ca="1">+$V831*NSGradeFt+PedHeight+0</f>
        <v>7.401410761154855</v>
      </c>
      <c r="Z831" s="214">
        <f ca="1">+$W831</f>
        <v>0</v>
      </c>
      <c r="AA831" s="214">
        <f ca="1">+$Y831</f>
        <v>7.401410761154855</v>
      </c>
      <c r="AB831" s="214">
        <f ca="1">+$X831</f>
        <v>17.999999999999989</v>
      </c>
      <c r="AC831" s="214">
        <f ca="1">+$W831-XOffset</f>
        <v>0</v>
      </c>
    </row>
    <row r="832" spans="19:29" ht="8.4" customHeight="1">
      <c r="S832" s="307"/>
      <c r="T832" s="226">
        <f t="shared" si="51"/>
        <v>829</v>
      </c>
      <c r="U832" s="224">
        <f t="shared" si="49"/>
        <v>0</v>
      </c>
      <c r="V832" s="225">
        <f t="shared" si="50"/>
        <v>1</v>
      </c>
      <c r="W832" s="236">
        <f ca="1">+$U832*EWSpacingFt+XOffset+PanArrayWidthHighEndFt-(PanArrayWidthHighEndFt-PanArrayWidthLowEndFt)/2</f>
        <v>10.80282152230971</v>
      </c>
      <c r="X832" s="240">
        <f ca="1">$V832*NSSpacingFt+YOffset+0</f>
        <v>17.999999999999989</v>
      </c>
      <c r="Y832" s="244">
        <f ca="1">+$V832*NSGradeFt+PedHeight+0</f>
        <v>7.401410761154855</v>
      </c>
      <c r="Z832" s="214">
        <f ca="1">+$W832</f>
        <v>10.80282152230971</v>
      </c>
      <c r="AA832" s="214">
        <f ca="1">+$Y832</f>
        <v>7.401410761154855</v>
      </c>
      <c r="AB832" s="214">
        <f ca="1">+$X832</f>
        <v>17.999999999999989</v>
      </c>
      <c r="AC832" s="214">
        <f ca="1">+$W832-XOffset</f>
        <v>10.80282152230971</v>
      </c>
    </row>
    <row r="833" spans="19:29" ht="8.4" customHeight="1">
      <c r="S833" s="307"/>
      <c r="T833" s="226">
        <f t="shared" si="51"/>
        <v>830</v>
      </c>
      <c r="U833" s="224">
        <f t="shared" si="49"/>
        <v>0</v>
      </c>
      <c r="V833" s="225">
        <f t="shared" si="50"/>
        <v>1</v>
      </c>
      <c r="W833" s="237">
        <f ca="1">$U833*EWSpacingFt+XOffset+PanArrayWidthHighEndFt</f>
        <v>10.80282152230971</v>
      </c>
      <c r="X833" s="241">
        <f ca="1">$V833*NSSpacingFt+YOffset+PanArrayLenFt*COS(RADIANS(Latitude+DecAng))</f>
        <v>34.439632545931751</v>
      </c>
      <c r="Y833" s="245">
        <f ca="1">+$V833*NSGradeFt+PedHeight+PanArrayLenFt*SIN(RADIANS(Latitude+DecAng))</f>
        <v>7.401410761154855</v>
      </c>
      <c r="Z833" s="214">
        <f ca="1">+$W833</f>
        <v>10.80282152230971</v>
      </c>
      <c r="AA833" s="214">
        <f ca="1">+$Y833</f>
        <v>7.401410761154855</v>
      </c>
      <c r="AB833" s="214">
        <f ca="1">+$X833</f>
        <v>34.439632545931751</v>
      </c>
      <c r="AC833" s="214">
        <f ca="1">+$W833-XOffset</f>
        <v>10.80282152230971</v>
      </c>
    </row>
    <row r="834" spans="19:29" ht="8.4" customHeight="1">
      <c r="S834" s="307"/>
      <c r="T834" s="226">
        <f t="shared" si="51"/>
        <v>831</v>
      </c>
      <c r="U834" s="224">
        <f t="shared" si="49"/>
        <v>0</v>
      </c>
      <c r="V834" s="225">
        <f t="shared" si="50"/>
        <v>1</v>
      </c>
      <c r="W834" s="238">
        <f ca="1">$U834*EWSpacingFt+XOffset+0</f>
        <v>0</v>
      </c>
      <c r="X834" s="242">
        <f ca="1">$V834*NSSpacingFt+YOffset+PanArrayLenFt*COS(RADIANS(Latitude+DecAng))</f>
        <v>34.439632545931751</v>
      </c>
      <c r="Y834" s="246">
        <f ca="1">+$V834*NSGradeFt+PedHeight+PanArrayLenFt*SIN(RADIANS(Latitude+DecAng))</f>
        <v>7.401410761154855</v>
      </c>
      <c r="Z834" s="214">
        <f ca="1">+$W834</f>
        <v>0</v>
      </c>
      <c r="AA834" s="214">
        <f ca="1">+$Y834</f>
        <v>7.401410761154855</v>
      </c>
      <c r="AB834" s="214">
        <f ca="1">+$X834</f>
        <v>34.439632545931751</v>
      </c>
      <c r="AC834" s="214">
        <f ca="1">+$W834-XOffset</f>
        <v>0</v>
      </c>
    </row>
    <row r="835" spans="19:29" ht="8.4" customHeight="1">
      <c r="S835" s="307"/>
      <c r="T835" s="226">
        <f t="shared" si="51"/>
        <v>832</v>
      </c>
      <c r="U835" s="224">
        <f t="shared" ref="U835:U898" si="52">+MOD(INT(T835/6),ColumnsOfMounts)</f>
        <v>0</v>
      </c>
      <c r="V835" s="225">
        <f t="shared" ref="V835:V898" si="53">+MOD(INT(T835/6/ColumnsOfMounts),RowsOfMounts)</f>
        <v>1</v>
      </c>
      <c r="W835" s="239">
        <f ca="1">$U835*EWSpacingFt+XOffset+(PanArrayWidthHighEndFt-PanArrayWidthLowEndFt)/2</f>
        <v>0</v>
      </c>
      <c r="X835" s="243">
        <f ca="1">$V835*NSSpacingFt+YOffset+0</f>
        <v>17.999999999999989</v>
      </c>
      <c r="Y835" s="247">
        <f ca="1">+$V835*NSGradeFt+PedHeight+0</f>
        <v>7.401410761154855</v>
      </c>
      <c r="Z835" s="214">
        <f ca="1">+$W835</f>
        <v>0</v>
      </c>
      <c r="AA835" s="214">
        <f ca="1">+$Y835</f>
        <v>7.401410761154855</v>
      </c>
      <c r="AB835" s="214">
        <f ca="1">+$X835</f>
        <v>17.999999999999989</v>
      </c>
      <c r="AC835" s="214">
        <f ca="1">+$W835-XOffset</f>
        <v>0</v>
      </c>
    </row>
    <row r="836" spans="19:29" ht="8.4" customHeight="1">
      <c r="S836" s="307"/>
      <c r="T836" s="226">
        <f t="shared" si="51"/>
        <v>833</v>
      </c>
      <c r="U836" s="224">
        <f t="shared" si="52"/>
        <v>0</v>
      </c>
      <c r="V836" s="225">
        <f t="shared" si="53"/>
        <v>1</v>
      </c>
      <c r="W836" s="217"/>
      <c r="X836" s="217"/>
      <c r="Y836" s="217"/>
      <c r="Z836" s="214"/>
      <c r="AA836" s="214"/>
      <c r="AB836" s="214"/>
      <c r="AC836" s="214"/>
    </row>
    <row r="837" spans="19:29" ht="8.4" customHeight="1">
      <c r="S837" s="307">
        <f>INT((T837-0)/6)+1</f>
        <v>140</v>
      </c>
      <c r="T837" s="226">
        <f t="shared" si="51"/>
        <v>834</v>
      </c>
      <c r="U837" s="224">
        <f t="shared" si="52"/>
        <v>1</v>
      </c>
      <c r="V837" s="225">
        <f t="shared" si="53"/>
        <v>1</v>
      </c>
      <c r="W837" s="233">
        <f ca="1">$U837*EWSpacingFt+XOffset+(PanArrayWidthHighEndFt-PanArrayWidthLowEndFt)/2</f>
        <v>30.000006832286932</v>
      </c>
      <c r="X837" s="234">
        <f ca="1">$V837*NSSpacingFt+YOffset+0</f>
        <v>17.999999999999989</v>
      </c>
      <c r="Y837" s="235">
        <f ca="1">+$V837*NSGradeFt+PedHeight+0</f>
        <v>7.401410761154855</v>
      </c>
      <c r="Z837" s="214">
        <f ca="1">+$W837</f>
        <v>30.000006832286932</v>
      </c>
      <c r="AA837" s="214">
        <f ca="1">+$Y837</f>
        <v>7.401410761154855</v>
      </c>
      <c r="AB837" s="214">
        <f ca="1">+$X837</f>
        <v>17.999999999999989</v>
      </c>
      <c r="AC837" s="214">
        <f ca="1">+$W837-XOffset</f>
        <v>30.000006832286932</v>
      </c>
    </row>
    <row r="838" spans="19:29" ht="8.4" customHeight="1">
      <c r="S838" s="307"/>
      <c r="T838" s="226">
        <f t="shared" si="51"/>
        <v>835</v>
      </c>
      <c r="U838" s="224">
        <f t="shared" si="52"/>
        <v>1</v>
      </c>
      <c r="V838" s="225">
        <f t="shared" si="53"/>
        <v>1</v>
      </c>
      <c r="W838" s="236">
        <f ca="1">+$U838*EWSpacingFt+XOffset+PanArrayWidthHighEndFt-(PanArrayWidthHighEndFt-PanArrayWidthLowEndFt)/2</f>
        <v>40.802828354596642</v>
      </c>
      <c r="X838" s="240">
        <f ca="1">$V838*NSSpacingFt+YOffset+0</f>
        <v>17.999999999999989</v>
      </c>
      <c r="Y838" s="244">
        <f ca="1">+$V838*NSGradeFt+PedHeight+0</f>
        <v>7.401410761154855</v>
      </c>
      <c r="Z838" s="214">
        <f ca="1">+$W838</f>
        <v>40.802828354596642</v>
      </c>
      <c r="AA838" s="214">
        <f ca="1">+$Y838</f>
        <v>7.401410761154855</v>
      </c>
      <c r="AB838" s="214">
        <f ca="1">+$X838</f>
        <v>17.999999999999989</v>
      </c>
      <c r="AC838" s="214">
        <f ca="1">+$W838-XOffset</f>
        <v>40.802828354596642</v>
      </c>
    </row>
    <row r="839" spans="19:29" ht="8.4" customHeight="1">
      <c r="S839" s="307"/>
      <c r="T839" s="226">
        <f t="shared" si="51"/>
        <v>836</v>
      </c>
      <c r="U839" s="224">
        <f t="shared" si="52"/>
        <v>1</v>
      </c>
      <c r="V839" s="225">
        <f t="shared" si="53"/>
        <v>1</v>
      </c>
      <c r="W839" s="237">
        <f ca="1">$U839*EWSpacingFt+XOffset+PanArrayWidthHighEndFt</f>
        <v>40.802828354596642</v>
      </c>
      <c r="X839" s="241">
        <f ca="1">$V839*NSSpacingFt+YOffset+PanArrayLenFt*COS(RADIANS(Latitude+DecAng))</f>
        <v>34.439632545931751</v>
      </c>
      <c r="Y839" s="245">
        <f ca="1">+$V839*NSGradeFt+PedHeight+PanArrayLenFt*SIN(RADIANS(Latitude+DecAng))</f>
        <v>7.401410761154855</v>
      </c>
      <c r="Z839" s="214">
        <f ca="1">+$W839</f>
        <v>40.802828354596642</v>
      </c>
      <c r="AA839" s="214">
        <f ca="1">+$Y839</f>
        <v>7.401410761154855</v>
      </c>
      <c r="AB839" s="214">
        <f ca="1">+$X839</f>
        <v>34.439632545931751</v>
      </c>
      <c r="AC839" s="214">
        <f ca="1">+$W839-XOffset</f>
        <v>40.802828354596642</v>
      </c>
    </row>
    <row r="840" spans="19:29" ht="8.4" customHeight="1">
      <c r="S840" s="307"/>
      <c r="T840" s="226">
        <f t="shared" si="51"/>
        <v>837</v>
      </c>
      <c r="U840" s="224">
        <f t="shared" si="52"/>
        <v>1</v>
      </c>
      <c r="V840" s="225">
        <f t="shared" si="53"/>
        <v>1</v>
      </c>
      <c r="W840" s="238">
        <f ca="1">$U840*EWSpacingFt+XOffset+0</f>
        <v>30.000006832286932</v>
      </c>
      <c r="X840" s="242">
        <f ca="1">$V840*NSSpacingFt+YOffset+PanArrayLenFt*COS(RADIANS(Latitude+DecAng))</f>
        <v>34.439632545931751</v>
      </c>
      <c r="Y840" s="246">
        <f ca="1">+$V840*NSGradeFt+PedHeight+PanArrayLenFt*SIN(RADIANS(Latitude+DecAng))</f>
        <v>7.401410761154855</v>
      </c>
      <c r="Z840" s="214">
        <f ca="1">+$W840</f>
        <v>30.000006832286932</v>
      </c>
      <c r="AA840" s="214">
        <f ca="1">+$Y840</f>
        <v>7.401410761154855</v>
      </c>
      <c r="AB840" s="214">
        <f ca="1">+$X840</f>
        <v>34.439632545931751</v>
      </c>
      <c r="AC840" s="214">
        <f ca="1">+$W840-XOffset</f>
        <v>30.000006832286932</v>
      </c>
    </row>
    <row r="841" spans="19:29" ht="8.4" customHeight="1">
      <c r="S841" s="307"/>
      <c r="T841" s="226">
        <f t="shared" si="51"/>
        <v>838</v>
      </c>
      <c r="U841" s="224">
        <f t="shared" si="52"/>
        <v>1</v>
      </c>
      <c r="V841" s="225">
        <f t="shared" si="53"/>
        <v>1</v>
      </c>
      <c r="W841" s="239">
        <f ca="1">$U841*EWSpacingFt+XOffset+(PanArrayWidthHighEndFt-PanArrayWidthLowEndFt)/2</f>
        <v>30.000006832286932</v>
      </c>
      <c r="X841" s="243">
        <f ca="1">$V841*NSSpacingFt+YOffset+0</f>
        <v>17.999999999999989</v>
      </c>
      <c r="Y841" s="247">
        <f ca="1">+$V841*NSGradeFt+PedHeight+0</f>
        <v>7.401410761154855</v>
      </c>
      <c r="Z841" s="214">
        <f ca="1">+$W841</f>
        <v>30.000006832286932</v>
      </c>
      <c r="AA841" s="214">
        <f ca="1">+$Y841</f>
        <v>7.401410761154855</v>
      </c>
      <c r="AB841" s="214">
        <f ca="1">+$X841</f>
        <v>17.999999999999989</v>
      </c>
      <c r="AC841" s="214">
        <f ca="1">+$W841-XOffset</f>
        <v>30.000006832286932</v>
      </c>
    </row>
    <row r="842" spans="19:29" ht="8.4" customHeight="1">
      <c r="S842" s="307"/>
      <c r="T842" s="226">
        <f t="shared" si="51"/>
        <v>839</v>
      </c>
      <c r="U842" s="224">
        <f t="shared" si="52"/>
        <v>1</v>
      </c>
      <c r="V842" s="225">
        <f t="shared" si="53"/>
        <v>1</v>
      </c>
      <c r="W842" s="217"/>
      <c r="X842" s="217"/>
      <c r="Y842" s="217"/>
      <c r="Z842" s="214"/>
      <c r="AA842" s="214"/>
      <c r="AB842" s="214"/>
      <c r="AC842" s="214"/>
    </row>
    <row r="843" spans="19:29" ht="8.4" customHeight="1">
      <c r="S843" s="307">
        <f>INT((T843-0)/6)+1</f>
        <v>141</v>
      </c>
      <c r="T843" s="226">
        <f t="shared" si="51"/>
        <v>840</v>
      </c>
      <c r="U843" s="224">
        <f t="shared" si="52"/>
        <v>0</v>
      </c>
      <c r="V843" s="225">
        <f t="shared" si="53"/>
        <v>2</v>
      </c>
      <c r="W843" s="233">
        <f ca="1">$U843*EWSpacingFt+XOffset+(PanArrayWidthHighEndFt-PanArrayWidthLowEndFt)/2</f>
        <v>0</v>
      </c>
      <c r="X843" s="234">
        <f ca="1">$V843*NSSpacingFt+YOffset+0</f>
        <v>35.999999999999979</v>
      </c>
      <c r="Y843" s="235">
        <f ca="1">+$V843*NSGradeFt+PedHeight+0</f>
        <v>7.401410761154855</v>
      </c>
      <c r="Z843" s="214">
        <f ca="1">+$W843</f>
        <v>0</v>
      </c>
      <c r="AA843" s="214">
        <f ca="1">+$Y843</f>
        <v>7.401410761154855</v>
      </c>
      <c r="AB843" s="214">
        <f ca="1">+$X843</f>
        <v>35.999999999999979</v>
      </c>
      <c r="AC843" s="214">
        <f ca="1">+$W843-XOffset</f>
        <v>0</v>
      </c>
    </row>
    <row r="844" spans="19:29" ht="8.4" customHeight="1">
      <c r="S844" s="307"/>
      <c r="T844" s="226">
        <f t="shared" si="51"/>
        <v>841</v>
      </c>
      <c r="U844" s="224">
        <f t="shared" si="52"/>
        <v>0</v>
      </c>
      <c r="V844" s="225">
        <f t="shared" si="53"/>
        <v>2</v>
      </c>
      <c r="W844" s="236">
        <f ca="1">+$U844*EWSpacingFt+XOffset+PanArrayWidthHighEndFt-(PanArrayWidthHighEndFt-PanArrayWidthLowEndFt)/2</f>
        <v>10.80282152230971</v>
      </c>
      <c r="X844" s="240">
        <f ca="1">$V844*NSSpacingFt+YOffset+0</f>
        <v>35.999999999999979</v>
      </c>
      <c r="Y844" s="244">
        <f ca="1">+$V844*NSGradeFt+PedHeight+0</f>
        <v>7.401410761154855</v>
      </c>
      <c r="Z844" s="214">
        <f ca="1">+$W844</f>
        <v>10.80282152230971</v>
      </c>
      <c r="AA844" s="214">
        <f ca="1">+$Y844</f>
        <v>7.401410761154855</v>
      </c>
      <c r="AB844" s="214">
        <f ca="1">+$X844</f>
        <v>35.999999999999979</v>
      </c>
      <c r="AC844" s="214">
        <f ca="1">+$W844-XOffset</f>
        <v>10.80282152230971</v>
      </c>
    </row>
    <row r="845" spans="19:29" ht="8.4" customHeight="1">
      <c r="S845" s="307"/>
      <c r="T845" s="226">
        <f t="shared" si="51"/>
        <v>842</v>
      </c>
      <c r="U845" s="224">
        <f t="shared" si="52"/>
        <v>0</v>
      </c>
      <c r="V845" s="225">
        <f t="shared" si="53"/>
        <v>2</v>
      </c>
      <c r="W845" s="237">
        <f ca="1">$U845*EWSpacingFt+XOffset+PanArrayWidthHighEndFt</f>
        <v>10.80282152230971</v>
      </c>
      <c r="X845" s="241">
        <f ca="1">$V845*NSSpacingFt+YOffset+PanArrayLenFt*COS(RADIANS(Latitude+DecAng))</f>
        <v>52.439632545931744</v>
      </c>
      <c r="Y845" s="245">
        <f ca="1">+$V845*NSGradeFt+PedHeight+PanArrayLenFt*SIN(RADIANS(Latitude+DecAng))</f>
        <v>7.401410761154855</v>
      </c>
      <c r="Z845" s="214">
        <f ca="1">+$W845</f>
        <v>10.80282152230971</v>
      </c>
      <c r="AA845" s="214">
        <f ca="1">+$Y845</f>
        <v>7.401410761154855</v>
      </c>
      <c r="AB845" s="214">
        <f ca="1">+$X845</f>
        <v>52.439632545931744</v>
      </c>
      <c r="AC845" s="214">
        <f ca="1">+$W845-XOffset</f>
        <v>10.80282152230971</v>
      </c>
    </row>
    <row r="846" spans="19:29" ht="8.4" customHeight="1">
      <c r="S846" s="307"/>
      <c r="T846" s="226">
        <f t="shared" si="51"/>
        <v>843</v>
      </c>
      <c r="U846" s="224">
        <f t="shared" si="52"/>
        <v>0</v>
      </c>
      <c r="V846" s="225">
        <f t="shared" si="53"/>
        <v>2</v>
      </c>
      <c r="W846" s="238">
        <f ca="1">$U846*EWSpacingFt+XOffset+0</f>
        <v>0</v>
      </c>
      <c r="X846" s="242">
        <f ca="1">$V846*NSSpacingFt+YOffset+PanArrayLenFt*COS(RADIANS(Latitude+DecAng))</f>
        <v>52.439632545931744</v>
      </c>
      <c r="Y846" s="246">
        <f ca="1">+$V846*NSGradeFt+PedHeight+PanArrayLenFt*SIN(RADIANS(Latitude+DecAng))</f>
        <v>7.401410761154855</v>
      </c>
      <c r="Z846" s="214">
        <f ca="1">+$W846</f>
        <v>0</v>
      </c>
      <c r="AA846" s="214">
        <f ca="1">+$Y846</f>
        <v>7.401410761154855</v>
      </c>
      <c r="AB846" s="214">
        <f ca="1">+$X846</f>
        <v>52.439632545931744</v>
      </c>
      <c r="AC846" s="214">
        <f ca="1">+$W846-XOffset</f>
        <v>0</v>
      </c>
    </row>
    <row r="847" spans="19:29" ht="8.4" customHeight="1">
      <c r="S847" s="307"/>
      <c r="T847" s="226">
        <f t="shared" si="51"/>
        <v>844</v>
      </c>
      <c r="U847" s="224">
        <f t="shared" si="52"/>
        <v>0</v>
      </c>
      <c r="V847" s="225">
        <f t="shared" si="53"/>
        <v>2</v>
      </c>
      <c r="W847" s="239">
        <f ca="1">$U847*EWSpacingFt+XOffset+(PanArrayWidthHighEndFt-PanArrayWidthLowEndFt)/2</f>
        <v>0</v>
      </c>
      <c r="X847" s="243">
        <f ca="1">$V847*NSSpacingFt+YOffset+0</f>
        <v>35.999999999999979</v>
      </c>
      <c r="Y847" s="247">
        <f ca="1">+$V847*NSGradeFt+PedHeight+0</f>
        <v>7.401410761154855</v>
      </c>
      <c r="Z847" s="214">
        <f ca="1">+$W847</f>
        <v>0</v>
      </c>
      <c r="AA847" s="214">
        <f ca="1">+$Y847</f>
        <v>7.401410761154855</v>
      </c>
      <c r="AB847" s="214">
        <f ca="1">+$X847</f>
        <v>35.999999999999979</v>
      </c>
      <c r="AC847" s="214">
        <f ca="1">+$W847-XOffset</f>
        <v>0</v>
      </c>
    </row>
    <row r="848" spans="19:29" ht="8.4" customHeight="1">
      <c r="S848" s="307"/>
      <c r="T848" s="226">
        <f t="shared" si="51"/>
        <v>845</v>
      </c>
      <c r="U848" s="224">
        <f t="shared" si="52"/>
        <v>0</v>
      </c>
      <c r="V848" s="225">
        <f t="shared" si="53"/>
        <v>2</v>
      </c>
      <c r="W848" s="217"/>
      <c r="X848" s="217"/>
      <c r="Y848" s="217"/>
      <c r="Z848" s="214"/>
      <c r="AA848" s="214"/>
      <c r="AB848" s="214"/>
      <c r="AC848" s="214"/>
    </row>
    <row r="849" spans="19:29" ht="8.4" customHeight="1">
      <c r="S849" s="307">
        <f>INT((T849-0)/6)+1</f>
        <v>142</v>
      </c>
      <c r="T849" s="226">
        <f t="shared" si="51"/>
        <v>846</v>
      </c>
      <c r="U849" s="224">
        <f t="shared" si="52"/>
        <v>1</v>
      </c>
      <c r="V849" s="225">
        <f t="shared" si="53"/>
        <v>2</v>
      </c>
      <c r="W849" s="233">
        <f ca="1">$U849*EWSpacingFt+XOffset+(PanArrayWidthHighEndFt-PanArrayWidthLowEndFt)/2</f>
        <v>30.000006832286932</v>
      </c>
      <c r="X849" s="234">
        <f ca="1">$V849*NSSpacingFt+YOffset+0</f>
        <v>35.999999999999979</v>
      </c>
      <c r="Y849" s="235">
        <f ca="1">+$V849*NSGradeFt+PedHeight+0</f>
        <v>7.401410761154855</v>
      </c>
      <c r="Z849" s="214">
        <f ca="1">+$W849</f>
        <v>30.000006832286932</v>
      </c>
      <c r="AA849" s="214">
        <f ca="1">+$Y849</f>
        <v>7.401410761154855</v>
      </c>
      <c r="AB849" s="214">
        <f ca="1">+$X849</f>
        <v>35.999999999999979</v>
      </c>
      <c r="AC849" s="214">
        <f ca="1">+$W849-XOffset</f>
        <v>30.000006832286932</v>
      </c>
    </row>
    <row r="850" spans="19:29" ht="8.4" customHeight="1">
      <c r="S850" s="307"/>
      <c r="T850" s="226">
        <f t="shared" si="51"/>
        <v>847</v>
      </c>
      <c r="U850" s="224">
        <f t="shared" si="52"/>
        <v>1</v>
      </c>
      <c r="V850" s="225">
        <f t="shared" si="53"/>
        <v>2</v>
      </c>
      <c r="W850" s="236">
        <f ca="1">+$U850*EWSpacingFt+XOffset+PanArrayWidthHighEndFt-(PanArrayWidthHighEndFt-PanArrayWidthLowEndFt)/2</f>
        <v>40.802828354596642</v>
      </c>
      <c r="X850" s="240">
        <f ca="1">$V850*NSSpacingFt+YOffset+0</f>
        <v>35.999999999999979</v>
      </c>
      <c r="Y850" s="244">
        <f ca="1">+$V850*NSGradeFt+PedHeight+0</f>
        <v>7.401410761154855</v>
      </c>
      <c r="Z850" s="214">
        <f ca="1">+$W850</f>
        <v>40.802828354596642</v>
      </c>
      <c r="AA850" s="214">
        <f ca="1">+$Y850</f>
        <v>7.401410761154855</v>
      </c>
      <c r="AB850" s="214">
        <f ca="1">+$X850</f>
        <v>35.999999999999979</v>
      </c>
      <c r="AC850" s="214">
        <f ca="1">+$W850-XOffset</f>
        <v>40.802828354596642</v>
      </c>
    </row>
    <row r="851" spans="19:29" ht="8.4" customHeight="1">
      <c r="S851" s="307"/>
      <c r="T851" s="226">
        <f t="shared" si="51"/>
        <v>848</v>
      </c>
      <c r="U851" s="224">
        <f t="shared" si="52"/>
        <v>1</v>
      </c>
      <c r="V851" s="225">
        <f t="shared" si="53"/>
        <v>2</v>
      </c>
      <c r="W851" s="237">
        <f ca="1">$U851*EWSpacingFt+XOffset+PanArrayWidthHighEndFt</f>
        <v>40.802828354596642</v>
      </c>
      <c r="X851" s="241">
        <f ca="1">$V851*NSSpacingFt+YOffset+PanArrayLenFt*COS(RADIANS(Latitude+DecAng))</f>
        <v>52.439632545931744</v>
      </c>
      <c r="Y851" s="245">
        <f ca="1">+$V851*NSGradeFt+PedHeight+PanArrayLenFt*SIN(RADIANS(Latitude+DecAng))</f>
        <v>7.401410761154855</v>
      </c>
      <c r="Z851" s="214">
        <f ca="1">+$W851</f>
        <v>40.802828354596642</v>
      </c>
      <c r="AA851" s="214">
        <f ca="1">+$Y851</f>
        <v>7.401410761154855</v>
      </c>
      <c r="AB851" s="214">
        <f ca="1">+$X851</f>
        <v>52.439632545931744</v>
      </c>
      <c r="AC851" s="214">
        <f ca="1">+$W851-XOffset</f>
        <v>40.802828354596642</v>
      </c>
    </row>
    <row r="852" spans="19:29" ht="8.4" customHeight="1">
      <c r="S852" s="307"/>
      <c r="T852" s="226">
        <f t="shared" si="51"/>
        <v>849</v>
      </c>
      <c r="U852" s="224">
        <f t="shared" si="52"/>
        <v>1</v>
      </c>
      <c r="V852" s="225">
        <f t="shared" si="53"/>
        <v>2</v>
      </c>
      <c r="W852" s="238">
        <f ca="1">$U852*EWSpacingFt+XOffset+0</f>
        <v>30.000006832286932</v>
      </c>
      <c r="X852" s="242">
        <f ca="1">$V852*NSSpacingFt+YOffset+PanArrayLenFt*COS(RADIANS(Latitude+DecAng))</f>
        <v>52.439632545931744</v>
      </c>
      <c r="Y852" s="246">
        <f ca="1">+$V852*NSGradeFt+PedHeight+PanArrayLenFt*SIN(RADIANS(Latitude+DecAng))</f>
        <v>7.401410761154855</v>
      </c>
      <c r="Z852" s="214">
        <f ca="1">+$W852</f>
        <v>30.000006832286932</v>
      </c>
      <c r="AA852" s="214">
        <f ca="1">+$Y852</f>
        <v>7.401410761154855</v>
      </c>
      <c r="AB852" s="214">
        <f ca="1">+$X852</f>
        <v>52.439632545931744</v>
      </c>
      <c r="AC852" s="214">
        <f ca="1">+$W852-XOffset</f>
        <v>30.000006832286932</v>
      </c>
    </row>
    <row r="853" spans="19:29" ht="8.4" customHeight="1">
      <c r="S853" s="307"/>
      <c r="T853" s="226">
        <f t="shared" ref="T853:T916" si="54">+T852+1</f>
        <v>850</v>
      </c>
      <c r="U853" s="224">
        <f t="shared" si="52"/>
        <v>1</v>
      </c>
      <c r="V853" s="225">
        <f t="shared" si="53"/>
        <v>2</v>
      </c>
      <c r="W853" s="239">
        <f ca="1">$U853*EWSpacingFt+XOffset+(PanArrayWidthHighEndFt-PanArrayWidthLowEndFt)/2</f>
        <v>30.000006832286932</v>
      </c>
      <c r="X853" s="243">
        <f ca="1">$V853*NSSpacingFt+YOffset+0</f>
        <v>35.999999999999979</v>
      </c>
      <c r="Y853" s="247">
        <f ca="1">+$V853*NSGradeFt+PedHeight+0</f>
        <v>7.401410761154855</v>
      </c>
      <c r="Z853" s="214">
        <f ca="1">+$W853</f>
        <v>30.000006832286932</v>
      </c>
      <c r="AA853" s="214">
        <f ca="1">+$Y853</f>
        <v>7.401410761154855</v>
      </c>
      <c r="AB853" s="214">
        <f ca="1">+$X853</f>
        <v>35.999999999999979</v>
      </c>
      <c r="AC853" s="214">
        <f ca="1">+$W853-XOffset</f>
        <v>30.000006832286932</v>
      </c>
    </row>
    <row r="854" spans="19:29" ht="8.4" customHeight="1">
      <c r="S854" s="307"/>
      <c r="T854" s="226">
        <f t="shared" si="54"/>
        <v>851</v>
      </c>
      <c r="U854" s="224">
        <f t="shared" si="52"/>
        <v>1</v>
      </c>
      <c r="V854" s="225">
        <f t="shared" si="53"/>
        <v>2</v>
      </c>
      <c r="W854" s="217"/>
      <c r="X854" s="217"/>
      <c r="Y854" s="217"/>
      <c r="Z854" s="214"/>
      <c r="AA854" s="214"/>
      <c r="AB854" s="214"/>
      <c r="AC854" s="214"/>
    </row>
    <row r="855" spans="19:29" ht="8.4" customHeight="1">
      <c r="S855" s="307">
        <f>INT((T855-0)/6)+1</f>
        <v>143</v>
      </c>
      <c r="T855" s="226">
        <f t="shared" si="54"/>
        <v>852</v>
      </c>
      <c r="U855" s="224">
        <f t="shared" si="52"/>
        <v>0</v>
      </c>
      <c r="V855" s="225">
        <f t="shared" si="53"/>
        <v>3</v>
      </c>
      <c r="W855" s="233">
        <f ca="1">$U855*EWSpacingFt+XOffset+(PanArrayWidthHighEndFt-PanArrayWidthLowEndFt)/2</f>
        <v>0</v>
      </c>
      <c r="X855" s="234">
        <f ca="1">$V855*NSSpacingFt+YOffset+0</f>
        <v>53.999999999999972</v>
      </c>
      <c r="Y855" s="235">
        <f ca="1">+$V855*NSGradeFt+PedHeight+0</f>
        <v>7.401410761154855</v>
      </c>
      <c r="Z855" s="214">
        <f ca="1">+$W855</f>
        <v>0</v>
      </c>
      <c r="AA855" s="214">
        <f ca="1">+$Y855</f>
        <v>7.401410761154855</v>
      </c>
      <c r="AB855" s="214">
        <f ca="1">+$X855</f>
        <v>53.999999999999972</v>
      </c>
      <c r="AC855" s="214">
        <f ca="1">+$W855-XOffset</f>
        <v>0</v>
      </c>
    </row>
    <row r="856" spans="19:29" ht="8.4" customHeight="1">
      <c r="S856" s="307"/>
      <c r="T856" s="226">
        <f t="shared" si="54"/>
        <v>853</v>
      </c>
      <c r="U856" s="224">
        <f t="shared" si="52"/>
        <v>0</v>
      </c>
      <c r="V856" s="225">
        <f t="shared" si="53"/>
        <v>3</v>
      </c>
      <c r="W856" s="236">
        <f ca="1">+$U856*EWSpacingFt+XOffset+PanArrayWidthHighEndFt-(PanArrayWidthHighEndFt-PanArrayWidthLowEndFt)/2</f>
        <v>10.80282152230971</v>
      </c>
      <c r="X856" s="240">
        <f ca="1">$V856*NSSpacingFt+YOffset+0</f>
        <v>53.999999999999972</v>
      </c>
      <c r="Y856" s="244">
        <f ca="1">+$V856*NSGradeFt+PedHeight+0</f>
        <v>7.401410761154855</v>
      </c>
      <c r="Z856" s="214">
        <f ca="1">+$W856</f>
        <v>10.80282152230971</v>
      </c>
      <c r="AA856" s="214">
        <f ca="1">+$Y856</f>
        <v>7.401410761154855</v>
      </c>
      <c r="AB856" s="214">
        <f ca="1">+$X856</f>
        <v>53.999999999999972</v>
      </c>
      <c r="AC856" s="214">
        <f ca="1">+$W856-XOffset</f>
        <v>10.80282152230971</v>
      </c>
    </row>
    <row r="857" spans="19:29" ht="8.4" customHeight="1">
      <c r="S857" s="307"/>
      <c r="T857" s="226">
        <f t="shared" si="54"/>
        <v>854</v>
      </c>
      <c r="U857" s="224">
        <f t="shared" si="52"/>
        <v>0</v>
      </c>
      <c r="V857" s="225">
        <f t="shared" si="53"/>
        <v>3</v>
      </c>
      <c r="W857" s="237">
        <f ca="1">$U857*EWSpacingFt+XOffset+PanArrayWidthHighEndFt</f>
        <v>10.80282152230971</v>
      </c>
      <c r="X857" s="241">
        <f ca="1">$V857*NSSpacingFt+YOffset+PanArrayLenFt*COS(RADIANS(Latitude+DecAng))</f>
        <v>70.43963254593173</v>
      </c>
      <c r="Y857" s="245">
        <f ca="1">+$V857*NSGradeFt+PedHeight+PanArrayLenFt*SIN(RADIANS(Latitude+DecAng))</f>
        <v>7.401410761154855</v>
      </c>
      <c r="Z857" s="214">
        <f ca="1">+$W857</f>
        <v>10.80282152230971</v>
      </c>
      <c r="AA857" s="214">
        <f ca="1">+$Y857</f>
        <v>7.401410761154855</v>
      </c>
      <c r="AB857" s="214">
        <f ca="1">+$X857</f>
        <v>70.43963254593173</v>
      </c>
      <c r="AC857" s="214">
        <f ca="1">+$W857-XOffset</f>
        <v>10.80282152230971</v>
      </c>
    </row>
    <row r="858" spans="19:29" ht="8.4" customHeight="1">
      <c r="S858" s="307"/>
      <c r="T858" s="226">
        <f t="shared" si="54"/>
        <v>855</v>
      </c>
      <c r="U858" s="224">
        <f t="shared" si="52"/>
        <v>0</v>
      </c>
      <c r="V858" s="225">
        <f t="shared" si="53"/>
        <v>3</v>
      </c>
      <c r="W858" s="238">
        <f ca="1">$U858*EWSpacingFt+XOffset+0</f>
        <v>0</v>
      </c>
      <c r="X858" s="242">
        <f ca="1">$V858*NSSpacingFt+YOffset+PanArrayLenFt*COS(RADIANS(Latitude+DecAng))</f>
        <v>70.43963254593173</v>
      </c>
      <c r="Y858" s="246">
        <f ca="1">+$V858*NSGradeFt+PedHeight+PanArrayLenFt*SIN(RADIANS(Latitude+DecAng))</f>
        <v>7.401410761154855</v>
      </c>
      <c r="Z858" s="214">
        <f ca="1">+$W858</f>
        <v>0</v>
      </c>
      <c r="AA858" s="214">
        <f ca="1">+$Y858</f>
        <v>7.401410761154855</v>
      </c>
      <c r="AB858" s="214">
        <f ca="1">+$X858</f>
        <v>70.43963254593173</v>
      </c>
      <c r="AC858" s="214">
        <f ca="1">+$W858-XOffset</f>
        <v>0</v>
      </c>
    </row>
    <row r="859" spans="19:29" ht="8.4" customHeight="1">
      <c r="S859" s="307"/>
      <c r="T859" s="226">
        <f t="shared" si="54"/>
        <v>856</v>
      </c>
      <c r="U859" s="224">
        <f t="shared" si="52"/>
        <v>0</v>
      </c>
      <c r="V859" s="225">
        <f t="shared" si="53"/>
        <v>3</v>
      </c>
      <c r="W859" s="239">
        <f ca="1">$U859*EWSpacingFt+XOffset+(PanArrayWidthHighEndFt-PanArrayWidthLowEndFt)/2</f>
        <v>0</v>
      </c>
      <c r="X859" s="243">
        <f ca="1">$V859*NSSpacingFt+YOffset+0</f>
        <v>53.999999999999972</v>
      </c>
      <c r="Y859" s="247">
        <f ca="1">+$V859*NSGradeFt+PedHeight+0</f>
        <v>7.401410761154855</v>
      </c>
      <c r="Z859" s="214">
        <f ca="1">+$W859</f>
        <v>0</v>
      </c>
      <c r="AA859" s="214">
        <f ca="1">+$Y859</f>
        <v>7.401410761154855</v>
      </c>
      <c r="AB859" s="214">
        <f ca="1">+$X859</f>
        <v>53.999999999999972</v>
      </c>
      <c r="AC859" s="214">
        <f ca="1">+$W859-XOffset</f>
        <v>0</v>
      </c>
    </row>
    <row r="860" spans="19:29" ht="8.4" customHeight="1">
      <c r="S860" s="307"/>
      <c r="T860" s="226">
        <f t="shared" si="54"/>
        <v>857</v>
      </c>
      <c r="U860" s="224">
        <f t="shared" si="52"/>
        <v>0</v>
      </c>
      <c r="V860" s="225">
        <f t="shared" si="53"/>
        <v>3</v>
      </c>
      <c r="W860" s="217"/>
      <c r="X860" s="217"/>
      <c r="Y860" s="217"/>
      <c r="Z860" s="214"/>
      <c r="AA860" s="214"/>
      <c r="AB860" s="214"/>
      <c r="AC860" s="214"/>
    </row>
    <row r="861" spans="19:29" ht="8.4" customHeight="1">
      <c r="S861" s="307">
        <f>INT((T861-0)/6)+1</f>
        <v>144</v>
      </c>
      <c r="T861" s="226">
        <f t="shared" si="54"/>
        <v>858</v>
      </c>
      <c r="U861" s="224">
        <f t="shared" si="52"/>
        <v>1</v>
      </c>
      <c r="V861" s="225">
        <f t="shared" si="53"/>
        <v>3</v>
      </c>
      <c r="W861" s="233">
        <f ca="1">$U861*EWSpacingFt+XOffset+(PanArrayWidthHighEndFt-PanArrayWidthLowEndFt)/2</f>
        <v>30.000006832286932</v>
      </c>
      <c r="X861" s="234">
        <f ca="1">$V861*NSSpacingFt+YOffset+0</f>
        <v>53.999999999999972</v>
      </c>
      <c r="Y861" s="235">
        <f ca="1">+$V861*NSGradeFt+PedHeight+0</f>
        <v>7.401410761154855</v>
      </c>
      <c r="Z861" s="214">
        <f ca="1">+$W861</f>
        <v>30.000006832286932</v>
      </c>
      <c r="AA861" s="214">
        <f ca="1">+$Y861</f>
        <v>7.401410761154855</v>
      </c>
      <c r="AB861" s="214">
        <f ca="1">+$X861</f>
        <v>53.999999999999972</v>
      </c>
      <c r="AC861" s="214">
        <f ca="1">+$W861-XOffset</f>
        <v>30.000006832286932</v>
      </c>
    </row>
    <row r="862" spans="19:29" ht="8.4" customHeight="1">
      <c r="S862" s="307"/>
      <c r="T862" s="226">
        <f t="shared" si="54"/>
        <v>859</v>
      </c>
      <c r="U862" s="224">
        <f t="shared" si="52"/>
        <v>1</v>
      </c>
      <c r="V862" s="225">
        <f t="shared" si="53"/>
        <v>3</v>
      </c>
      <c r="W862" s="236">
        <f ca="1">+$U862*EWSpacingFt+XOffset+PanArrayWidthHighEndFt-(PanArrayWidthHighEndFt-PanArrayWidthLowEndFt)/2</f>
        <v>40.802828354596642</v>
      </c>
      <c r="X862" s="240">
        <f ca="1">$V862*NSSpacingFt+YOffset+0</f>
        <v>53.999999999999972</v>
      </c>
      <c r="Y862" s="244">
        <f ca="1">+$V862*NSGradeFt+PedHeight+0</f>
        <v>7.401410761154855</v>
      </c>
      <c r="Z862" s="214">
        <f ca="1">+$W862</f>
        <v>40.802828354596642</v>
      </c>
      <c r="AA862" s="214">
        <f ca="1">+$Y862</f>
        <v>7.401410761154855</v>
      </c>
      <c r="AB862" s="214">
        <f ca="1">+$X862</f>
        <v>53.999999999999972</v>
      </c>
      <c r="AC862" s="214">
        <f ca="1">+$W862-XOffset</f>
        <v>40.802828354596642</v>
      </c>
    </row>
    <row r="863" spans="19:29" ht="8.4" customHeight="1">
      <c r="S863" s="307"/>
      <c r="T863" s="226">
        <f t="shared" si="54"/>
        <v>860</v>
      </c>
      <c r="U863" s="224">
        <f t="shared" si="52"/>
        <v>1</v>
      </c>
      <c r="V863" s="225">
        <f t="shared" si="53"/>
        <v>3</v>
      </c>
      <c r="W863" s="237">
        <f ca="1">$U863*EWSpacingFt+XOffset+PanArrayWidthHighEndFt</f>
        <v>40.802828354596642</v>
      </c>
      <c r="X863" s="241">
        <f ca="1">$V863*NSSpacingFt+YOffset+PanArrayLenFt*COS(RADIANS(Latitude+DecAng))</f>
        <v>70.43963254593173</v>
      </c>
      <c r="Y863" s="245">
        <f ca="1">+$V863*NSGradeFt+PedHeight+PanArrayLenFt*SIN(RADIANS(Latitude+DecAng))</f>
        <v>7.401410761154855</v>
      </c>
      <c r="Z863" s="214">
        <f ca="1">+$W863</f>
        <v>40.802828354596642</v>
      </c>
      <c r="AA863" s="214">
        <f ca="1">+$Y863</f>
        <v>7.401410761154855</v>
      </c>
      <c r="AB863" s="214">
        <f ca="1">+$X863</f>
        <v>70.43963254593173</v>
      </c>
      <c r="AC863" s="214">
        <f ca="1">+$W863-XOffset</f>
        <v>40.802828354596642</v>
      </c>
    </row>
    <row r="864" spans="19:29" ht="8.4" customHeight="1">
      <c r="S864" s="307"/>
      <c r="T864" s="226">
        <f t="shared" si="54"/>
        <v>861</v>
      </c>
      <c r="U864" s="224">
        <f t="shared" si="52"/>
        <v>1</v>
      </c>
      <c r="V864" s="225">
        <f t="shared" si="53"/>
        <v>3</v>
      </c>
      <c r="W864" s="238">
        <f ca="1">$U864*EWSpacingFt+XOffset+0</f>
        <v>30.000006832286932</v>
      </c>
      <c r="X864" s="242">
        <f ca="1">$V864*NSSpacingFt+YOffset+PanArrayLenFt*COS(RADIANS(Latitude+DecAng))</f>
        <v>70.43963254593173</v>
      </c>
      <c r="Y864" s="246">
        <f ca="1">+$V864*NSGradeFt+PedHeight+PanArrayLenFt*SIN(RADIANS(Latitude+DecAng))</f>
        <v>7.401410761154855</v>
      </c>
      <c r="Z864" s="214">
        <f ca="1">+$W864</f>
        <v>30.000006832286932</v>
      </c>
      <c r="AA864" s="214">
        <f ca="1">+$Y864</f>
        <v>7.401410761154855</v>
      </c>
      <c r="AB864" s="214">
        <f ca="1">+$X864</f>
        <v>70.43963254593173</v>
      </c>
      <c r="AC864" s="214">
        <f ca="1">+$W864-XOffset</f>
        <v>30.000006832286932</v>
      </c>
    </row>
    <row r="865" spans="19:29" ht="8.4" customHeight="1">
      <c r="S865" s="307"/>
      <c r="T865" s="226">
        <f t="shared" si="54"/>
        <v>862</v>
      </c>
      <c r="U865" s="224">
        <f t="shared" si="52"/>
        <v>1</v>
      </c>
      <c r="V865" s="225">
        <f t="shared" si="53"/>
        <v>3</v>
      </c>
      <c r="W865" s="239">
        <f ca="1">$U865*EWSpacingFt+XOffset+(PanArrayWidthHighEndFt-PanArrayWidthLowEndFt)/2</f>
        <v>30.000006832286932</v>
      </c>
      <c r="X865" s="243">
        <f ca="1">$V865*NSSpacingFt+YOffset+0</f>
        <v>53.999999999999972</v>
      </c>
      <c r="Y865" s="247">
        <f ca="1">+$V865*NSGradeFt+PedHeight+0</f>
        <v>7.401410761154855</v>
      </c>
      <c r="Z865" s="214">
        <f ca="1">+$W865</f>
        <v>30.000006832286932</v>
      </c>
      <c r="AA865" s="214">
        <f ca="1">+$Y865</f>
        <v>7.401410761154855</v>
      </c>
      <c r="AB865" s="214">
        <f ca="1">+$X865</f>
        <v>53.999999999999972</v>
      </c>
      <c r="AC865" s="214">
        <f ca="1">+$W865-XOffset</f>
        <v>30.000006832286932</v>
      </c>
    </row>
    <row r="866" spans="19:29" ht="8.4" customHeight="1">
      <c r="S866" s="307"/>
      <c r="T866" s="226">
        <f t="shared" si="54"/>
        <v>863</v>
      </c>
      <c r="U866" s="224">
        <f t="shared" si="52"/>
        <v>1</v>
      </c>
      <c r="V866" s="225">
        <f t="shared" si="53"/>
        <v>3</v>
      </c>
      <c r="W866" s="217"/>
      <c r="X866" s="217"/>
      <c r="Y866" s="217"/>
      <c r="Z866" s="214"/>
      <c r="AA866" s="214"/>
      <c r="AB866" s="214"/>
      <c r="AC866" s="214"/>
    </row>
    <row r="867" spans="19:29" ht="8.4" customHeight="1">
      <c r="S867" s="307">
        <f>INT((T867-0)/6)+1</f>
        <v>145</v>
      </c>
      <c r="T867" s="226">
        <f t="shared" si="54"/>
        <v>864</v>
      </c>
      <c r="U867" s="224">
        <f t="shared" si="52"/>
        <v>0</v>
      </c>
      <c r="V867" s="225">
        <f t="shared" si="53"/>
        <v>0</v>
      </c>
      <c r="W867" s="233">
        <f ca="1">$U867*EWSpacingFt+XOffset+(PanArrayWidthHighEndFt-PanArrayWidthLowEndFt)/2</f>
        <v>0</v>
      </c>
      <c r="X867" s="234">
        <f ca="1">$V867*NSSpacingFt+YOffset+0</f>
        <v>0</v>
      </c>
      <c r="Y867" s="235">
        <f ca="1">+$V867*NSGradeFt+PedHeight+0</f>
        <v>7.401410761154855</v>
      </c>
      <c r="Z867" s="214">
        <f ca="1">+$W867</f>
        <v>0</v>
      </c>
      <c r="AA867" s="214">
        <f ca="1">+$Y867</f>
        <v>7.401410761154855</v>
      </c>
      <c r="AB867" s="214">
        <f ca="1">+$X867</f>
        <v>0</v>
      </c>
      <c r="AC867" s="214">
        <f ca="1">+$W867-XOffset</f>
        <v>0</v>
      </c>
    </row>
    <row r="868" spans="19:29" ht="8.4" customHeight="1">
      <c r="S868" s="307"/>
      <c r="T868" s="226">
        <f t="shared" si="54"/>
        <v>865</v>
      </c>
      <c r="U868" s="224">
        <f t="shared" si="52"/>
        <v>0</v>
      </c>
      <c r="V868" s="225">
        <f t="shared" si="53"/>
        <v>0</v>
      </c>
      <c r="W868" s="236">
        <f ca="1">+$U868*EWSpacingFt+XOffset+PanArrayWidthHighEndFt-(PanArrayWidthHighEndFt-PanArrayWidthLowEndFt)/2</f>
        <v>10.80282152230971</v>
      </c>
      <c r="X868" s="240">
        <f ca="1">$V868*NSSpacingFt+YOffset+0</f>
        <v>0</v>
      </c>
      <c r="Y868" s="244">
        <f ca="1">+$V868*NSGradeFt+PedHeight+0</f>
        <v>7.401410761154855</v>
      </c>
      <c r="Z868" s="214">
        <f ca="1">+$W868</f>
        <v>10.80282152230971</v>
      </c>
      <c r="AA868" s="214">
        <f ca="1">+$Y868</f>
        <v>7.401410761154855</v>
      </c>
      <c r="AB868" s="214">
        <f ca="1">+$X868</f>
        <v>0</v>
      </c>
      <c r="AC868" s="214">
        <f ca="1">+$W868-XOffset</f>
        <v>10.80282152230971</v>
      </c>
    </row>
    <row r="869" spans="19:29" ht="8.4" customHeight="1">
      <c r="S869" s="307"/>
      <c r="T869" s="226">
        <f t="shared" si="54"/>
        <v>866</v>
      </c>
      <c r="U869" s="224">
        <f t="shared" si="52"/>
        <v>0</v>
      </c>
      <c r="V869" s="225">
        <f t="shared" si="53"/>
        <v>0</v>
      </c>
      <c r="W869" s="237">
        <f ca="1">$U869*EWSpacingFt+XOffset+PanArrayWidthHighEndFt</f>
        <v>10.80282152230971</v>
      </c>
      <c r="X869" s="241">
        <f ca="1">$V869*NSSpacingFt+YOffset+PanArrayLenFt*COS(RADIANS(Latitude+DecAng))</f>
        <v>16.439632545931762</v>
      </c>
      <c r="Y869" s="245">
        <f ca="1">+$V869*NSGradeFt+PedHeight+PanArrayLenFt*SIN(RADIANS(Latitude+DecAng))</f>
        <v>7.401410761154855</v>
      </c>
      <c r="Z869" s="214">
        <f ca="1">+$W869</f>
        <v>10.80282152230971</v>
      </c>
      <c r="AA869" s="214">
        <f ca="1">+$Y869</f>
        <v>7.401410761154855</v>
      </c>
      <c r="AB869" s="214">
        <f ca="1">+$X869</f>
        <v>16.439632545931762</v>
      </c>
      <c r="AC869" s="214">
        <f ca="1">+$W869-XOffset</f>
        <v>10.80282152230971</v>
      </c>
    </row>
    <row r="870" spans="19:29" ht="8.4" customHeight="1">
      <c r="S870" s="307"/>
      <c r="T870" s="226">
        <f t="shared" si="54"/>
        <v>867</v>
      </c>
      <c r="U870" s="224">
        <f t="shared" si="52"/>
        <v>0</v>
      </c>
      <c r="V870" s="225">
        <f t="shared" si="53"/>
        <v>0</v>
      </c>
      <c r="W870" s="238">
        <f ca="1">$U870*EWSpacingFt+XOffset+0</f>
        <v>0</v>
      </c>
      <c r="X870" s="242">
        <f ca="1">$V870*NSSpacingFt+YOffset+PanArrayLenFt*COS(RADIANS(Latitude+DecAng))</f>
        <v>16.439632545931762</v>
      </c>
      <c r="Y870" s="246">
        <f ca="1">+$V870*NSGradeFt+PedHeight+PanArrayLenFt*SIN(RADIANS(Latitude+DecAng))</f>
        <v>7.401410761154855</v>
      </c>
      <c r="Z870" s="214">
        <f ca="1">+$W870</f>
        <v>0</v>
      </c>
      <c r="AA870" s="214">
        <f ca="1">+$Y870</f>
        <v>7.401410761154855</v>
      </c>
      <c r="AB870" s="214">
        <f ca="1">+$X870</f>
        <v>16.439632545931762</v>
      </c>
      <c r="AC870" s="214">
        <f ca="1">+$W870-XOffset</f>
        <v>0</v>
      </c>
    </row>
    <row r="871" spans="19:29" ht="8.4" customHeight="1">
      <c r="S871" s="307"/>
      <c r="T871" s="226">
        <f t="shared" si="54"/>
        <v>868</v>
      </c>
      <c r="U871" s="224">
        <f t="shared" si="52"/>
        <v>0</v>
      </c>
      <c r="V871" s="225">
        <f t="shared" si="53"/>
        <v>0</v>
      </c>
      <c r="W871" s="239">
        <f ca="1">$U871*EWSpacingFt+XOffset+(PanArrayWidthHighEndFt-PanArrayWidthLowEndFt)/2</f>
        <v>0</v>
      </c>
      <c r="X871" s="243">
        <f ca="1">$V871*NSSpacingFt+YOffset+0</f>
        <v>0</v>
      </c>
      <c r="Y871" s="247">
        <f ca="1">+$V871*NSGradeFt+PedHeight+0</f>
        <v>7.401410761154855</v>
      </c>
      <c r="Z871" s="214">
        <f ca="1">+$W871</f>
        <v>0</v>
      </c>
      <c r="AA871" s="214">
        <f ca="1">+$Y871</f>
        <v>7.401410761154855</v>
      </c>
      <c r="AB871" s="214">
        <f ca="1">+$X871</f>
        <v>0</v>
      </c>
      <c r="AC871" s="214">
        <f ca="1">+$W871-XOffset</f>
        <v>0</v>
      </c>
    </row>
    <row r="872" spans="19:29" ht="8.4" customHeight="1">
      <c r="S872" s="307"/>
      <c r="T872" s="226">
        <f t="shared" si="54"/>
        <v>869</v>
      </c>
      <c r="U872" s="224">
        <f t="shared" si="52"/>
        <v>0</v>
      </c>
      <c r="V872" s="225">
        <f t="shared" si="53"/>
        <v>0</v>
      </c>
      <c r="W872" s="217"/>
      <c r="X872" s="217"/>
      <c r="Y872" s="217"/>
      <c r="Z872" s="214"/>
      <c r="AA872" s="214"/>
      <c r="AB872" s="214"/>
      <c r="AC872" s="214"/>
    </row>
    <row r="873" spans="19:29" ht="8.4" customHeight="1">
      <c r="S873" s="307">
        <f>INT((T873-0)/6)+1</f>
        <v>146</v>
      </c>
      <c r="T873" s="226">
        <f t="shared" si="54"/>
        <v>870</v>
      </c>
      <c r="U873" s="224">
        <f t="shared" si="52"/>
        <v>1</v>
      </c>
      <c r="V873" s="225">
        <f t="shared" si="53"/>
        <v>0</v>
      </c>
      <c r="W873" s="233">
        <f ca="1">$U873*EWSpacingFt+XOffset+(PanArrayWidthHighEndFt-PanArrayWidthLowEndFt)/2</f>
        <v>30.000006832286932</v>
      </c>
      <c r="X873" s="234">
        <f ca="1">$V873*NSSpacingFt+YOffset+0</f>
        <v>0</v>
      </c>
      <c r="Y873" s="235">
        <f ca="1">+$V873*NSGradeFt+PedHeight+0</f>
        <v>7.401410761154855</v>
      </c>
      <c r="Z873" s="214">
        <f ca="1">+$W873</f>
        <v>30.000006832286932</v>
      </c>
      <c r="AA873" s="214">
        <f ca="1">+$Y873</f>
        <v>7.401410761154855</v>
      </c>
      <c r="AB873" s="214">
        <f ca="1">+$X873</f>
        <v>0</v>
      </c>
      <c r="AC873" s="214">
        <f ca="1">+$W873-XOffset</f>
        <v>30.000006832286932</v>
      </c>
    </row>
    <row r="874" spans="19:29" ht="8.4" customHeight="1">
      <c r="S874" s="307"/>
      <c r="T874" s="226">
        <f t="shared" si="54"/>
        <v>871</v>
      </c>
      <c r="U874" s="224">
        <f t="shared" si="52"/>
        <v>1</v>
      </c>
      <c r="V874" s="225">
        <f t="shared" si="53"/>
        <v>0</v>
      </c>
      <c r="W874" s="236">
        <f ca="1">+$U874*EWSpacingFt+XOffset+PanArrayWidthHighEndFt-(PanArrayWidthHighEndFt-PanArrayWidthLowEndFt)/2</f>
        <v>40.802828354596642</v>
      </c>
      <c r="X874" s="240">
        <f ca="1">$V874*NSSpacingFt+YOffset+0</f>
        <v>0</v>
      </c>
      <c r="Y874" s="244">
        <f ca="1">+$V874*NSGradeFt+PedHeight+0</f>
        <v>7.401410761154855</v>
      </c>
      <c r="Z874" s="214">
        <f ca="1">+$W874</f>
        <v>40.802828354596642</v>
      </c>
      <c r="AA874" s="214">
        <f ca="1">+$Y874</f>
        <v>7.401410761154855</v>
      </c>
      <c r="AB874" s="214">
        <f ca="1">+$X874</f>
        <v>0</v>
      </c>
      <c r="AC874" s="214">
        <f ca="1">+$W874-XOffset</f>
        <v>40.802828354596642</v>
      </c>
    </row>
    <row r="875" spans="19:29" ht="8.4" customHeight="1">
      <c r="S875" s="307"/>
      <c r="T875" s="226">
        <f t="shared" si="54"/>
        <v>872</v>
      </c>
      <c r="U875" s="224">
        <f t="shared" si="52"/>
        <v>1</v>
      </c>
      <c r="V875" s="225">
        <f t="shared" si="53"/>
        <v>0</v>
      </c>
      <c r="W875" s="237">
        <f ca="1">$U875*EWSpacingFt+XOffset+PanArrayWidthHighEndFt</f>
        <v>40.802828354596642</v>
      </c>
      <c r="X875" s="241">
        <f ca="1">$V875*NSSpacingFt+YOffset+PanArrayLenFt*COS(RADIANS(Latitude+DecAng))</f>
        <v>16.439632545931762</v>
      </c>
      <c r="Y875" s="245">
        <f ca="1">+$V875*NSGradeFt+PedHeight+PanArrayLenFt*SIN(RADIANS(Latitude+DecAng))</f>
        <v>7.401410761154855</v>
      </c>
      <c r="Z875" s="214">
        <f ca="1">+$W875</f>
        <v>40.802828354596642</v>
      </c>
      <c r="AA875" s="214">
        <f ca="1">+$Y875</f>
        <v>7.401410761154855</v>
      </c>
      <c r="AB875" s="214">
        <f ca="1">+$X875</f>
        <v>16.439632545931762</v>
      </c>
      <c r="AC875" s="214">
        <f ca="1">+$W875-XOffset</f>
        <v>40.802828354596642</v>
      </c>
    </row>
    <row r="876" spans="19:29" ht="8.4" customHeight="1">
      <c r="S876" s="307"/>
      <c r="T876" s="226">
        <f t="shared" si="54"/>
        <v>873</v>
      </c>
      <c r="U876" s="224">
        <f t="shared" si="52"/>
        <v>1</v>
      </c>
      <c r="V876" s="225">
        <f t="shared" si="53"/>
        <v>0</v>
      </c>
      <c r="W876" s="238">
        <f ca="1">$U876*EWSpacingFt+XOffset+0</f>
        <v>30.000006832286932</v>
      </c>
      <c r="X876" s="242">
        <f ca="1">$V876*NSSpacingFt+YOffset+PanArrayLenFt*COS(RADIANS(Latitude+DecAng))</f>
        <v>16.439632545931762</v>
      </c>
      <c r="Y876" s="246">
        <f ca="1">+$V876*NSGradeFt+PedHeight+PanArrayLenFt*SIN(RADIANS(Latitude+DecAng))</f>
        <v>7.401410761154855</v>
      </c>
      <c r="Z876" s="214">
        <f ca="1">+$W876</f>
        <v>30.000006832286932</v>
      </c>
      <c r="AA876" s="214">
        <f ca="1">+$Y876</f>
        <v>7.401410761154855</v>
      </c>
      <c r="AB876" s="214">
        <f ca="1">+$X876</f>
        <v>16.439632545931762</v>
      </c>
      <c r="AC876" s="214">
        <f ca="1">+$W876-XOffset</f>
        <v>30.000006832286932</v>
      </c>
    </row>
    <row r="877" spans="19:29" ht="8.4" customHeight="1">
      <c r="S877" s="307"/>
      <c r="T877" s="226">
        <f t="shared" si="54"/>
        <v>874</v>
      </c>
      <c r="U877" s="224">
        <f t="shared" si="52"/>
        <v>1</v>
      </c>
      <c r="V877" s="225">
        <f t="shared" si="53"/>
        <v>0</v>
      </c>
      <c r="W877" s="239">
        <f ca="1">$U877*EWSpacingFt+XOffset+(PanArrayWidthHighEndFt-PanArrayWidthLowEndFt)/2</f>
        <v>30.000006832286932</v>
      </c>
      <c r="X877" s="243">
        <f ca="1">$V877*NSSpacingFt+YOffset+0</f>
        <v>0</v>
      </c>
      <c r="Y877" s="247">
        <f ca="1">+$V877*NSGradeFt+PedHeight+0</f>
        <v>7.401410761154855</v>
      </c>
      <c r="Z877" s="214">
        <f ca="1">+$W877</f>
        <v>30.000006832286932</v>
      </c>
      <c r="AA877" s="214">
        <f ca="1">+$Y877</f>
        <v>7.401410761154855</v>
      </c>
      <c r="AB877" s="214">
        <f ca="1">+$X877</f>
        <v>0</v>
      </c>
      <c r="AC877" s="214">
        <f ca="1">+$W877-XOffset</f>
        <v>30.000006832286932</v>
      </c>
    </row>
    <row r="878" spans="19:29" ht="8.4" customHeight="1">
      <c r="S878" s="307"/>
      <c r="T878" s="226">
        <f t="shared" si="54"/>
        <v>875</v>
      </c>
      <c r="U878" s="224">
        <f t="shared" si="52"/>
        <v>1</v>
      </c>
      <c r="V878" s="225">
        <f t="shared" si="53"/>
        <v>0</v>
      </c>
      <c r="W878" s="217"/>
      <c r="X878" s="217"/>
      <c r="Y878" s="217"/>
      <c r="Z878" s="214"/>
      <c r="AA878" s="214"/>
      <c r="AB878" s="214"/>
      <c r="AC878" s="214"/>
    </row>
    <row r="879" spans="19:29" ht="8.4" customHeight="1">
      <c r="S879" s="307">
        <f>INT((T879-0)/6)+1</f>
        <v>147</v>
      </c>
      <c r="T879" s="226">
        <f t="shared" si="54"/>
        <v>876</v>
      </c>
      <c r="U879" s="224">
        <f t="shared" si="52"/>
        <v>0</v>
      </c>
      <c r="V879" s="225">
        <f t="shared" si="53"/>
        <v>1</v>
      </c>
      <c r="W879" s="233">
        <f ca="1">$U879*EWSpacingFt+XOffset+(PanArrayWidthHighEndFt-PanArrayWidthLowEndFt)/2</f>
        <v>0</v>
      </c>
      <c r="X879" s="234">
        <f ca="1">$V879*NSSpacingFt+YOffset+0</f>
        <v>17.999999999999989</v>
      </c>
      <c r="Y879" s="235">
        <f ca="1">+$V879*NSGradeFt+PedHeight+0</f>
        <v>7.401410761154855</v>
      </c>
      <c r="Z879" s="214">
        <f ca="1">+$W879</f>
        <v>0</v>
      </c>
      <c r="AA879" s="214">
        <f ca="1">+$Y879</f>
        <v>7.401410761154855</v>
      </c>
      <c r="AB879" s="214">
        <f ca="1">+$X879</f>
        <v>17.999999999999989</v>
      </c>
      <c r="AC879" s="214">
        <f ca="1">+$W879-XOffset</f>
        <v>0</v>
      </c>
    </row>
    <row r="880" spans="19:29" ht="8.4" customHeight="1">
      <c r="S880" s="307"/>
      <c r="T880" s="226">
        <f t="shared" si="54"/>
        <v>877</v>
      </c>
      <c r="U880" s="224">
        <f t="shared" si="52"/>
        <v>0</v>
      </c>
      <c r="V880" s="225">
        <f t="shared" si="53"/>
        <v>1</v>
      </c>
      <c r="W880" s="236">
        <f ca="1">+$U880*EWSpacingFt+XOffset+PanArrayWidthHighEndFt-(PanArrayWidthHighEndFt-PanArrayWidthLowEndFt)/2</f>
        <v>10.80282152230971</v>
      </c>
      <c r="X880" s="240">
        <f ca="1">$V880*NSSpacingFt+YOffset+0</f>
        <v>17.999999999999989</v>
      </c>
      <c r="Y880" s="244">
        <f ca="1">+$V880*NSGradeFt+PedHeight+0</f>
        <v>7.401410761154855</v>
      </c>
      <c r="Z880" s="214">
        <f ca="1">+$W880</f>
        <v>10.80282152230971</v>
      </c>
      <c r="AA880" s="214">
        <f ca="1">+$Y880</f>
        <v>7.401410761154855</v>
      </c>
      <c r="AB880" s="214">
        <f ca="1">+$X880</f>
        <v>17.999999999999989</v>
      </c>
      <c r="AC880" s="214">
        <f ca="1">+$W880-XOffset</f>
        <v>10.80282152230971</v>
      </c>
    </row>
    <row r="881" spans="19:29" ht="8.4" customHeight="1">
      <c r="S881" s="307"/>
      <c r="T881" s="226">
        <f t="shared" si="54"/>
        <v>878</v>
      </c>
      <c r="U881" s="224">
        <f t="shared" si="52"/>
        <v>0</v>
      </c>
      <c r="V881" s="225">
        <f t="shared" si="53"/>
        <v>1</v>
      </c>
      <c r="W881" s="237">
        <f ca="1">$U881*EWSpacingFt+XOffset+PanArrayWidthHighEndFt</f>
        <v>10.80282152230971</v>
      </c>
      <c r="X881" s="241">
        <f ca="1">$V881*NSSpacingFt+YOffset+PanArrayLenFt*COS(RADIANS(Latitude+DecAng))</f>
        <v>34.439632545931751</v>
      </c>
      <c r="Y881" s="245">
        <f ca="1">+$V881*NSGradeFt+PedHeight+PanArrayLenFt*SIN(RADIANS(Latitude+DecAng))</f>
        <v>7.401410761154855</v>
      </c>
      <c r="Z881" s="214">
        <f ca="1">+$W881</f>
        <v>10.80282152230971</v>
      </c>
      <c r="AA881" s="214">
        <f ca="1">+$Y881</f>
        <v>7.401410761154855</v>
      </c>
      <c r="AB881" s="214">
        <f ca="1">+$X881</f>
        <v>34.439632545931751</v>
      </c>
      <c r="AC881" s="214">
        <f ca="1">+$W881-XOffset</f>
        <v>10.80282152230971</v>
      </c>
    </row>
    <row r="882" spans="19:29" ht="8.4" customHeight="1">
      <c r="S882" s="307"/>
      <c r="T882" s="226">
        <f t="shared" si="54"/>
        <v>879</v>
      </c>
      <c r="U882" s="224">
        <f t="shared" si="52"/>
        <v>0</v>
      </c>
      <c r="V882" s="225">
        <f t="shared" si="53"/>
        <v>1</v>
      </c>
      <c r="W882" s="238">
        <f ca="1">$U882*EWSpacingFt+XOffset+0</f>
        <v>0</v>
      </c>
      <c r="X882" s="242">
        <f ca="1">$V882*NSSpacingFt+YOffset+PanArrayLenFt*COS(RADIANS(Latitude+DecAng))</f>
        <v>34.439632545931751</v>
      </c>
      <c r="Y882" s="246">
        <f ca="1">+$V882*NSGradeFt+PedHeight+PanArrayLenFt*SIN(RADIANS(Latitude+DecAng))</f>
        <v>7.401410761154855</v>
      </c>
      <c r="Z882" s="214">
        <f ca="1">+$W882</f>
        <v>0</v>
      </c>
      <c r="AA882" s="214">
        <f ca="1">+$Y882</f>
        <v>7.401410761154855</v>
      </c>
      <c r="AB882" s="214">
        <f ca="1">+$X882</f>
        <v>34.439632545931751</v>
      </c>
      <c r="AC882" s="214">
        <f ca="1">+$W882-XOffset</f>
        <v>0</v>
      </c>
    </row>
    <row r="883" spans="19:29" ht="8.4" customHeight="1">
      <c r="S883" s="307"/>
      <c r="T883" s="226">
        <f t="shared" si="54"/>
        <v>880</v>
      </c>
      <c r="U883" s="224">
        <f t="shared" si="52"/>
        <v>0</v>
      </c>
      <c r="V883" s="225">
        <f t="shared" si="53"/>
        <v>1</v>
      </c>
      <c r="W883" s="239">
        <f ca="1">$U883*EWSpacingFt+XOffset+(PanArrayWidthHighEndFt-PanArrayWidthLowEndFt)/2</f>
        <v>0</v>
      </c>
      <c r="X883" s="243">
        <f ca="1">$V883*NSSpacingFt+YOffset+0</f>
        <v>17.999999999999989</v>
      </c>
      <c r="Y883" s="247">
        <f ca="1">+$V883*NSGradeFt+PedHeight+0</f>
        <v>7.401410761154855</v>
      </c>
      <c r="Z883" s="214">
        <f ca="1">+$W883</f>
        <v>0</v>
      </c>
      <c r="AA883" s="214">
        <f ca="1">+$Y883</f>
        <v>7.401410761154855</v>
      </c>
      <c r="AB883" s="214">
        <f ca="1">+$X883</f>
        <v>17.999999999999989</v>
      </c>
      <c r="AC883" s="214">
        <f ca="1">+$W883-XOffset</f>
        <v>0</v>
      </c>
    </row>
    <row r="884" spans="19:29" ht="8.4" customHeight="1">
      <c r="S884" s="307"/>
      <c r="T884" s="226">
        <f t="shared" si="54"/>
        <v>881</v>
      </c>
      <c r="U884" s="224">
        <f t="shared" si="52"/>
        <v>0</v>
      </c>
      <c r="V884" s="225">
        <f t="shared" si="53"/>
        <v>1</v>
      </c>
      <c r="W884" s="217"/>
      <c r="X884" s="217"/>
      <c r="Y884" s="217"/>
      <c r="Z884" s="214"/>
      <c r="AA884" s="214"/>
      <c r="AB884" s="214"/>
      <c r="AC884" s="214"/>
    </row>
    <row r="885" spans="19:29" ht="8.4" customHeight="1">
      <c r="S885" s="307">
        <f>INT((T885-0)/6)+1</f>
        <v>148</v>
      </c>
      <c r="T885" s="226">
        <f t="shared" si="54"/>
        <v>882</v>
      </c>
      <c r="U885" s="224">
        <f t="shared" si="52"/>
        <v>1</v>
      </c>
      <c r="V885" s="225">
        <f t="shared" si="53"/>
        <v>1</v>
      </c>
      <c r="W885" s="233">
        <f ca="1">$U885*EWSpacingFt+XOffset+(PanArrayWidthHighEndFt-PanArrayWidthLowEndFt)/2</f>
        <v>30.000006832286932</v>
      </c>
      <c r="X885" s="234">
        <f ca="1">$V885*NSSpacingFt+YOffset+0</f>
        <v>17.999999999999989</v>
      </c>
      <c r="Y885" s="235">
        <f ca="1">+$V885*NSGradeFt+PedHeight+0</f>
        <v>7.401410761154855</v>
      </c>
      <c r="Z885" s="214">
        <f ca="1">+$W885</f>
        <v>30.000006832286932</v>
      </c>
      <c r="AA885" s="214">
        <f ca="1">+$Y885</f>
        <v>7.401410761154855</v>
      </c>
      <c r="AB885" s="214">
        <f ca="1">+$X885</f>
        <v>17.999999999999989</v>
      </c>
      <c r="AC885" s="214">
        <f ca="1">+$W885-XOffset</f>
        <v>30.000006832286932</v>
      </c>
    </row>
    <row r="886" spans="19:29" ht="8.4" customHeight="1">
      <c r="S886" s="307"/>
      <c r="T886" s="226">
        <f t="shared" si="54"/>
        <v>883</v>
      </c>
      <c r="U886" s="224">
        <f t="shared" si="52"/>
        <v>1</v>
      </c>
      <c r="V886" s="225">
        <f t="shared" si="53"/>
        <v>1</v>
      </c>
      <c r="W886" s="236">
        <f ca="1">+$U886*EWSpacingFt+XOffset+PanArrayWidthHighEndFt-(PanArrayWidthHighEndFt-PanArrayWidthLowEndFt)/2</f>
        <v>40.802828354596642</v>
      </c>
      <c r="X886" s="240">
        <f ca="1">$V886*NSSpacingFt+YOffset+0</f>
        <v>17.999999999999989</v>
      </c>
      <c r="Y886" s="244">
        <f ca="1">+$V886*NSGradeFt+PedHeight+0</f>
        <v>7.401410761154855</v>
      </c>
      <c r="Z886" s="214">
        <f ca="1">+$W886</f>
        <v>40.802828354596642</v>
      </c>
      <c r="AA886" s="214">
        <f ca="1">+$Y886</f>
        <v>7.401410761154855</v>
      </c>
      <c r="AB886" s="214">
        <f ca="1">+$X886</f>
        <v>17.999999999999989</v>
      </c>
      <c r="AC886" s="214">
        <f ca="1">+$W886-XOffset</f>
        <v>40.802828354596642</v>
      </c>
    </row>
    <row r="887" spans="19:29" ht="8.4" customHeight="1">
      <c r="S887" s="307"/>
      <c r="T887" s="226">
        <f t="shared" si="54"/>
        <v>884</v>
      </c>
      <c r="U887" s="224">
        <f t="shared" si="52"/>
        <v>1</v>
      </c>
      <c r="V887" s="225">
        <f t="shared" si="53"/>
        <v>1</v>
      </c>
      <c r="W887" s="237">
        <f ca="1">$U887*EWSpacingFt+XOffset+PanArrayWidthHighEndFt</f>
        <v>40.802828354596642</v>
      </c>
      <c r="X887" s="241">
        <f ca="1">$V887*NSSpacingFt+YOffset+PanArrayLenFt*COS(RADIANS(Latitude+DecAng))</f>
        <v>34.439632545931751</v>
      </c>
      <c r="Y887" s="245">
        <f ca="1">+$V887*NSGradeFt+PedHeight+PanArrayLenFt*SIN(RADIANS(Latitude+DecAng))</f>
        <v>7.401410761154855</v>
      </c>
      <c r="Z887" s="214">
        <f ca="1">+$W887</f>
        <v>40.802828354596642</v>
      </c>
      <c r="AA887" s="214">
        <f ca="1">+$Y887</f>
        <v>7.401410761154855</v>
      </c>
      <c r="AB887" s="214">
        <f ca="1">+$X887</f>
        <v>34.439632545931751</v>
      </c>
      <c r="AC887" s="214">
        <f ca="1">+$W887-XOffset</f>
        <v>40.802828354596642</v>
      </c>
    </row>
    <row r="888" spans="19:29" ht="8.4" customHeight="1">
      <c r="S888" s="307"/>
      <c r="T888" s="226">
        <f t="shared" si="54"/>
        <v>885</v>
      </c>
      <c r="U888" s="224">
        <f t="shared" si="52"/>
        <v>1</v>
      </c>
      <c r="V888" s="225">
        <f t="shared" si="53"/>
        <v>1</v>
      </c>
      <c r="W888" s="238">
        <f ca="1">$U888*EWSpacingFt+XOffset+0</f>
        <v>30.000006832286932</v>
      </c>
      <c r="X888" s="242">
        <f ca="1">$V888*NSSpacingFt+YOffset+PanArrayLenFt*COS(RADIANS(Latitude+DecAng))</f>
        <v>34.439632545931751</v>
      </c>
      <c r="Y888" s="246">
        <f ca="1">+$V888*NSGradeFt+PedHeight+PanArrayLenFt*SIN(RADIANS(Latitude+DecAng))</f>
        <v>7.401410761154855</v>
      </c>
      <c r="Z888" s="214">
        <f ca="1">+$W888</f>
        <v>30.000006832286932</v>
      </c>
      <c r="AA888" s="214">
        <f ca="1">+$Y888</f>
        <v>7.401410761154855</v>
      </c>
      <c r="AB888" s="214">
        <f ca="1">+$X888</f>
        <v>34.439632545931751</v>
      </c>
      <c r="AC888" s="214">
        <f ca="1">+$W888-XOffset</f>
        <v>30.000006832286932</v>
      </c>
    </row>
    <row r="889" spans="19:29" ht="8.4" customHeight="1">
      <c r="S889" s="307"/>
      <c r="T889" s="226">
        <f t="shared" si="54"/>
        <v>886</v>
      </c>
      <c r="U889" s="224">
        <f t="shared" si="52"/>
        <v>1</v>
      </c>
      <c r="V889" s="225">
        <f t="shared" si="53"/>
        <v>1</v>
      </c>
      <c r="W889" s="239">
        <f ca="1">$U889*EWSpacingFt+XOffset+(PanArrayWidthHighEndFt-PanArrayWidthLowEndFt)/2</f>
        <v>30.000006832286932</v>
      </c>
      <c r="X889" s="243">
        <f ca="1">$V889*NSSpacingFt+YOffset+0</f>
        <v>17.999999999999989</v>
      </c>
      <c r="Y889" s="247">
        <f ca="1">+$V889*NSGradeFt+PedHeight+0</f>
        <v>7.401410761154855</v>
      </c>
      <c r="Z889" s="214">
        <f ca="1">+$W889</f>
        <v>30.000006832286932</v>
      </c>
      <c r="AA889" s="214">
        <f ca="1">+$Y889</f>
        <v>7.401410761154855</v>
      </c>
      <c r="AB889" s="214">
        <f ca="1">+$X889</f>
        <v>17.999999999999989</v>
      </c>
      <c r="AC889" s="214">
        <f ca="1">+$W889-XOffset</f>
        <v>30.000006832286932</v>
      </c>
    </row>
    <row r="890" spans="19:29" ht="8.4" customHeight="1">
      <c r="S890" s="307"/>
      <c r="T890" s="226">
        <f t="shared" si="54"/>
        <v>887</v>
      </c>
      <c r="U890" s="224">
        <f t="shared" si="52"/>
        <v>1</v>
      </c>
      <c r="V890" s="225">
        <f t="shared" si="53"/>
        <v>1</v>
      </c>
      <c r="W890" s="217"/>
      <c r="X890" s="217"/>
      <c r="Y890" s="217"/>
      <c r="Z890" s="214"/>
      <c r="AA890" s="214"/>
      <c r="AB890" s="214"/>
      <c r="AC890" s="214"/>
    </row>
    <row r="891" spans="19:29" ht="8.4" customHeight="1">
      <c r="S891" s="307">
        <f>INT((T891-0)/6)+1</f>
        <v>149</v>
      </c>
      <c r="T891" s="226">
        <f t="shared" si="54"/>
        <v>888</v>
      </c>
      <c r="U891" s="224">
        <f t="shared" si="52"/>
        <v>0</v>
      </c>
      <c r="V891" s="225">
        <f t="shared" si="53"/>
        <v>2</v>
      </c>
      <c r="W891" s="233">
        <f ca="1">$U891*EWSpacingFt+XOffset+(PanArrayWidthHighEndFt-PanArrayWidthLowEndFt)/2</f>
        <v>0</v>
      </c>
      <c r="X891" s="234">
        <f ca="1">$V891*NSSpacingFt+YOffset+0</f>
        <v>35.999999999999979</v>
      </c>
      <c r="Y891" s="235">
        <f ca="1">+$V891*NSGradeFt+PedHeight+0</f>
        <v>7.401410761154855</v>
      </c>
      <c r="Z891" s="214">
        <f ca="1">+$W891</f>
        <v>0</v>
      </c>
      <c r="AA891" s="214">
        <f ca="1">+$Y891</f>
        <v>7.401410761154855</v>
      </c>
      <c r="AB891" s="214">
        <f ca="1">+$X891</f>
        <v>35.999999999999979</v>
      </c>
      <c r="AC891" s="214">
        <f ca="1">+$W891-XOffset</f>
        <v>0</v>
      </c>
    </row>
    <row r="892" spans="19:29" ht="8.4" customHeight="1">
      <c r="S892" s="307"/>
      <c r="T892" s="226">
        <f t="shared" si="54"/>
        <v>889</v>
      </c>
      <c r="U892" s="224">
        <f t="shared" si="52"/>
        <v>0</v>
      </c>
      <c r="V892" s="225">
        <f t="shared" si="53"/>
        <v>2</v>
      </c>
      <c r="W892" s="236">
        <f ca="1">+$U892*EWSpacingFt+XOffset+PanArrayWidthHighEndFt-(PanArrayWidthHighEndFt-PanArrayWidthLowEndFt)/2</f>
        <v>10.80282152230971</v>
      </c>
      <c r="X892" s="240">
        <f ca="1">$V892*NSSpacingFt+YOffset+0</f>
        <v>35.999999999999979</v>
      </c>
      <c r="Y892" s="244">
        <f ca="1">+$V892*NSGradeFt+PedHeight+0</f>
        <v>7.401410761154855</v>
      </c>
      <c r="Z892" s="214">
        <f ca="1">+$W892</f>
        <v>10.80282152230971</v>
      </c>
      <c r="AA892" s="214">
        <f ca="1">+$Y892</f>
        <v>7.401410761154855</v>
      </c>
      <c r="AB892" s="214">
        <f ca="1">+$X892</f>
        <v>35.999999999999979</v>
      </c>
      <c r="AC892" s="214">
        <f ca="1">+$W892-XOffset</f>
        <v>10.80282152230971</v>
      </c>
    </row>
    <row r="893" spans="19:29" ht="8.4" customHeight="1">
      <c r="S893" s="307"/>
      <c r="T893" s="226">
        <f t="shared" si="54"/>
        <v>890</v>
      </c>
      <c r="U893" s="224">
        <f t="shared" si="52"/>
        <v>0</v>
      </c>
      <c r="V893" s="225">
        <f t="shared" si="53"/>
        <v>2</v>
      </c>
      <c r="W893" s="237">
        <f ca="1">$U893*EWSpacingFt+XOffset+PanArrayWidthHighEndFt</f>
        <v>10.80282152230971</v>
      </c>
      <c r="X893" s="241">
        <f ca="1">$V893*NSSpacingFt+YOffset+PanArrayLenFt*COS(RADIANS(Latitude+DecAng))</f>
        <v>52.439632545931744</v>
      </c>
      <c r="Y893" s="245">
        <f ca="1">+$V893*NSGradeFt+PedHeight+PanArrayLenFt*SIN(RADIANS(Latitude+DecAng))</f>
        <v>7.401410761154855</v>
      </c>
      <c r="Z893" s="214">
        <f ca="1">+$W893</f>
        <v>10.80282152230971</v>
      </c>
      <c r="AA893" s="214">
        <f ca="1">+$Y893</f>
        <v>7.401410761154855</v>
      </c>
      <c r="AB893" s="214">
        <f ca="1">+$X893</f>
        <v>52.439632545931744</v>
      </c>
      <c r="AC893" s="214">
        <f ca="1">+$W893-XOffset</f>
        <v>10.80282152230971</v>
      </c>
    </row>
    <row r="894" spans="19:29" ht="8.4" customHeight="1">
      <c r="S894" s="307"/>
      <c r="T894" s="226">
        <f t="shared" si="54"/>
        <v>891</v>
      </c>
      <c r="U894" s="224">
        <f t="shared" si="52"/>
        <v>0</v>
      </c>
      <c r="V894" s="225">
        <f t="shared" si="53"/>
        <v>2</v>
      </c>
      <c r="W894" s="238">
        <f ca="1">$U894*EWSpacingFt+XOffset+0</f>
        <v>0</v>
      </c>
      <c r="X894" s="242">
        <f ca="1">$V894*NSSpacingFt+YOffset+PanArrayLenFt*COS(RADIANS(Latitude+DecAng))</f>
        <v>52.439632545931744</v>
      </c>
      <c r="Y894" s="246">
        <f ca="1">+$V894*NSGradeFt+PedHeight+PanArrayLenFt*SIN(RADIANS(Latitude+DecAng))</f>
        <v>7.401410761154855</v>
      </c>
      <c r="Z894" s="214">
        <f ca="1">+$W894</f>
        <v>0</v>
      </c>
      <c r="AA894" s="214">
        <f ca="1">+$Y894</f>
        <v>7.401410761154855</v>
      </c>
      <c r="AB894" s="214">
        <f ca="1">+$X894</f>
        <v>52.439632545931744</v>
      </c>
      <c r="AC894" s="214">
        <f ca="1">+$W894-XOffset</f>
        <v>0</v>
      </c>
    </row>
    <row r="895" spans="19:29" ht="8.4" customHeight="1">
      <c r="S895" s="307"/>
      <c r="T895" s="226">
        <f t="shared" si="54"/>
        <v>892</v>
      </c>
      <c r="U895" s="224">
        <f t="shared" si="52"/>
        <v>0</v>
      </c>
      <c r="V895" s="225">
        <f t="shared" si="53"/>
        <v>2</v>
      </c>
      <c r="W895" s="239">
        <f ca="1">$U895*EWSpacingFt+XOffset+(PanArrayWidthHighEndFt-PanArrayWidthLowEndFt)/2</f>
        <v>0</v>
      </c>
      <c r="X895" s="243">
        <f ca="1">$V895*NSSpacingFt+YOffset+0</f>
        <v>35.999999999999979</v>
      </c>
      <c r="Y895" s="247">
        <f ca="1">+$V895*NSGradeFt+PedHeight+0</f>
        <v>7.401410761154855</v>
      </c>
      <c r="Z895" s="214">
        <f ca="1">+$W895</f>
        <v>0</v>
      </c>
      <c r="AA895" s="214">
        <f ca="1">+$Y895</f>
        <v>7.401410761154855</v>
      </c>
      <c r="AB895" s="214">
        <f ca="1">+$X895</f>
        <v>35.999999999999979</v>
      </c>
      <c r="AC895" s="214">
        <f ca="1">+$W895-XOffset</f>
        <v>0</v>
      </c>
    </row>
    <row r="896" spans="19:29" ht="8.4" customHeight="1">
      <c r="S896" s="307"/>
      <c r="T896" s="226">
        <f t="shared" si="54"/>
        <v>893</v>
      </c>
      <c r="U896" s="224">
        <f t="shared" si="52"/>
        <v>0</v>
      </c>
      <c r="V896" s="225">
        <f t="shared" si="53"/>
        <v>2</v>
      </c>
      <c r="W896" s="217"/>
      <c r="X896" s="217"/>
      <c r="Y896" s="217"/>
      <c r="Z896" s="214"/>
      <c r="AA896" s="214"/>
      <c r="AB896" s="214"/>
      <c r="AC896" s="214"/>
    </row>
    <row r="897" spans="19:29" ht="8.4" customHeight="1">
      <c r="S897" s="307">
        <f>INT((T897-0)/6)+1</f>
        <v>150</v>
      </c>
      <c r="T897" s="226">
        <f t="shared" si="54"/>
        <v>894</v>
      </c>
      <c r="U897" s="224">
        <f t="shared" si="52"/>
        <v>1</v>
      </c>
      <c r="V897" s="225">
        <f t="shared" si="53"/>
        <v>2</v>
      </c>
      <c r="W897" s="233">
        <f ca="1">$U897*EWSpacingFt+XOffset+(PanArrayWidthHighEndFt-PanArrayWidthLowEndFt)/2</f>
        <v>30.000006832286932</v>
      </c>
      <c r="X897" s="234">
        <f ca="1">$V897*NSSpacingFt+YOffset+0</f>
        <v>35.999999999999979</v>
      </c>
      <c r="Y897" s="235">
        <f ca="1">+$V897*NSGradeFt+PedHeight+0</f>
        <v>7.401410761154855</v>
      </c>
      <c r="Z897" s="214">
        <f ca="1">+$W897</f>
        <v>30.000006832286932</v>
      </c>
      <c r="AA897" s="214">
        <f ca="1">+$Y897</f>
        <v>7.401410761154855</v>
      </c>
      <c r="AB897" s="214">
        <f ca="1">+$X897</f>
        <v>35.999999999999979</v>
      </c>
      <c r="AC897" s="214">
        <f ca="1">+$W897-XOffset</f>
        <v>30.000006832286932</v>
      </c>
    </row>
    <row r="898" spans="19:29" ht="8.4" customHeight="1">
      <c r="S898" s="307"/>
      <c r="T898" s="226">
        <f t="shared" si="54"/>
        <v>895</v>
      </c>
      <c r="U898" s="224">
        <f t="shared" si="52"/>
        <v>1</v>
      </c>
      <c r="V898" s="225">
        <f t="shared" si="53"/>
        <v>2</v>
      </c>
      <c r="W898" s="236">
        <f ca="1">+$U898*EWSpacingFt+XOffset+PanArrayWidthHighEndFt-(PanArrayWidthHighEndFt-PanArrayWidthLowEndFt)/2</f>
        <v>40.802828354596642</v>
      </c>
      <c r="X898" s="240">
        <f ca="1">$V898*NSSpacingFt+YOffset+0</f>
        <v>35.999999999999979</v>
      </c>
      <c r="Y898" s="244">
        <f ca="1">+$V898*NSGradeFt+PedHeight+0</f>
        <v>7.401410761154855</v>
      </c>
      <c r="Z898" s="214">
        <f ca="1">+$W898</f>
        <v>40.802828354596642</v>
      </c>
      <c r="AA898" s="214">
        <f ca="1">+$Y898</f>
        <v>7.401410761154855</v>
      </c>
      <c r="AB898" s="214">
        <f ca="1">+$X898</f>
        <v>35.999999999999979</v>
      </c>
      <c r="AC898" s="214">
        <f ca="1">+$W898-XOffset</f>
        <v>40.802828354596642</v>
      </c>
    </row>
    <row r="899" spans="19:29" ht="8.4" customHeight="1">
      <c r="S899" s="307"/>
      <c r="T899" s="226">
        <f t="shared" si="54"/>
        <v>896</v>
      </c>
      <c r="U899" s="224">
        <f t="shared" ref="U899:U962" si="55">+MOD(INT(T899/6),ColumnsOfMounts)</f>
        <v>1</v>
      </c>
      <c r="V899" s="225">
        <f t="shared" ref="V899:V962" si="56">+MOD(INT(T899/6/ColumnsOfMounts),RowsOfMounts)</f>
        <v>2</v>
      </c>
      <c r="W899" s="237">
        <f ca="1">$U899*EWSpacingFt+XOffset+PanArrayWidthHighEndFt</f>
        <v>40.802828354596642</v>
      </c>
      <c r="X899" s="241">
        <f ca="1">$V899*NSSpacingFt+YOffset+PanArrayLenFt*COS(RADIANS(Latitude+DecAng))</f>
        <v>52.439632545931744</v>
      </c>
      <c r="Y899" s="245">
        <f ca="1">+$V899*NSGradeFt+PedHeight+PanArrayLenFt*SIN(RADIANS(Latitude+DecAng))</f>
        <v>7.401410761154855</v>
      </c>
      <c r="Z899" s="214">
        <f ca="1">+$W899</f>
        <v>40.802828354596642</v>
      </c>
      <c r="AA899" s="214">
        <f ca="1">+$Y899</f>
        <v>7.401410761154855</v>
      </c>
      <c r="AB899" s="214">
        <f ca="1">+$X899</f>
        <v>52.439632545931744</v>
      </c>
      <c r="AC899" s="214">
        <f ca="1">+$W899-XOffset</f>
        <v>40.802828354596642</v>
      </c>
    </row>
    <row r="900" spans="19:29" ht="8.4" customHeight="1">
      <c r="S900" s="307"/>
      <c r="T900" s="226">
        <f t="shared" si="54"/>
        <v>897</v>
      </c>
      <c r="U900" s="224">
        <f t="shared" si="55"/>
        <v>1</v>
      </c>
      <c r="V900" s="225">
        <f t="shared" si="56"/>
        <v>2</v>
      </c>
      <c r="W900" s="238">
        <f ca="1">$U900*EWSpacingFt+XOffset+0</f>
        <v>30.000006832286932</v>
      </c>
      <c r="X900" s="242">
        <f ca="1">$V900*NSSpacingFt+YOffset+PanArrayLenFt*COS(RADIANS(Latitude+DecAng))</f>
        <v>52.439632545931744</v>
      </c>
      <c r="Y900" s="246">
        <f ca="1">+$V900*NSGradeFt+PedHeight+PanArrayLenFt*SIN(RADIANS(Latitude+DecAng))</f>
        <v>7.401410761154855</v>
      </c>
      <c r="Z900" s="214">
        <f ca="1">+$W900</f>
        <v>30.000006832286932</v>
      </c>
      <c r="AA900" s="214">
        <f ca="1">+$Y900</f>
        <v>7.401410761154855</v>
      </c>
      <c r="AB900" s="214">
        <f ca="1">+$X900</f>
        <v>52.439632545931744</v>
      </c>
      <c r="AC900" s="214">
        <f ca="1">+$W900-XOffset</f>
        <v>30.000006832286932</v>
      </c>
    </row>
    <row r="901" spans="19:29" ht="8.4" customHeight="1">
      <c r="S901" s="307"/>
      <c r="T901" s="226">
        <f t="shared" si="54"/>
        <v>898</v>
      </c>
      <c r="U901" s="224">
        <f t="shared" si="55"/>
        <v>1</v>
      </c>
      <c r="V901" s="225">
        <f t="shared" si="56"/>
        <v>2</v>
      </c>
      <c r="W901" s="239">
        <f ca="1">$U901*EWSpacingFt+XOffset+(PanArrayWidthHighEndFt-PanArrayWidthLowEndFt)/2</f>
        <v>30.000006832286932</v>
      </c>
      <c r="X901" s="243">
        <f ca="1">$V901*NSSpacingFt+YOffset+0</f>
        <v>35.999999999999979</v>
      </c>
      <c r="Y901" s="247">
        <f ca="1">+$V901*NSGradeFt+PedHeight+0</f>
        <v>7.401410761154855</v>
      </c>
      <c r="Z901" s="214">
        <f ca="1">+$W901</f>
        <v>30.000006832286932</v>
      </c>
      <c r="AA901" s="214">
        <f ca="1">+$Y901</f>
        <v>7.401410761154855</v>
      </c>
      <c r="AB901" s="214">
        <f ca="1">+$X901</f>
        <v>35.999999999999979</v>
      </c>
      <c r="AC901" s="214">
        <f ca="1">+$W901-XOffset</f>
        <v>30.000006832286932</v>
      </c>
    </row>
    <row r="902" spans="19:29" ht="8.4" customHeight="1">
      <c r="S902" s="307"/>
      <c r="T902" s="226">
        <f t="shared" si="54"/>
        <v>899</v>
      </c>
      <c r="U902" s="224">
        <f t="shared" si="55"/>
        <v>1</v>
      </c>
      <c r="V902" s="225">
        <f t="shared" si="56"/>
        <v>2</v>
      </c>
      <c r="W902" s="217"/>
      <c r="X902" s="217"/>
      <c r="Y902" s="217"/>
      <c r="Z902" s="214"/>
      <c r="AA902" s="214"/>
      <c r="AB902" s="214"/>
      <c r="AC902" s="214"/>
    </row>
    <row r="903" spans="19:29" ht="8.4" customHeight="1">
      <c r="S903" s="307">
        <f>INT((T903-0)/6)+1</f>
        <v>151</v>
      </c>
      <c r="T903" s="226">
        <f t="shared" si="54"/>
        <v>900</v>
      </c>
      <c r="U903" s="224">
        <f t="shared" si="55"/>
        <v>0</v>
      </c>
      <c r="V903" s="225">
        <f t="shared" si="56"/>
        <v>3</v>
      </c>
      <c r="W903" s="233">
        <f ca="1">$U903*EWSpacingFt+XOffset+(PanArrayWidthHighEndFt-PanArrayWidthLowEndFt)/2</f>
        <v>0</v>
      </c>
      <c r="X903" s="234">
        <f ca="1">$V903*NSSpacingFt+YOffset+0</f>
        <v>53.999999999999972</v>
      </c>
      <c r="Y903" s="235">
        <f ca="1">+$V903*NSGradeFt+PedHeight+0</f>
        <v>7.401410761154855</v>
      </c>
      <c r="Z903" s="214">
        <f ca="1">+$W903</f>
        <v>0</v>
      </c>
      <c r="AA903" s="214">
        <f ca="1">+$Y903</f>
        <v>7.401410761154855</v>
      </c>
      <c r="AB903" s="214">
        <f ca="1">+$X903</f>
        <v>53.999999999999972</v>
      </c>
      <c r="AC903" s="214">
        <f ca="1">+$W903-XOffset</f>
        <v>0</v>
      </c>
    </row>
    <row r="904" spans="19:29" ht="8.4" customHeight="1">
      <c r="S904" s="307"/>
      <c r="T904" s="226">
        <f t="shared" si="54"/>
        <v>901</v>
      </c>
      <c r="U904" s="224">
        <f t="shared" si="55"/>
        <v>0</v>
      </c>
      <c r="V904" s="225">
        <f t="shared" si="56"/>
        <v>3</v>
      </c>
      <c r="W904" s="236">
        <f ca="1">+$U904*EWSpacingFt+XOffset+PanArrayWidthHighEndFt-(PanArrayWidthHighEndFt-PanArrayWidthLowEndFt)/2</f>
        <v>10.80282152230971</v>
      </c>
      <c r="X904" s="240">
        <f ca="1">$V904*NSSpacingFt+YOffset+0</f>
        <v>53.999999999999972</v>
      </c>
      <c r="Y904" s="244">
        <f ca="1">+$V904*NSGradeFt+PedHeight+0</f>
        <v>7.401410761154855</v>
      </c>
      <c r="Z904" s="214">
        <f ca="1">+$W904</f>
        <v>10.80282152230971</v>
      </c>
      <c r="AA904" s="214">
        <f ca="1">+$Y904</f>
        <v>7.401410761154855</v>
      </c>
      <c r="AB904" s="214">
        <f ca="1">+$X904</f>
        <v>53.999999999999972</v>
      </c>
      <c r="AC904" s="214">
        <f ca="1">+$W904-XOffset</f>
        <v>10.80282152230971</v>
      </c>
    </row>
    <row r="905" spans="19:29" ht="8.4" customHeight="1">
      <c r="S905" s="307"/>
      <c r="T905" s="226">
        <f t="shared" si="54"/>
        <v>902</v>
      </c>
      <c r="U905" s="224">
        <f t="shared" si="55"/>
        <v>0</v>
      </c>
      <c r="V905" s="225">
        <f t="shared" si="56"/>
        <v>3</v>
      </c>
      <c r="W905" s="237">
        <f ca="1">$U905*EWSpacingFt+XOffset+PanArrayWidthHighEndFt</f>
        <v>10.80282152230971</v>
      </c>
      <c r="X905" s="241">
        <f ca="1">$V905*NSSpacingFt+YOffset+PanArrayLenFt*COS(RADIANS(Latitude+DecAng))</f>
        <v>70.43963254593173</v>
      </c>
      <c r="Y905" s="245">
        <f ca="1">+$V905*NSGradeFt+PedHeight+PanArrayLenFt*SIN(RADIANS(Latitude+DecAng))</f>
        <v>7.401410761154855</v>
      </c>
      <c r="Z905" s="214">
        <f ca="1">+$W905</f>
        <v>10.80282152230971</v>
      </c>
      <c r="AA905" s="214">
        <f ca="1">+$Y905</f>
        <v>7.401410761154855</v>
      </c>
      <c r="AB905" s="214">
        <f ca="1">+$X905</f>
        <v>70.43963254593173</v>
      </c>
      <c r="AC905" s="214">
        <f ca="1">+$W905-XOffset</f>
        <v>10.80282152230971</v>
      </c>
    </row>
    <row r="906" spans="19:29" ht="8.4" customHeight="1">
      <c r="S906" s="307"/>
      <c r="T906" s="226">
        <f t="shared" si="54"/>
        <v>903</v>
      </c>
      <c r="U906" s="224">
        <f t="shared" si="55"/>
        <v>0</v>
      </c>
      <c r="V906" s="225">
        <f t="shared" si="56"/>
        <v>3</v>
      </c>
      <c r="W906" s="238">
        <f ca="1">$U906*EWSpacingFt+XOffset+0</f>
        <v>0</v>
      </c>
      <c r="X906" s="242">
        <f ca="1">$V906*NSSpacingFt+YOffset+PanArrayLenFt*COS(RADIANS(Latitude+DecAng))</f>
        <v>70.43963254593173</v>
      </c>
      <c r="Y906" s="246">
        <f ca="1">+$V906*NSGradeFt+PedHeight+PanArrayLenFt*SIN(RADIANS(Latitude+DecAng))</f>
        <v>7.401410761154855</v>
      </c>
      <c r="Z906" s="214">
        <f ca="1">+$W906</f>
        <v>0</v>
      </c>
      <c r="AA906" s="214">
        <f ca="1">+$Y906</f>
        <v>7.401410761154855</v>
      </c>
      <c r="AB906" s="214">
        <f ca="1">+$X906</f>
        <v>70.43963254593173</v>
      </c>
      <c r="AC906" s="214">
        <f ca="1">+$W906-XOffset</f>
        <v>0</v>
      </c>
    </row>
    <row r="907" spans="19:29" ht="8.4" customHeight="1">
      <c r="S907" s="307"/>
      <c r="T907" s="226">
        <f t="shared" si="54"/>
        <v>904</v>
      </c>
      <c r="U907" s="224">
        <f t="shared" si="55"/>
        <v>0</v>
      </c>
      <c r="V907" s="225">
        <f t="shared" si="56"/>
        <v>3</v>
      </c>
      <c r="W907" s="239">
        <f ca="1">$U907*EWSpacingFt+XOffset+(PanArrayWidthHighEndFt-PanArrayWidthLowEndFt)/2</f>
        <v>0</v>
      </c>
      <c r="X907" s="243">
        <f ca="1">$V907*NSSpacingFt+YOffset+0</f>
        <v>53.999999999999972</v>
      </c>
      <c r="Y907" s="247">
        <f ca="1">+$V907*NSGradeFt+PedHeight+0</f>
        <v>7.401410761154855</v>
      </c>
      <c r="Z907" s="214">
        <f ca="1">+$W907</f>
        <v>0</v>
      </c>
      <c r="AA907" s="214">
        <f ca="1">+$Y907</f>
        <v>7.401410761154855</v>
      </c>
      <c r="AB907" s="214">
        <f ca="1">+$X907</f>
        <v>53.999999999999972</v>
      </c>
      <c r="AC907" s="214">
        <f ca="1">+$W907-XOffset</f>
        <v>0</v>
      </c>
    </row>
    <row r="908" spans="19:29" ht="8.4" customHeight="1">
      <c r="S908" s="307"/>
      <c r="T908" s="226">
        <f t="shared" si="54"/>
        <v>905</v>
      </c>
      <c r="U908" s="224">
        <f t="shared" si="55"/>
        <v>0</v>
      </c>
      <c r="V908" s="225">
        <f t="shared" si="56"/>
        <v>3</v>
      </c>
      <c r="W908" s="217"/>
      <c r="X908" s="217"/>
      <c r="Y908" s="217"/>
      <c r="Z908" s="214"/>
      <c r="AA908" s="214"/>
      <c r="AB908" s="214"/>
      <c r="AC908" s="214"/>
    </row>
    <row r="909" spans="19:29" ht="8.4" customHeight="1">
      <c r="S909" s="307">
        <f>INT((T909-0)/6)+1</f>
        <v>152</v>
      </c>
      <c r="T909" s="226">
        <f t="shared" si="54"/>
        <v>906</v>
      </c>
      <c r="U909" s="224">
        <f t="shared" si="55"/>
        <v>1</v>
      </c>
      <c r="V909" s="225">
        <f t="shared" si="56"/>
        <v>3</v>
      </c>
      <c r="W909" s="233">
        <f ca="1">$U909*EWSpacingFt+XOffset+(PanArrayWidthHighEndFt-PanArrayWidthLowEndFt)/2</f>
        <v>30.000006832286932</v>
      </c>
      <c r="X909" s="234">
        <f ca="1">$V909*NSSpacingFt+YOffset+0</f>
        <v>53.999999999999972</v>
      </c>
      <c r="Y909" s="235">
        <f ca="1">+$V909*NSGradeFt+PedHeight+0</f>
        <v>7.401410761154855</v>
      </c>
      <c r="Z909" s="214">
        <f ca="1">+$W909</f>
        <v>30.000006832286932</v>
      </c>
      <c r="AA909" s="214">
        <f ca="1">+$Y909</f>
        <v>7.401410761154855</v>
      </c>
      <c r="AB909" s="214">
        <f ca="1">+$X909</f>
        <v>53.999999999999972</v>
      </c>
      <c r="AC909" s="214">
        <f ca="1">+$W909-XOffset</f>
        <v>30.000006832286932</v>
      </c>
    </row>
    <row r="910" spans="19:29" ht="8.4" customHeight="1">
      <c r="S910" s="307"/>
      <c r="T910" s="226">
        <f t="shared" si="54"/>
        <v>907</v>
      </c>
      <c r="U910" s="224">
        <f t="shared" si="55"/>
        <v>1</v>
      </c>
      <c r="V910" s="225">
        <f t="shared" si="56"/>
        <v>3</v>
      </c>
      <c r="W910" s="236">
        <f ca="1">+$U910*EWSpacingFt+XOffset+PanArrayWidthHighEndFt-(PanArrayWidthHighEndFt-PanArrayWidthLowEndFt)/2</f>
        <v>40.802828354596642</v>
      </c>
      <c r="X910" s="240">
        <f ca="1">$V910*NSSpacingFt+YOffset+0</f>
        <v>53.999999999999972</v>
      </c>
      <c r="Y910" s="244">
        <f ca="1">+$V910*NSGradeFt+PedHeight+0</f>
        <v>7.401410761154855</v>
      </c>
      <c r="Z910" s="214">
        <f ca="1">+$W910</f>
        <v>40.802828354596642</v>
      </c>
      <c r="AA910" s="214">
        <f ca="1">+$Y910</f>
        <v>7.401410761154855</v>
      </c>
      <c r="AB910" s="214">
        <f ca="1">+$X910</f>
        <v>53.999999999999972</v>
      </c>
      <c r="AC910" s="214">
        <f ca="1">+$W910-XOffset</f>
        <v>40.802828354596642</v>
      </c>
    </row>
    <row r="911" spans="19:29" ht="8.4" customHeight="1">
      <c r="S911" s="307"/>
      <c r="T911" s="226">
        <f t="shared" si="54"/>
        <v>908</v>
      </c>
      <c r="U911" s="224">
        <f t="shared" si="55"/>
        <v>1</v>
      </c>
      <c r="V911" s="225">
        <f t="shared" si="56"/>
        <v>3</v>
      </c>
      <c r="W911" s="237">
        <f ca="1">$U911*EWSpacingFt+XOffset+PanArrayWidthHighEndFt</f>
        <v>40.802828354596642</v>
      </c>
      <c r="X911" s="241">
        <f ca="1">$V911*NSSpacingFt+YOffset+PanArrayLenFt*COS(RADIANS(Latitude+DecAng))</f>
        <v>70.43963254593173</v>
      </c>
      <c r="Y911" s="245">
        <f ca="1">+$V911*NSGradeFt+PedHeight+PanArrayLenFt*SIN(RADIANS(Latitude+DecAng))</f>
        <v>7.401410761154855</v>
      </c>
      <c r="Z911" s="214">
        <f ca="1">+$W911</f>
        <v>40.802828354596642</v>
      </c>
      <c r="AA911" s="214">
        <f ca="1">+$Y911</f>
        <v>7.401410761154855</v>
      </c>
      <c r="AB911" s="214">
        <f ca="1">+$X911</f>
        <v>70.43963254593173</v>
      </c>
      <c r="AC911" s="214">
        <f ca="1">+$W911-XOffset</f>
        <v>40.802828354596642</v>
      </c>
    </row>
    <row r="912" spans="19:29" ht="8.4" customHeight="1">
      <c r="S912" s="307"/>
      <c r="T912" s="226">
        <f t="shared" si="54"/>
        <v>909</v>
      </c>
      <c r="U912" s="224">
        <f t="shared" si="55"/>
        <v>1</v>
      </c>
      <c r="V912" s="225">
        <f t="shared" si="56"/>
        <v>3</v>
      </c>
      <c r="W912" s="238">
        <f ca="1">$U912*EWSpacingFt+XOffset+0</f>
        <v>30.000006832286932</v>
      </c>
      <c r="X912" s="242">
        <f ca="1">$V912*NSSpacingFt+YOffset+PanArrayLenFt*COS(RADIANS(Latitude+DecAng))</f>
        <v>70.43963254593173</v>
      </c>
      <c r="Y912" s="246">
        <f ca="1">+$V912*NSGradeFt+PedHeight+PanArrayLenFt*SIN(RADIANS(Latitude+DecAng))</f>
        <v>7.401410761154855</v>
      </c>
      <c r="Z912" s="214">
        <f ca="1">+$W912</f>
        <v>30.000006832286932</v>
      </c>
      <c r="AA912" s="214">
        <f ca="1">+$Y912</f>
        <v>7.401410761154855</v>
      </c>
      <c r="AB912" s="214">
        <f ca="1">+$X912</f>
        <v>70.43963254593173</v>
      </c>
      <c r="AC912" s="214">
        <f ca="1">+$W912-XOffset</f>
        <v>30.000006832286932</v>
      </c>
    </row>
    <row r="913" spans="19:29" ht="8.4" customHeight="1">
      <c r="S913" s="307"/>
      <c r="T913" s="226">
        <f t="shared" si="54"/>
        <v>910</v>
      </c>
      <c r="U913" s="224">
        <f t="shared" si="55"/>
        <v>1</v>
      </c>
      <c r="V913" s="225">
        <f t="shared" si="56"/>
        <v>3</v>
      </c>
      <c r="W913" s="239">
        <f ca="1">$U913*EWSpacingFt+XOffset+(PanArrayWidthHighEndFt-PanArrayWidthLowEndFt)/2</f>
        <v>30.000006832286932</v>
      </c>
      <c r="X913" s="243">
        <f ca="1">$V913*NSSpacingFt+YOffset+0</f>
        <v>53.999999999999972</v>
      </c>
      <c r="Y913" s="247">
        <f ca="1">+$V913*NSGradeFt+PedHeight+0</f>
        <v>7.401410761154855</v>
      </c>
      <c r="Z913" s="214">
        <f ca="1">+$W913</f>
        <v>30.000006832286932</v>
      </c>
      <c r="AA913" s="214">
        <f ca="1">+$Y913</f>
        <v>7.401410761154855</v>
      </c>
      <c r="AB913" s="214">
        <f ca="1">+$X913</f>
        <v>53.999999999999972</v>
      </c>
      <c r="AC913" s="214">
        <f ca="1">+$W913-XOffset</f>
        <v>30.000006832286932</v>
      </c>
    </row>
    <row r="914" spans="19:29" ht="8.4" customHeight="1">
      <c r="S914" s="307"/>
      <c r="T914" s="226">
        <f t="shared" si="54"/>
        <v>911</v>
      </c>
      <c r="U914" s="224">
        <f t="shared" si="55"/>
        <v>1</v>
      </c>
      <c r="V914" s="225">
        <f t="shared" si="56"/>
        <v>3</v>
      </c>
      <c r="W914" s="217"/>
      <c r="X914" s="217"/>
      <c r="Y914" s="217"/>
      <c r="Z914" s="214"/>
      <c r="AA914" s="214"/>
      <c r="AB914" s="214"/>
      <c r="AC914" s="214"/>
    </row>
    <row r="915" spans="19:29" ht="8.4" customHeight="1">
      <c r="S915" s="307">
        <f>INT((T915-0)/6)+1</f>
        <v>153</v>
      </c>
      <c r="T915" s="226">
        <f t="shared" si="54"/>
        <v>912</v>
      </c>
      <c r="U915" s="224">
        <f t="shared" si="55"/>
        <v>0</v>
      </c>
      <c r="V915" s="225">
        <f t="shared" si="56"/>
        <v>0</v>
      </c>
      <c r="W915" s="233">
        <f ca="1">$U915*EWSpacingFt+XOffset+(PanArrayWidthHighEndFt-PanArrayWidthLowEndFt)/2</f>
        <v>0</v>
      </c>
      <c r="X915" s="234">
        <f ca="1">$V915*NSSpacingFt+YOffset+0</f>
        <v>0</v>
      </c>
      <c r="Y915" s="235">
        <f ca="1">+$V915*NSGradeFt+PedHeight+0</f>
        <v>7.401410761154855</v>
      </c>
      <c r="Z915" s="214">
        <f ca="1">+$W915</f>
        <v>0</v>
      </c>
      <c r="AA915" s="214">
        <f ca="1">+$Y915</f>
        <v>7.401410761154855</v>
      </c>
      <c r="AB915" s="214">
        <f ca="1">+$X915</f>
        <v>0</v>
      </c>
      <c r="AC915" s="214">
        <f ca="1">+$W915-XOffset</f>
        <v>0</v>
      </c>
    </row>
    <row r="916" spans="19:29" ht="8.4" customHeight="1">
      <c r="S916" s="307"/>
      <c r="T916" s="226">
        <f t="shared" si="54"/>
        <v>913</v>
      </c>
      <c r="U916" s="224">
        <f t="shared" si="55"/>
        <v>0</v>
      </c>
      <c r="V916" s="225">
        <f t="shared" si="56"/>
        <v>0</v>
      </c>
      <c r="W916" s="236">
        <f ca="1">+$U916*EWSpacingFt+XOffset+PanArrayWidthHighEndFt-(PanArrayWidthHighEndFt-PanArrayWidthLowEndFt)/2</f>
        <v>10.80282152230971</v>
      </c>
      <c r="X916" s="240">
        <f ca="1">$V916*NSSpacingFt+YOffset+0</f>
        <v>0</v>
      </c>
      <c r="Y916" s="244">
        <f ca="1">+$V916*NSGradeFt+PedHeight+0</f>
        <v>7.401410761154855</v>
      </c>
      <c r="Z916" s="214">
        <f ca="1">+$W916</f>
        <v>10.80282152230971</v>
      </c>
      <c r="AA916" s="214">
        <f ca="1">+$Y916</f>
        <v>7.401410761154855</v>
      </c>
      <c r="AB916" s="214">
        <f ca="1">+$X916</f>
        <v>0</v>
      </c>
      <c r="AC916" s="214">
        <f ca="1">+$W916-XOffset</f>
        <v>10.80282152230971</v>
      </c>
    </row>
    <row r="917" spans="19:29" ht="8.4" customHeight="1">
      <c r="S917" s="307"/>
      <c r="T917" s="226">
        <f t="shared" ref="T917:T980" si="57">+T916+1</f>
        <v>914</v>
      </c>
      <c r="U917" s="224">
        <f t="shared" si="55"/>
        <v>0</v>
      </c>
      <c r="V917" s="225">
        <f t="shared" si="56"/>
        <v>0</v>
      </c>
      <c r="W917" s="237">
        <f ca="1">$U917*EWSpacingFt+XOffset+PanArrayWidthHighEndFt</f>
        <v>10.80282152230971</v>
      </c>
      <c r="X917" s="241">
        <f ca="1">$V917*NSSpacingFt+YOffset+PanArrayLenFt*COS(RADIANS(Latitude+DecAng))</f>
        <v>16.439632545931762</v>
      </c>
      <c r="Y917" s="245">
        <f ca="1">+$V917*NSGradeFt+PedHeight+PanArrayLenFt*SIN(RADIANS(Latitude+DecAng))</f>
        <v>7.401410761154855</v>
      </c>
      <c r="Z917" s="214">
        <f ca="1">+$W917</f>
        <v>10.80282152230971</v>
      </c>
      <c r="AA917" s="214">
        <f ca="1">+$Y917</f>
        <v>7.401410761154855</v>
      </c>
      <c r="AB917" s="214">
        <f ca="1">+$X917</f>
        <v>16.439632545931762</v>
      </c>
      <c r="AC917" s="214">
        <f ca="1">+$W917-XOffset</f>
        <v>10.80282152230971</v>
      </c>
    </row>
    <row r="918" spans="19:29" ht="8.4" customHeight="1">
      <c r="S918" s="307"/>
      <c r="T918" s="226">
        <f t="shared" si="57"/>
        <v>915</v>
      </c>
      <c r="U918" s="224">
        <f t="shared" si="55"/>
        <v>0</v>
      </c>
      <c r="V918" s="225">
        <f t="shared" si="56"/>
        <v>0</v>
      </c>
      <c r="W918" s="238">
        <f ca="1">$U918*EWSpacingFt+XOffset+0</f>
        <v>0</v>
      </c>
      <c r="X918" s="242">
        <f ca="1">$V918*NSSpacingFt+YOffset+PanArrayLenFt*COS(RADIANS(Latitude+DecAng))</f>
        <v>16.439632545931762</v>
      </c>
      <c r="Y918" s="246">
        <f ca="1">+$V918*NSGradeFt+PedHeight+PanArrayLenFt*SIN(RADIANS(Latitude+DecAng))</f>
        <v>7.401410761154855</v>
      </c>
      <c r="Z918" s="214">
        <f ca="1">+$W918</f>
        <v>0</v>
      </c>
      <c r="AA918" s="214">
        <f ca="1">+$Y918</f>
        <v>7.401410761154855</v>
      </c>
      <c r="AB918" s="214">
        <f ca="1">+$X918</f>
        <v>16.439632545931762</v>
      </c>
      <c r="AC918" s="214">
        <f ca="1">+$W918-XOffset</f>
        <v>0</v>
      </c>
    </row>
    <row r="919" spans="19:29" ht="8.4" customHeight="1">
      <c r="S919" s="307"/>
      <c r="T919" s="226">
        <f t="shared" si="57"/>
        <v>916</v>
      </c>
      <c r="U919" s="224">
        <f t="shared" si="55"/>
        <v>0</v>
      </c>
      <c r="V919" s="225">
        <f t="shared" si="56"/>
        <v>0</v>
      </c>
      <c r="W919" s="239">
        <f ca="1">$U919*EWSpacingFt+XOffset+(PanArrayWidthHighEndFt-PanArrayWidthLowEndFt)/2</f>
        <v>0</v>
      </c>
      <c r="X919" s="243">
        <f ca="1">$V919*NSSpacingFt+YOffset+0</f>
        <v>0</v>
      </c>
      <c r="Y919" s="247">
        <f ca="1">+$V919*NSGradeFt+PedHeight+0</f>
        <v>7.401410761154855</v>
      </c>
      <c r="Z919" s="214">
        <f ca="1">+$W919</f>
        <v>0</v>
      </c>
      <c r="AA919" s="214">
        <f ca="1">+$Y919</f>
        <v>7.401410761154855</v>
      </c>
      <c r="AB919" s="214">
        <f ca="1">+$X919</f>
        <v>0</v>
      </c>
      <c r="AC919" s="214">
        <f ca="1">+$W919-XOffset</f>
        <v>0</v>
      </c>
    </row>
    <row r="920" spans="19:29" ht="8.4" customHeight="1">
      <c r="S920" s="307"/>
      <c r="T920" s="226">
        <f t="shared" si="57"/>
        <v>917</v>
      </c>
      <c r="U920" s="224">
        <f t="shared" si="55"/>
        <v>0</v>
      </c>
      <c r="V920" s="225">
        <f t="shared" si="56"/>
        <v>0</v>
      </c>
      <c r="W920" s="217"/>
      <c r="X920" s="217"/>
      <c r="Y920" s="217"/>
      <c r="Z920" s="214"/>
      <c r="AA920" s="214"/>
      <c r="AB920" s="214"/>
      <c r="AC920" s="214"/>
    </row>
    <row r="921" spans="19:29" ht="8.4" customHeight="1">
      <c r="S921" s="307">
        <f>INT((T921-0)/6)+1</f>
        <v>154</v>
      </c>
      <c r="T921" s="226">
        <f t="shared" si="57"/>
        <v>918</v>
      </c>
      <c r="U921" s="224">
        <f t="shared" si="55"/>
        <v>1</v>
      </c>
      <c r="V921" s="225">
        <f t="shared" si="56"/>
        <v>0</v>
      </c>
      <c r="W921" s="233">
        <f ca="1">$U921*EWSpacingFt+XOffset+(PanArrayWidthHighEndFt-PanArrayWidthLowEndFt)/2</f>
        <v>30.000006832286932</v>
      </c>
      <c r="X921" s="234">
        <f ca="1">$V921*NSSpacingFt+YOffset+0</f>
        <v>0</v>
      </c>
      <c r="Y921" s="235">
        <f ca="1">+$V921*NSGradeFt+PedHeight+0</f>
        <v>7.401410761154855</v>
      </c>
      <c r="Z921" s="214">
        <f ca="1">+$W921</f>
        <v>30.000006832286932</v>
      </c>
      <c r="AA921" s="214">
        <f ca="1">+$Y921</f>
        <v>7.401410761154855</v>
      </c>
      <c r="AB921" s="214">
        <f ca="1">+$X921</f>
        <v>0</v>
      </c>
      <c r="AC921" s="214">
        <f ca="1">+$W921-XOffset</f>
        <v>30.000006832286932</v>
      </c>
    </row>
    <row r="922" spans="19:29" ht="8.4" customHeight="1">
      <c r="S922" s="307"/>
      <c r="T922" s="226">
        <f t="shared" si="57"/>
        <v>919</v>
      </c>
      <c r="U922" s="224">
        <f t="shared" si="55"/>
        <v>1</v>
      </c>
      <c r="V922" s="225">
        <f t="shared" si="56"/>
        <v>0</v>
      </c>
      <c r="W922" s="236">
        <f ca="1">+$U922*EWSpacingFt+XOffset+PanArrayWidthHighEndFt-(PanArrayWidthHighEndFt-PanArrayWidthLowEndFt)/2</f>
        <v>40.802828354596642</v>
      </c>
      <c r="X922" s="240">
        <f ca="1">$V922*NSSpacingFt+YOffset+0</f>
        <v>0</v>
      </c>
      <c r="Y922" s="244">
        <f ca="1">+$V922*NSGradeFt+PedHeight+0</f>
        <v>7.401410761154855</v>
      </c>
      <c r="Z922" s="214">
        <f ca="1">+$W922</f>
        <v>40.802828354596642</v>
      </c>
      <c r="AA922" s="214">
        <f ca="1">+$Y922</f>
        <v>7.401410761154855</v>
      </c>
      <c r="AB922" s="214">
        <f ca="1">+$X922</f>
        <v>0</v>
      </c>
      <c r="AC922" s="214">
        <f ca="1">+$W922-XOffset</f>
        <v>40.802828354596642</v>
      </c>
    </row>
    <row r="923" spans="19:29" ht="8.4" customHeight="1">
      <c r="S923" s="307"/>
      <c r="T923" s="226">
        <f t="shared" si="57"/>
        <v>920</v>
      </c>
      <c r="U923" s="224">
        <f t="shared" si="55"/>
        <v>1</v>
      </c>
      <c r="V923" s="225">
        <f t="shared" si="56"/>
        <v>0</v>
      </c>
      <c r="W923" s="237">
        <f ca="1">$U923*EWSpacingFt+XOffset+PanArrayWidthHighEndFt</f>
        <v>40.802828354596642</v>
      </c>
      <c r="X923" s="241">
        <f ca="1">$V923*NSSpacingFt+YOffset+PanArrayLenFt*COS(RADIANS(Latitude+DecAng))</f>
        <v>16.439632545931762</v>
      </c>
      <c r="Y923" s="245">
        <f ca="1">+$V923*NSGradeFt+PedHeight+PanArrayLenFt*SIN(RADIANS(Latitude+DecAng))</f>
        <v>7.401410761154855</v>
      </c>
      <c r="Z923" s="214">
        <f ca="1">+$W923</f>
        <v>40.802828354596642</v>
      </c>
      <c r="AA923" s="214">
        <f ca="1">+$Y923</f>
        <v>7.401410761154855</v>
      </c>
      <c r="AB923" s="214">
        <f ca="1">+$X923</f>
        <v>16.439632545931762</v>
      </c>
      <c r="AC923" s="214">
        <f ca="1">+$W923-XOffset</f>
        <v>40.802828354596642</v>
      </c>
    </row>
    <row r="924" spans="19:29" ht="8.4" customHeight="1">
      <c r="S924" s="307"/>
      <c r="T924" s="226">
        <f t="shared" si="57"/>
        <v>921</v>
      </c>
      <c r="U924" s="224">
        <f t="shared" si="55"/>
        <v>1</v>
      </c>
      <c r="V924" s="225">
        <f t="shared" si="56"/>
        <v>0</v>
      </c>
      <c r="W924" s="238">
        <f ca="1">$U924*EWSpacingFt+XOffset+0</f>
        <v>30.000006832286932</v>
      </c>
      <c r="X924" s="242">
        <f ca="1">$V924*NSSpacingFt+YOffset+PanArrayLenFt*COS(RADIANS(Latitude+DecAng))</f>
        <v>16.439632545931762</v>
      </c>
      <c r="Y924" s="246">
        <f ca="1">+$V924*NSGradeFt+PedHeight+PanArrayLenFt*SIN(RADIANS(Latitude+DecAng))</f>
        <v>7.401410761154855</v>
      </c>
      <c r="Z924" s="214">
        <f ca="1">+$W924</f>
        <v>30.000006832286932</v>
      </c>
      <c r="AA924" s="214">
        <f ca="1">+$Y924</f>
        <v>7.401410761154855</v>
      </c>
      <c r="AB924" s="214">
        <f ca="1">+$X924</f>
        <v>16.439632545931762</v>
      </c>
      <c r="AC924" s="214">
        <f ca="1">+$W924-XOffset</f>
        <v>30.000006832286932</v>
      </c>
    </row>
    <row r="925" spans="19:29" ht="8.4" customHeight="1">
      <c r="S925" s="307"/>
      <c r="T925" s="226">
        <f t="shared" si="57"/>
        <v>922</v>
      </c>
      <c r="U925" s="224">
        <f t="shared" si="55"/>
        <v>1</v>
      </c>
      <c r="V925" s="225">
        <f t="shared" si="56"/>
        <v>0</v>
      </c>
      <c r="W925" s="239">
        <f ca="1">$U925*EWSpacingFt+XOffset+(PanArrayWidthHighEndFt-PanArrayWidthLowEndFt)/2</f>
        <v>30.000006832286932</v>
      </c>
      <c r="X925" s="243">
        <f ca="1">$V925*NSSpacingFt+YOffset+0</f>
        <v>0</v>
      </c>
      <c r="Y925" s="247">
        <f ca="1">+$V925*NSGradeFt+PedHeight+0</f>
        <v>7.401410761154855</v>
      </c>
      <c r="Z925" s="214">
        <f ca="1">+$W925</f>
        <v>30.000006832286932</v>
      </c>
      <c r="AA925" s="214">
        <f ca="1">+$Y925</f>
        <v>7.401410761154855</v>
      </c>
      <c r="AB925" s="214">
        <f ca="1">+$X925</f>
        <v>0</v>
      </c>
      <c r="AC925" s="214">
        <f ca="1">+$W925-XOffset</f>
        <v>30.000006832286932</v>
      </c>
    </row>
    <row r="926" spans="19:29" ht="8.4" customHeight="1">
      <c r="S926" s="307"/>
      <c r="T926" s="226">
        <f t="shared" si="57"/>
        <v>923</v>
      </c>
      <c r="U926" s="224">
        <f t="shared" si="55"/>
        <v>1</v>
      </c>
      <c r="V926" s="225">
        <f t="shared" si="56"/>
        <v>0</v>
      </c>
      <c r="W926" s="217"/>
      <c r="X926" s="217"/>
      <c r="Y926" s="217"/>
      <c r="Z926" s="214"/>
      <c r="AA926" s="214"/>
      <c r="AB926" s="214"/>
      <c r="AC926" s="214"/>
    </row>
    <row r="927" spans="19:29" ht="8.4" customHeight="1">
      <c r="S927" s="307">
        <f>INT((T927-0)/6)+1</f>
        <v>155</v>
      </c>
      <c r="T927" s="226">
        <f t="shared" si="57"/>
        <v>924</v>
      </c>
      <c r="U927" s="224">
        <f t="shared" si="55"/>
        <v>0</v>
      </c>
      <c r="V927" s="225">
        <f t="shared" si="56"/>
        <v>1</v>
      </c>
      <c r="W927" s="233">
        <f ca="1">$U927*EWSpacingFt+XOffset+(PanArrayWidthHighEndFt-PanArrayWidthLowEndFt)/2</f>
        <v>0</v>
      </c>
      <c r="X927" s="234">
        <f ca="1">$V927*NSSpacingFt+YOffset+0</f>
        <v>17.999999999999989</v>
      </c>
      <c r="Y927" s="235">
        <f ca="1">+$V927*NSGradeFt+PedHeight+0</f>
        <v>7.401410761154855</v>
      </c>
      <c r="Z927" s="214">
        <f ca="1">+$W927</f>
        <v>0</v>
      </c>
      <c r="AA927" s="214">
        <f ca="1">+$Y927</f>
        <v>7.401410761154855</v>
      </c>
      <c r="AB927" s="214">
        <f ca="1">+$X927</f>
        <v>17.999999999999989</v>
      </c>
      <c r="AC927" s="214">
        <f ca="1">+$W927-XOffset</f>
        <v>0</v>
      </c>
    </row>
    <row r="928" spans="19:29" ht="8.4" customHeight="1">
      <c r="S928" s="307"/>
      <c r="T928" s="226">
        <f t="shared" si="57"/>
        <v>925</v>
      </c>
      <c r="U928" s="224">
        <f t="shared" si="55"/>
        <v>0</v>
      </c>
      <c r="V928" s="225">
        <f t="shared" si="56"/>
        <v>1</v>
      </c>
      <c r="W928" s="236">
        <f ca="1">+$U928*EWSpacingFt+XOffset+PanArrayWidthHighEndFt-(PanArrayWidthHighEndFt-PanArrayWidthLowEndFt)/2</f>
        <v>10.80282152230971</v>
      </c>
      <c r="X928" s="240">
        <f ca="1">$V928*NSSpacingFt+YOffset+0</f>
        <v>17.999999999999989</v>
      </c>
      <c r="Y928" s="244">
        <f ca="1">+$V928*NSGradeFt+PedHeight+0</f>
        <v>7.401410761154855</v>
      </c>
      <c r="Z928" s="214">
        <f ca="1">+$W928</f>
        <v>10.80282152230971</v>
      </c>
      <c r="AA928" s="214">
        <f ca="1">+$Y928</f>
        <v>7.401410761154855</v>
      </c>
      <c r="AB928" s="214">
        <f ca="1">+$X928</f>
        <v>17.999999999999989</v>
      </c>
      <c r="AC928" s="214">
        <f ca="1">+$W928-XOffset</f>
        <v>10.80282152230971</v>
      </c>
    </row>
    <row r="929" spans="19:29" ht="8.4" customHeight="1">
      <c r="S929" s="307"/>
      <c r="T929" s="226">
        <f t="shared" si="57"/>
        <v>926</v>
      </c>
      <c r="U929" s="224">
        <f t="shared" si="55"/>
        <v>0</v>
      </c>
      <c r="V929" s="225">
        <f t="shared" si="56"/>
        <v>1</v>
      </c>
      <c r="W929" s="237">
        <f ca="1">$U929*EWSpacingFt+XOffset+PanArrayWidthHighEndFt</f>
        <v>10.80282152230971</v>
      </c>
      <c r="X929" s="241">
        <f ca="1">$V929*NSSpacingFt+YOffset+PanArrayLenFt*COS(RADIANS(Latitude+DecAng))</f>
        <v>34.439632545931751</v>
      </c>
      <c r="Y929" s="245">
        <f ca="1">+$V929*NSGradeFt+PedHeight+PanArrayLenFt*SIN(RADIANS(Latitude+DecAng))</f>
        <v>7.401410761154855</v>
      </c>
      <c r="Z929" s="214">
        <f ca="1">+$W929</f>
        <v>10.80282152230971</v>
      </c>
      <c r="AA929" s="214">
        <f ca="1">+$Y929</f>
        <v>7.401410761154855</v>
      </c>
      <c r="AB929" s="214">
        <f ca="1">+$X929</f>
        <v>34.439632545931751</v>
      </c>
      <c r="AC929" s="214">
        <f ca="1">+$W929-XOffset</f>
        <v>10.80282152230971</v>
      </c>
    </row>
    <row r="930" spans="19:29" ht="8.4" customHeight="1">
      <c r="S930" s="307"/>
      <c r="T930" s="226">
        <f t="shared" si="57"/>
        <v>927</v>
      </c>
      <c r="U930" s="224">
        <f t="shared" si="55"/>
        <v>0</v>
      </c>
      <c r="V930" s="225">
        <f t="shared" si="56"/>
        <v>1</v>
      </c>
      <c r="W930" s="238">
        <f ca="1">$U930*EWSpacingFt+XOffset+0</f>
        <v>0</v>
      </c>
      <c r="X930" s="242">
        <f ca="1">$V930*NSSpacingFt+YOffset+PanArrayLenFt*COS(RADIANS(Latitude+DecAng))</f>
        <v>34.439632545931751</v>
      </c>
      <c r="Y930" s="246">
        <f ca="1">+$V930*NSGradeFt+PedHeight+PanArrayLenFt*SIN(RADIANS(Latitude+DecAng))</f>
        <v>7.401410761154855</v>
      </c>
      <c r="Z930" s="214">
        <f ca="1">+$W930</f>
        <v>0</v>
      </c>
      <c r="AA930" s="214">
        <f ca="1">+$Y930</f>
        <v>7.401410761154855</v>
      </c>
      <c r="AB930" s="214">
        <f ca="1">+$X930</f>
        <v>34.439632545931751</v>
      </c>
      <c r="AC930" s="214">
        <f ca="1">+$W930-XOffset</f>
        <v>0</v>
      </c>
    </row>
    <row r="931" spans="19:29" ht="8.4" customHeight="1">
      <c r="S931" s="307"/>
      <c r="T931" s="226">
        <f t="shared" si="57"/>
        <v>928</v>
      </c>
      <c r="U931" s="224">
        <f t="shared" si="55"/>
        <v>0</v>
      </c>
      <c r="V931" s="225">
        <f t="shared" si="56"/>
        <v>1</v>
      </c>
      <c r="W931" s="239">
        <f ca="1">$U931*EWSpacingFt+XOffset+(PanArrayWidthHighEndFt-PanArrayWidthLowEndFt)/2</f>
        <v>0</v>
      </c>
      <c r="X931" s="243">
        <f ca="1">$V931*NSSpacingFt+YOffset+0</f>
        <v>17.999999999999989</v>
      </c>
      <c r="Y931" s="247">
        <f ca="1">+$V931*NSGradeFt+PedHeight+0</f>
        <v>7.401410761154855</v>
      </c>
      <c r="Z931" s="214">
        <f ca="1">+$W931</f>
        <v>0</v>
      </c>
      <c r="AA931" s="214">
        <f ca="1">+$Y931</f>
        <v>7.401410761154855</v>
      </c>
      <c r="AB931" s="214">
        <f ca="1">+$X931</f>
        <v>17.999999999999989</v>
      </c>
      <c r="AC931" s="214">
        <f ca="1">+$W931-XOffset</f>
        <v>0</v>
      </c>
    </row>
    <row r="932" spans="19:29" ht="8.4" customHeight="1">
      <c r="S932" s="307"/>
      <c r="T932" s="226">
        <f t="shared" si="57"/>
        <v>929</v>
      </c>
      <c r="U932" s="224">
        <f t="shared" si="55"/>
        <v>0</v>
      </c>
      <c r="V932" s="225">
        <f t="shared" si="56"/>
        <v>1</v>
      </c>
      <c r="W932" s="217"/>
      <c r="X932" s="217"/>
      <c r="Y932" s="217"/>
      <c r="Z932" s="214"/>
      <c r="AA932" s="214"/>
      <c r="AB932" s="214"/>
      <c r="AC932" s="214"/>
    </row>
    <row r="933" spans="19:29" ht="8.4" customHeight="1">
      <c r="S933" s="307">
        <f>INT((T933-0)/6)+1</f>
        <v>156</v>
      </c>
      <c r="T933" s="226">
        <f t="shared" si="57"/>
        <v>930</v>
      </c>
      <c r="U933" s="224">
        <f t="shared" si="55"/>
        <v>1</v>
      </c>
      <c r="V933" s="225">
        <f t="shared" si="56"/>
        <v>1</v>
      </c>
      <c r="W933" s="233">
        <f ca="1">$U933*EWSpacingFt+XOffset+(PanArrayWidthHighEndFt-PanArrayWidthLowEndFt)/2</f>
        <v>30.000006832286932</v>
      </c>
      <c r="X933" s="234">
        <f ca="1">$V933*NSSpacingFt+YOffset+0</f>
        <v>17.999999999999989</v>
      </c>
      <c r="Y933" s="235">
        <f ca="1">+$V933*NSGradeFt+PedHeight+0</f>
        <v>7.401410761154855</v>
      </c>
      <c r="Z933" s="214">
        <f ca="1">+$W933</f>
        <v>30.000006832286932</v>
      </c>
      <c r="AA933" s="214">
        <f ca="1">+$Y933</f>
        <v>7.401410761154855</v>
      </c>
      <c r="AB933" s="214">
        <f ca="1">+$X933</f>
        <v>17.999999999999989</v>
      </c>
      <c r="AC933" s="214">
        <f ca="1">+$W933-XOffset</f>
        <v>30.000006832286932</v>
      </c>
    </row>
    <row r="934" spans="19:29" ht="8.4" customHeight="1">
      <c r="S934" s="307"/>
      <c r="T934" s="226">
        <f t="shared" si="57"/>
        <v>931</v>
      </c>
      <c r="U934" s="224">
        <f t="shared" si="55"/>
        <v>1</v>
      </c>
      <c r="V934" s="225">
        <f t="shared" si="56"/>
        <v>1</v>
      </c>
      <c r="W934" s="236">
        <f ca="1">+$U934*EWSpacingFt+XOffset+PanArrayWidthHighEndFt-(PanArrayWidthHighEndFt-PanArrayWidthLowEndFt)/2</f>
        <v>40.802828354596642</v>
      </c>
      <c r="X934" s="240">
        <f ca="1">$V934*NSSpacingFt+YOffset+0</f>
        <v>17.999999999999989</v>
      </c>
      <c r="Y934" s="244">
        <f ca="1">+$V934*NSGradeFt+PedHeight+0</f>
        <v>7.401410761154855</v>
      </c>
      <c r="Z934" s="214">
        <f ca="1">+$W934</f>
        <v>40.802828354596642</v>
      </c>
      <c r="AA934" s="214">
        <f ca="1">+$Y934</f>
        <v>7.401410761154855</v>
      </c>
      <c r="AB934" s="214">
        <f ca="1">+$X934</f>
        <v>17.999999999999989</v>
      </c>
      <c r="AC934" s="214">
        <f ca="1">+$W934-XOffset</f>
        <v>40.802828354596642</v>
      </c>
    </row>
    <row r="935" spans="19:29" ht="8.4" customHeight="1">
      <c r="S935" s="307"/>
      <c r="T935" s="226">
        <f t="shared" si="57"/>
        <v>932</v>
      </c>
      <c r="U935" s="224">
        <f t="shared" si="55"/>
        <v>1</v>
      </c>
      <c r="V935" s="225">
        <f t="shared" si="56"/>
        <v>1</v>
      </c>
      <c r="W935" s="237">
        <f ca="1">$U935*EWSpacingFt+XOffset+PanArrayWidthHighEndFt</f>
        <v>40.802828354596642</v>
      </c>
      <c r="X935" s="241">
        <f ca="1">$V935*NSSpacingFt+YOffset+PanArrayLenFt*COS(RADIANS(Latitude+DecAng))</f>
        <v>34.439632545931751</v>
      </c>
      <c r="Y935" s="245">
        <f ca="1">+$V935*NSGradeFt+PedHeight+PanArrayLenFt*SIN(RADIANS(Latitude+DecAng))</f>
        <v>7.401410761154855</v>
      </c>
      <c r="Z935" s="214">
        <f ca="1">+$W935</f>
        <v>40.802828354596642</v>
      </c>
      <c r="AA935" s="214">
        <f ca="1">+$Y935</f>
        <v>7.401410761154855</v>
      </c>
      <c r="AB935" s="214">
        <f ca="1">+$X935</f>
        <v>34.439632545931751</v>
      </c>
      <c r="AC935" s="214">
        <f ca="1">+$W935-XOffset</f>
        <v>40.802828354596642</v>
      </c>
    </row>
    <row r="936" spans="19:29" ht="8.4" customHeight="1">
      <c r="S936" s="307"/>
      <c r="T936" s="226">
        <f t="shared" si="57"/>
        <v>933</v>
      </c>
      <c r="U936" s="224">
        <f t="shared" si="55"/>
        <v>1</v>
      </c>
      <c r="V936" s="225">
        <f t="shared" si="56"/>
        <v>1</v>
      </c>
      <c r="W936" s="238">
        <f ca="1">$U936*EWSpacingFt+XOffset+0</f>
        <v>30.000006832286932</v>
      </c>
      <c r="X936" s="242">
        <f ca="1">$V936*NSSpacingFt+YOffset+PanArrayLenFt*COS(RADIANS(Latitude+DecAng))</f>
        <v>34.439632545931751</v>
      </c>
      <c r="Y936" s="246">
        <f ca="1">+$V936*NSGradeFt+PedHeight+PanArrayLenFt*SIN(RADIANS(Latitude+DecAng))</f>
        <v>7.401410761154855</v>
      </c>
      <c r="Z936" s="214">
        <f ca="1">+$W936</f>
        <v>30.000006832286932</v>
      </c>
      <c r="AA936" s="214">
        <f ca="1">+$Y936</f>
        <v>7.401410761154855</v>
      </c>
      <c r="AB936" s="214">
        <f ca="1">+$X936</f>
        <v>34.439632545931751</v>
      </c>
      <c r="AC936" s="214">
        <f ca="1">+$W936-XOffset</f>
        <v>30.000006832286932</v>
      </c>
    </row>
    <row r="937" spans="19:29" ht="8.4" customHeight="1">
      <c r="S937" s="307"/>
      <c r="T937" s="226">
        <f t="shared" si="57"/>
        <v>934</v>
      </c>
      <c r="U937" s="224">
        <f t="shared" si="55"/>
        <v>1</v>
      </c>
      <c r="V937" s="225">
        <f t="shared" si="56"/>
        <v>1</v>
      </c>
      <c r="W937" s="239">
        <f ca="1">$U937*EWSpacingFt+XOffset+(PanArrayWidthHighEndFt-PanArrayWidthLowEndFt)/2</f>
        <v>30.000006832286932</v>
      </c>
      <c r="X937" s="243">
        <f ca="1">$V937*NSSpacingFt+YOffset+0</f>
        <v>17.999999999999989</v>
      </c>
      <c r="Y937" s="247">
        <f ca="1">+$V937*NSGradeFt+PedHeight+0</f>
        <v>7.401410761154855</v>
      </c>
      <c r="Z937" s="214">
        <f ca="1">+$W937</f>
        <v>30.000006832286932</v>
      </c>
      <c r="AA937" s="214">
        <f ca="1">+$Y937</f>
        <v>7.401410761154855</v>
      </c>
      <c r="AB937" s="214">
        <f ca="1">+$X937</f>
        <v>17.999999999999989</v>
      </c>
      <c r="AC937" s="214">
        <f ca="1">+$W937-XOffset</f>
        <v>30.000006832286932</v>
      </c>
    </row>
    <row r="938" spans="19:29" ht="8.4" customHeight="1">
      <c r="S938" s="307"/>
      <c r="T938" s="226">
        <f t="shared" si="57"/>
        <v>935</v>
      </c>
      <c r="U938" s="224">
        <f t="shared" si="55"/>
        <v>1</v>
      </c>
      <c r="V938" s="225">
        <f t="shared" si="56"/>
        <v>1</v>
      </c>
      <c r="W938" s="217"/>
      <c r="X938" s="217"/>
      <c r="Y938" s="217"/>
      <c r="Z938" s="214"/>
      <c r="AA938" s="214"/>
      <c r="AB938" s="214"/>
      <c r="AC938" s="214"/>
    </row>
    <row r="939" spans="19:29" ht="8.4" customHeight="1">
      <c r="S939" s="307">
        <f>INT((T939-0)/6)+1</f>
        <v>157</v>
      </c>
      <c r="T939" s="226">
        <f t="shared" si="57"/>
        <v>936</v>
      </c>
      <c r="U939" s="224">
        <f t="shared" si="55"/>
        <v>0</v>
      </c>
      <c r="V939" s="225">
        <f t="shared" si="56"/>
        <v>2</v>
      </c>
      <c r="W939" s="233">
        <f ca="1">$U939*EWSpacingFt+XOffset+(PanArrayWidthHighEndFt-PanArrayWidthLowEndFt)/2</f>
        <v>0</v>
      </c>
      <c r="X939" s="234">
        <f ca="1">$V939*NSSpacingFt+YOffset+0</f>
        <v>35.999999999999979</v>
      </c>
      <c r="Y939" s="235">
        <f ca="1">+$V939*NSGradeFt+PedHeight+0</f>
        <v>7.401410761154855</v>
      </c>
      <c r="Z939" s="214">
        <f ca="1">+$W939</f>
        <v>0</v>
      </c>
      <c r="AA939" s="214">
        <f ca="1">+$Y939</f>
        <v>7.401410761154855</v>
      </c>
      <c r="AB939" s="214">
        <f ca="1">+$X939</f>
        <v>35.999999999999979</v>
      </c>
      <c r="AC939" s="214">
        <f ca="1">+$W939-XOffset</f>
        <v>0</v>
      </c>
    </row>
    <row r="940" spans="19:29" ht="8.4" customHeight="1">
      <c r="S940" s="307"/>
      <c r="T940" s="226">
        <f t="shared" si="57"/>
        <v>937</v>
      </c>
      <c r="U940" s="224">
        <f t="shared" si="55"/>
        <v>0</v>
      </c>
      <c r="V940" s="225">
        <f t="shared" si="56"/>
        <v>2</v>
      </c>
      <c r="W940" s="236">
        <f ca="1">+$U940*EWSpacingFt+XOffset+PanArrayWidthHighEndFt-(PanArrayWidthHighEndFt-PanArrayWidthLowEndFt)/2</f>
        <v>10.80282152230971</v>
      </c>
      <c r="X940" s="240">
        <f ca="1">$V940*NSSpacingFt+YOffset+0</f>
        <v>35.999999999999979</v>
      </c>
      <c r="Y940" s="244">
        <f ca="1">+$V940*NSGradeFt+PedHeight+0</f>
        <v>7.401410761154855</v>
      </c>
      <c r="Z940" s="214">
        <f ca="1">+$W940</f>
        <v>10.80282152230971</v>
      </c>
      <c r="AA940" s="214">
        <f ca="1">+$Y940</f>
        <v>7.401410761154855</v>
      </c>
      <c r="AB940" s="214">
        <f ca="1">+$X940</f>
        <v>35.999999999999979</v>
      </c>
      <c r="AC940" s="214">
        <f ca="1">+$W940-XOffset</f>
        <v>10.80282152230971</v>
      </c>
    </row>
    <row r="941" spans="19:29" ht="8.4" customHeight="1">
      <c r="S941" s="307"/>
      <c r="T941" s="226">
        <f t="shared" si="57"/>
        <v>938</v>
      </c>
      <c r="U941" s="224">
        <f t="shared" si="55"/>
        <v>0</v>
      </c>
      <c r="V941" s="225">
        <f t="shared" si="56"/>
        <v>2</v>
      </c>
      <c r="W941" s="237">
        <f ca="1">$U941*EWSpacingFt+XOffset+PanArrayWidthHighEndFt</f>
        <v>10.80282152230971</v>
      </c>
      <c r="X941" s="241">
        <f ca="1">$V941*NSSpacingFt+YOffset+PanArrayLenFt*COS(RADIANS(Latitude+DecAng))</f>
        <v>52.439632545931744</v>
      </c>
      <c r="Y941" s="245">
        <f ca="1">+$V941*NSGradeFt+PedHeight+PanArrayLenFt*SIN(RADIANS(Latitude+DecAng))</f>
        <v>7.401410761154855</v>
      </c>
      <c r="Z941" s="214">
        <f ca="1">+$W941</f>
        <v>10.80282152230971</v>
      </c>
      <c r="AA941" s="214">
        <f ca="1">+$Y941</f>
        <v>7.401410761154855</v>
      </c>
      <c r="AB941" s="214">
        <f ca="1">+$X941</f>
        <v>52.439632545931744</v>
      </c>
      <c r="AC941" s="214">
        <f ca="1">+$W941-XOffset</f>
        <v>10.80282152230971</v>
      </c>
    </row>
    <row r="942" spans="19:29" ht="8.4" customHeight="1">
      <c r="S942" s="307"/>
      <c r="T942" s="226">
        <f t="shared" si="57"/>
        <v>939</v>
      </c>
      <c r="U942" s="224">
        <f t="shared" si="55"/>
        <v>0</v>
      </c>
      <c r="V942" s="225">
        <f t="shared" si="56"/>
        <v>2</v>
      </c>
      <c r="W942" s="238">
        <f ca="1">$U942*EWSpacingFt+XOffset+0</f>
        <v>0</v>
      </c>
      <c r="X942" s="242">
        <f ca="1">$V942*NSSpacingFt+YOffset+PanArrayLenFt*COS(RADIANS(Latitude+DecAng))</f>
        <v>52.439632545931744</v>
      </c>
      <c r="Y942" s="246">
        <f ca="1">+$V942*NSGradeFt+PedHeight+PanArrayLenFt*SIN(RADIANS(Latitude+DecAng))</f>
        <v>7.401410761154855</v>
      </c>
      <c r="Z942" s="214">
        <f ca="1">+$W942</f>
        <v>0</v>
      </c>
      <c r="AA942" s="214">
        <f ca="1">+$Y942</f>
        <v>7.401410761154855</v>
      </c>
      <c r="AB942" s="214">
        <f ca="1">+$X942</f>
        <v>52.439632545931744</v>
      </c>
      <c r="AC942" s="214">
        <f ca="1">+$W942-XOffset</f>
        <v>0</v>
      </c>
    </row>
    <row r="943" spans="19:29" ht="8.4" customHeight="1">
      <c r="S943" s="307"/>
      <c r="T943" s="226">
        <f t="shared" si="57"/>
        <v>940</v>
      </c>
      <c r="U943" s="224">
        <f t="shared" si="55"/>
        <v>0</v>
      </c>
      <c r="V943" s="225">
        <f t="shared" si="56"/>
        <v>2</v>
      </c>
      <c r="W943" s="239">
        <f ca="1">$U943*EWSpacingFt+XOffset+(PanArrayWidthHighEndFt-PanArrayWidthLowEndFt)/2</f>
        <v>0</v>
      </c>
      <c r="X943" s="243">
        <f ca="1">$V943*NSSpacingFt+YOffset+0</f>
        <v>35.999999999999979</v>
      </c>
      <c r="Y943" s="247">
        <f ca="1">+$V943*NSGradeFt+PedHeight+0</f>
        <v>7.401410761154855</v>
      </c>
      <c r="Z943" s="214">
        <f ca="1">+$W943</f>
        <v>0</v>
      </c>
      <c r="AA943" s="214">
        <f ca="1">+$Y943</f>
        <v>7.401410761154855</v>
      </c>
      <c r="AB943" s="214">
        <f ca="1">+$X943</f>
        <v>35.999999999999979</v>
      </c>
      <c r="AC943" s="214">
        <f ca="1">+$W943-XOffset</f>
        <v>0</v>
      </c>
    </row>
    <row r="944" spans="19:29" ht="8.4" customHeight="1">
      <c r="S944" s="307"/>
      <c r="T944" s="226">
        <f t="shared" si="57"/>
        <v>941</v>
      </c>
      <c r="U944" s="224">
        <f t="shared" si="55"/>
        <v>0</v>
      </c>
      <c r="V944" s="225">
        <f t="shared" si="56"/>
        <v>2</v>
      </c>
      <c r="W944" s="217"/>
      <c r="X944" s="217"/>
      <c r="Y944" s="217"/>
      <c r="Z944" s="214"/>
      <c r="AA944" s="214"/>
      <c r="AB944" s="214"/>
      <c r="AC944" s="214"/>
    </row>
    <row r="945" spans="19:29" ht="8.4" customHeight="1">
      <c r="S945" s="307">
        <f>INT((T945-0)/6)+1</f>
        <v>158</v>
      </c>
      <c r="T945" s="226">
        <f t="shared" si="57"/>
        <v>942</v>
      </c>
      <c r="U945" s="224">
        <f t="shared" si="55"/>
        <v>1</v>
      </c>
      <c r="V945" s="225">
        <f t="shared" si="56"/>
        <v>2</v>
      </c>
      <c r="W945" s="233">
        <f ca="1">$U945*EWSpacingFt+XOffset+(PanArrayWidthHighEndFt-PanArrayWidthLowEndFt)/2</f>
        <v>30.000006832286932</v>
      </c>
      <c r="X945" s="234">
        <f ca="1">$V945*NSSpacingFt+YOffset+0</f>
        <v>35.999999999999979</v>
      </c>
      <c r="Y945" s="235">
        <f ca="1">+$V945*NSGradeFt+PedHeight+0</f>
        <v>7.401410761154855</v>
      </c>
      <c r="Z945" s="214">
        <f ca="1">+$W945</f>
        <v>30.000006832286932</v>
      </c>
      <c r="AA945" s="214">
        <f ca="1">+$Y945</f>
        <v>7.401410761154855</v>
      </c>
      <c r="AB945" s="214">
        <f ca="1">+$X945</f>
        <v>35.999999999999979</v>
      </c>
      <c r="AC945" s="214">
        <f ca="1">+$W945-XOffset</f>
        <v>30.000006832286932</v>
      </c>
    </row>
    <row r="946" spans="19:29" ht="8.4" customHeight="1">
      <c r="S946" s="307"/>
      <c r="T946" s="226">
        <f t="shared" si="57"/>
        <v>943</v>
      </c>
      <c r="U946" s="224">
        <f t="shared" si="55"/>
        <v>1</v>
      </c>
      <c r="V946" s="225">
        <f t="shared" si="56"/>
        <v>2</v>
      </c>
      <c r="W946" s="236">
        <f ca="1">+$U946*EWSpacingFt+XOffset+PanArrayWidthHighEndFt-(PanArrayWidthHighEndFt-PanArrayWidthLowEndFt)/2</f>
        <v>40.802828354596642</v>
      </c>
      <c r="X946" s="240">
        <f ca="1">$V946*NSSpacingFt+YOffset+0</f>
        <v>35.999999999999979</v>
      </c>
      <c r="Y946" s="244">
        <f ca="1">+$V946*NSGradeFt+PedHeight+0</f>
        <v>7.401410761154855</v>
      </c>
      <c r="Z946" s="214">
        <f ca="1">+$W946</f>
        <v>40.802828354596642</v>
      </c>
      <c r="AA946" s="214">
        <f ca="1">+$Y946</f>
        <v>7.401410761154855</v>
      </c>
      <c r="AB946" s="214">
        <f ca="1">+$X946</f>
        <v>35.999999999999979</v>
      </c>
      <c r="AC946" s="214">
        <f ca="1">+$W946-XOffset</f>
        <v>40.802828354596642</v>
      </c>
    </row>
    <row r="947" spans="19:29" ht="8.4" customHeight="1">
      <c r="S947" s="307"/>
      <c r="T947" s="226">
        <f t="shared" si="57"/>
        <v>944</v>
      </c>
      <c r="U947" s="224">
        <f t="shared" si="55"/>
        <v>1</v>
      </c>
      <c r="V947" s="225">
        <f t="shared" si="56"/>
        <v>2</v>
      </c>
      <c r="W947" s="237">
        <f ca="1">$U947*EWSpacingFt+XOffset+PanArrayWidthHighEndFt</f>
        <v>40.802828354596642</v>
      </c>
      <c r="X947" s="241">
        <f ca="1">$V947*NSSpacingFt+YOffset+PanArrayLenFt*COS(RADIANS(Latitude+DecAng))</f>
        <v>52.439632545931744</v>
      </c>
      <c r="Y947" s="245">
        <f ca="1">+$V947*NSGradeFt+PedHeight+PanArrayLenFt*SIN(RADIANS(Latitude+DecAng))</f>
        <v>7.401410761154855</v>
      </c>
      <c r="Z947" s="214">
        <f ca="1">+$W947</f>
        <v>40.802828354596642</v>
      </c>
      <c r="AA947" s="214">
        <f ca="1">+$Y947</f>
        <v>7.401410761154855</v>
      </c>
      <c r="AB947" s="214">
        <f ca="1">+$X947</f>
        <v>52.439632545931744</v>
      </c>
      <c r="AC947" s="214">
        <f ca="1">+$W947-XOffset</f>
        <v>40.802828354596642</v>
      </c>
    </row>
    <row r="948" spans="19:29" ht="8.4" customHeight="1">
      <c r="S948" s="307"/>
      <c r="T948" s="226">
        <f t="shared" si="57"/>
        <v>945</v>
      </c>
      <c r="U948" s="224">
        <f t="shared" si="55"/>
        <v>1</v>
      </c>
      <c r="V948" s="225">
        <f t="shared" si="56"/>
        <v>2</v>
      </c>
      <c r="W948" s="238">
        <f ca="1">$U948*EWSpacingFt+XOffset+0</f>
        <v>30.000006832286932</v>
      </c>
      <c r="X948" s="242">
        <f ca="1">$V948*NSSpacingFt+YOffset+PanArrayLenFt*COS(RADIANS(Latitude+DecAng))</f>
        <v>52.439632545931744</v>
      </c>
      <c r="Y948" s="246">
        <f ca="1">+$V948*NSGradeFt+PedHeight+PanArrayLenFt*SIN(RADIANS(Latitude+DecAng))</f>
        <v>7.401410761154855</v>
      </c>
      <c r="Z948" s="214">
        <f ca="1">+$W948</f>
        <v>30.000006832286932</v>
      </c>
      <c r="AA948" s="214">
        <f ca="1">+$Y948</f>
        <v>7.401410761154855</v>
      </c>
      <c r="AB948" s="214">
        <f ca="1">+$X948</f>
        <v>52.439632545931744</v>
      </c>
      <c r="AC948" s="214">
        <f ca="1">+$W948-XOffset</f>
        <v>30.000006832286932</v>
      </c>
    </row>
    <row r="949" spans="19:29" ht="8.4" customHeight="1">
      <c r="S949" s="307"/>
      <c r="T949" s="226">
        <f t="shared" si="57"/>
        <v>946</v>
      </c>
      <c r="U949" s="224">
        <f t="shared" si="55"/>
        <v>1</v>
      </c>
      <c r="V949" s="225">
        <f t="shared" si="56"/>
        <v>2</v>
      </c>
      <c r="W949" s="239">
        <f ca="1">$U949*EWSpacingFt+XOffset+(PanArrayWidthHighEndFt-PanArrayWidthLowEndFt)/2</f>
        <v>30.000006832286932</v>
      </c>
      <c r="X949" s="243">
        <f ca="1">$V949*NSSpacingFt+YOffset+0</f>
        <v>35.999999999999979</v>
      </c>
      <c r="Y949" s="247">
        <f ca="1">+$V949*NSGradeFt+PedHeight+0</f>
        <v>7.401410761154855</v>
      </c>
      <c r="Z949" s="214">
        <f ca="1">+$W949</f>
        <v>30.000006832286932</v>
      </c>
      <c r="AA949" s="214">
        <f ca="1">+$Y949</f>
        <v>7.401410761154855</v>
      </c>
      <c r="AB949" s="214">
        <f ca="1">+$X949</f>
        <v>35.999999999999979</v>
      </c>
      <c r="AC949" s="214">
        <f ca="1">+$W949-XOffset</f>
        <v>30.000006832286932</v>
      </c>
    </row>
    <row r="950" spans="19:29" ht="8.4" customHeight="1">
      <c r="S950" s="307"/>
      <c r="T950" s="226">
        <f t="shared" si="57"/>
        <v>947</v>
      </c>
      <c r="U950" s="224">
        <f t="shared" si="55"/>
        <v>1</v>
      </c>
      <c r="V950" s="225">
        <f t="shared" si="56"/>
        <v>2</v>
      </c>
      <c r="W950" s="217"/>
      <c r="X950" s="217"/>
      <c r="Y950" s="217"/>
      <c r="Z950" s="214"/>
      <c r="AA950" s="214"/>
      <c r="AB950" s="214"/>
      <c r="AC950" s="214"/>
    </row>
    <row r="951" spans="19:29" ht="8.4" customHeight="1">
      <c r="S951" s="307">
        <f>INT((T951-0)/6)+1</f>
        <v>159</v>
      </c>
      <c r="T951" s="226">
        <f t="shared" si="57"/>
        <v>948</v>
      </c>
      <c r="U951" s="224">
        <f t="shared" si="55"/>
        <v>0</v>
      </c>
      <c r="V951" s="225">
        <f t="shared" si="56"/>
        <v>3</v>
      </c>
      <c r="W951" s="233">
        <f ca="1">$U951*EWSpacingFt+XOffset+(PanArrayWidthHighEndFt-PanArrayWidthLowEndFt)/2</f>
        <v>0</v>
      </c>
      <c r="X951" s="234">
        <f ca="1">$V951*NSSpacingFt+YOffset+0</f>
        <v>53.999999999999972</v>
      </c>
      <c r="Y951" s="235">
        <f ca="1">+$V951*NSGradeFt+PedHeight+0</f>
        <v>7.401410761154855</v>
      </c>
      <c r="Z951" s="214">
        <f ca="1">+$W951</f>
        <v>0</v>
      </c>
      <c r="AA951" s="214">
        <f ca="1">+$Y951</f>
        <v>7.401410761154855</v>
      </c>
      <c r="AB951" s="214">
        <f ca="1">+$X951</f>
        <v>53.999999999999972</v>
      </c>
      <c r="AC951" s="214">
        <f ca="1">+$W951-XOffset</f>
        <v>0</v>
      </c>
    </row>
    <row r="952" spans="19:29" ht="8.4" customHeight="1">
      <c r="S952" s="307"/>
      <c r="T952" s="226">
        <f t="shared" si="57"/>
        <v>949</v>
      </c>
      <c r="U952" s="224">
        <f t="shared" si="55"/>
        <v>0</v>
      </c>
      <c r="V952" s="225">
        <f t="shared" si="56"/>
        <v>3</v>
      </c>
      <c r="W952" s="236">
        <f ca="1">+$U952*EWSpacingFt+XOffset+PanArrayWidthHighEndFt-(PanArrayWidthHighEndFt-PanArrayWidthLowEndFt)/2</f>
        <v>10.80282152230971</v>
      </c>
      <c r="X952" s="240">
        <f ca="1">$V952*NSSpacingFt+YOffset+0</f>
        <v>53.999999999999972</v>
      </c>
      <c r="Y952" s="244">
        <f ca="1">+$V952*NSGradeFt+PedHeight+0</f>
        <v>7.401410761154855</v>
      </c>
      <c r="Z952" s="214">
        <f ca="1">+$W952</f>
        <v>10.80282152230971</v>
      </c>
      <c r="AA952" s="214">
        <f ca="1">+$Y952</f>
        <v>7.401410761154855</v>
      </c>
      <c r="AB952" s="214">
        <f ca="1">+$X952</f>
        <v>53.999999999999972</v>
      </c>
      <c r="AC952" s="214">
        <f ca="1">+$W952-XOffset</f>
        <v>10.80282152230971</v>
      </c>
    </row>
    <row r="953" spans="19:29" ht="8.4" customHeight="1">
      <c r="S953" s="307"/>
      <c r="T953" s="226">
        <f t="shared" si="57"/>
        <v>950</v>
      </c>
      <c r="U953" s="224">
        <f t="shared" si="55"/>
        <v>0</v>
      </c>
      <c r="V953" s="225">
        <f t="shared" si="56"/>
        <v>3</v>
      </c>
      <c r="W953" s="237">
        <f ca="1">$U953*EWSpacingFt+XOffset+PanArrayWidthHighEndFt</f>
        <v>10.80282152230971</v>
      </c>
      <c r="X953" s="241">
        <f ca="1">$V953*NSSpacingFt+YOffset+PanArrayLenFt*COS(RADIANS(Latitude+DecAng))</f>
        <v>70.43963254593173</v>
      </c>
      <c r="Y953" s="245">
        <f ca="1">+$V953*NSGradeFt+PedHeight+PanArrayLenFt*SIN(RADIANS(Latitude+DecAng))</f>
        <v>7.401410761154855</v>
      </c>
      <c r="Z953" s="214">
        <f ca="1">+$W953</f>
        <v>10.80282152230971</v>
      </c>
      <c r="AA953" s="214">
        <f ca="1">+$Y953</f>
        <v>7.401410761154855</v>
      </c>
      <c r="AB953" s="214">
        <f ca="1">+$X953</f>
        <v>70.43963254593173</v>
      </c>
      <c r="AC953" s="214">
        <f ca="1">+$W953-XOffset</f>
        <v>10.80282152230971</v>
      </c>
    </row>
    <row r="954" spans="19:29" ht="8.4" customHeight="1">
      <c r="S954" s="307"/>
      <c r="T954" s="226">
        <f t="shared" si="57"/>
        <v>951</v>
      </c>
      <c r="U954" s="224">
        <f t="shared" si="55"/>
        <v>0</v>
      </c>
      <c r="V954" s="225">
        <f t="shared" si="56"/>
        <v>3</v>
      </c>
      <c r="W954" s="238">
        <f ca="1">$U954*EWSpacingFt+XOffset+0</f>
        <v>0</v>
      </c>
      <c r="X954" s="242">
        <f ca="1">$V954*NSSpacingFt+YOffset+PanArrayLenFt*COS(RADIANS(Latitude+DecAng))</f>
        <v>70.43963254593173</v>
      </c>
      <c r="Y954" s="246">
        <f ca="1">+$V954*NSGradeFt+PedHeight+PanArrayLenFt*SIN(RADIANS(Latitude+DecAng))</f>
        <v>7.401410761154855</v>
      </c>
      <c r="Z954" s="214">
        <f ca="1">+$W954</f>
        <v>0</v>
      </c>
      <c r="AA954" s="214">
        <f ca="1">+$Y954</f>
        <v>7.401410761154855</v>
      </c>
      <c r="AB954" s="214">
        <f ca="1">+$X954</f>
        <v>70.43963254593173</v>
      </c>
      <c r="AC954" s="214">
        <f ca="1">+$W954-XOffset</f>
        <v>0</v>
      </c>
    </row>
    <row r="955" spans="19:29" ht="8.4" customHeight="1">
      <c r="S955" s="307"/>
      <c r="T955" s="226">
        <f t="shared" si="57"/>
        <v>952</v>
      </c>
      <c r="U955" s="224">
        <f t="shared" si="55"/>
        <v>0</v>
      </c>
      <c r="V955" s="225">
        <f t="shared" si="56"/>
        <v>3</v>
      </c>
      <c r="W955" s="239">
        <f ca="1">$U955*EWSpacingFt+XOffset+(PanArrayWidthHighEndFt-PanArrayWidthLowEndFt)/2</f>
        <v>0</v>
      </c>
      <c r="X955" s="243">
        <f ca="1">$V955*NSSpacingFt+YOffset+0</f>
        <v>53.999999999999972</v>
      </c>
      <c r="Y955" s="247">
        <f ca="1">+$V955*NSGradeFt+PedHeight+0</f>
        <v>7.401410761154855</v>
      </c>
      <c r="Z955" s="214">
        <f ca="1">+$W955</f>
        <v>0</v>
      </c>
      <c r="AA955" s="214">
        <f ca="1">+$Y955</f>
        <v>7.401410761154855</v>
      </c>
      <c r="AB955" s="214">
        <f ca="1">+$X955</f>
        <v>53.999999999999972</v>
      </c>
      <c r="AC955" s="214">
        <f ca="1">+$W955-XOffset</f>
        <v>0</v>
      </c>
    </row>
    <row r="956" spans="19:29" ht="8.4" customHeight="1">
      <c r="S956" s="307"/>
      <c r="T956" s="226">
        <f t="shared" si="57"/>
        <v>953</v>
      </c>
      <c r="U956" s="224">
        <f t="shared" si="55"/>
        <v>0</v>
      </c>
      <c r="V956" s="225">
        <f t="shared" si="56"/>
        <v>3</v>
      </c>
      <c r="W956" s="217"/>
      <c r="X956" s="217"/>
      <c r="Y956" s="217"/>
      <c r="Z956" s="214"/>
      <c r="AA956" s="214"/>
      <c r="AB956" s="214"/>
      <c r="AC956" s="214"/>
    </row>
    <row r="957" spans="19:29" ht="8.4" customHeight="1">
      <c r="S957" s="307">
        <f>INT((T957-0)/6)+1</f>
        <v>160</v>
      </c>
      <c r="T957" s="226">
        <f t="shared" si="57"/>
        <v>954</v>
      </c>
      <c r="U957" s="224">
        <f t="shared" si="55"/>
        <v>1</v>
      </c>
      <c r="V957" s="225">
        <f t="shared" si="56"/>
        <v>3</v>
      </c>
      <c r="W957" s="233">
        <f ca="1">$U957*EWSpacingFt+XOffset+(PanArrayWidthHighEndFt-PanArrayWidthLowEndFt)/2</f>
        <v>30.000006832286932</v>
      </c>
      <c r="X957" s="234">
        <f ca="1">$V957*NSSpacingFt+YOffset+0</f>
        <v>53.999999999999972</v>
      </c>
      <c r="Y957" s="235">
        <f ca="1">+$V957*NSGradeFt+PedHeight+0</f>
        <v>7.401410761154855</v>
      </c>
      <c r="Z957" s="214">
        <f ca="1">+$W957</f>
        <v>30.000006832286932</v>
      </c>
      <c r="AA957" s="214">
        <f ca="1">+$Y957</f>
        <v>7.401410761154855</v>
      </c>
      <c r="AB957" s="214">
        <f ca="1">+$X957</f>
        <v>53.999999999999972</v>
      </c>
      <c r="AC957" s="214">
        <f ca="1">+$W957-XOffset</f>
        <v>30.000006832286932</v>
      </c>
    </row>
    <row r="958" spans="19:29" ht="8.4" customHeight="1">
      <c r="S958" s="307"/>
      <c r="T958" s="226">
        <f t="shared" si="57"/>
        <v>955</v>
      </c>
      <c r="U958" s="224">
        <f t="shared" si="55"/>
        <v>1</v>
      </c>
      <c r="V958" s="225">
        <f t="shared" si="56"/>
        <v>3</v>
      </c>
      <c r="W958" s="236">
        <f ca="1">+$U958*EWSpacingFt+XOffset+PanArrayWidthHighEndFt-(PanArrayWidthHighEndFt-PanArrayWidthLowEndFt)/2</f>
        <v>40.802828354596642</v>
      </c>
      <c r="X958" s="240">
        <f ca="1">$V958*NSSpacingFt+YOffset+0</f>
        <v>53.999999999999972</v>
      </c>
      <c r="Y958" s="244">
        <f ca="1">+$V958*NSGradeFt+PedHeight+0</f>
        <v>7.401410761154855</v>
      </c>
      <c r="Z958" s="214">
        <f ca="1">+$W958</f>
        <v>40.802828354596642</v>
      </c>
      <c r="AA958" s="214">
        <f ca="1">+$Y958</f>
        <v>7.401410761154855</v>
      </c>
      <c r="AB958" s="214">
        <f ca="1">+$X958</f>
        <v>53.999999999999972</v>
      </c>
      <c r="AC958" s="214">
        <f ca="1">+$W958-XOffset</f>
        <v>40.802828354596642</v>
      </c>
    </row>
    <row r="959" spans="19:29" ht="8.4" customHeight="1">
      <c r="S959" s="307"/>
      <c r="T959" s="226">
        <f t="shared" si="57"/>
        <v>956</v>
      </c>
      <c r="U959" s="224">
        <f t="shared" si="55"/>
        <v>1</v>
      </c>
      <c r="V959" s="225">
        <f t="shared" si="56"/>
        <v>3</v>
      </c>
      <c r="W959" s="237">
        <f ca="1">$U959*EWSpacingFt+XOffset+PanArrayWidthHighEndFt</f>
        <v>40.802828354596642</v>
      </c>
      <c r="X959" s="241">
        <f ca="1">$V959*NSSpacingFt+YOffset+PanArrayLenFt*COS(RADIANS(Latitude+DecAng))</f>
        <v>70.43963254593173</v>
      </c>
      <c r="Y959" s="245">
        <f ca="1">+$V959*NSGradeFt+PedHeight+PanArrayLenFt*SIN(RADIANS(Latitude+DecAng))</f>
        <v>7.401410761154855</v>
      </c>
      <c r="Z959" s="214">
        <f ca="1">+$W959</f>
        <v>40.802828354596642</v>
      </c>
      <c r="AA959" s="214">
        <f ca="1">+$Y959</f>
        <v>7.401410761154855</v>
      </c>
      <c r="AB959" s="214">
        <f ca="1">+$X959</f>
        <v>70.43963254593173</v>
      </c>
      <c r="AC959" s="214">
        <f ca="1">+$W959-XOffset</f>
        <v>40.802828354596642</v>
      </c>
    </row>
    <row r="960" spans="19:29" ht="8.4" customHeight="1">
      <c r="S960" s="307"/>
      <c r="T960" s="226">
        <f t="shared" si="57"/>
        <v>957</v>
      </c>
      <c r="U960" s="224">
        <f t="shared" si="55"/>
        <v>1</v>
      </c>
      <c r="V960" s="225">
        <f t="shared" si="56"/>
        <v>3</v>
      </c>
      <c r="W960" s="238">
        <f ca="1">$U960*EWSpacingFt+XOffset+0</f>
        <v>30.000006832286932</v>
      </c>
      <c r="X960" s="242">
        <f ca="1">$V960*NSSpacingFt+YOffset+PanArrayLenFt*COS(RADIANS(Latitude+DecAng))</f>
        <v>70.43963254593173</v>
      </c>
      <c r="Y960" s="246">
        <f ca="1">+$V960*NSGradeFt+PedHeight+PanArrayLenFt*SIN(RADIANS(Latitude+DecAng))</f>
        <v>7.401410761154855</v>
      </c>
      <c r="Z960" s="214">
        <f ca="1">+$W960</f>
        <v>30.000006832286932</v>
      </c>
      <c r="AA960" s="214">
        <f ca="1">+$Y960</f>
        <v>7.401410761154855</v>
      </c>
      <c r="AB960" s="214">
        <f ca="1">+$X960</f>
        <v>70.43963254593173</v>
      </c>
      <c r="AC960" s="214">
        <f ca="1">+$W960-XOffset</f>
        <v>30.000006832286932</v>
      </c>
    </row>
    <row r="961" spans="19:29" ht="8.4" customHeight="1">
      <c r="S961" s="307"/>
      <c r="T961" s="226">
        <f t="shared" si="57"/>
        <v>958</v>
      </c>
      <c r="U961" s="224">
        <f t="shared" si="55"/>
        <v>1</v>
      </c>
      <c r="V961" s="225">
        <f t="shared" si="56"/>
        <v>3</v>
      </c>
      <c r="W961" s="239">
        <f ca="1">$U961*EWSpacingFt+XOffset+(PanArrayWidthHighEndFt-PanArrayWidthLowEndFt)/2</f>
        <v>30.000006832286932</v>
      </c>
      <c r="X961" s="243">
        <f ca="1">$V961*NSSpacingFt+YOffset+0</f>
        <v>53.999999999999972</v>
      </c>
      <c r="Y961" s="247">
        <f ca="1">+$V961*NSGradeFt+PedHeight+0</f>
        <v>7.401410761154855</v>
      </c>
      <c r="Z961" s="214">
        <f ca="1">+$W961</f>
        <v>30.000006832286932</v>
      </c>
      <c r="AA961" s="214">
        <f ca="1">+$Y961</f>
        <v>7.401410761154855</v>
      </c>
      <c r="AB961" s="214">
        <f ca="1">+$X961</f>
        <v>53.999999999999972</v>
      </c>
      <c r="AC961" s="214">
        <f ca="1">+$W961-XOffset</f>
        <v>30.000006832286932</v>
      </c>
    </row>
    <row r="962" spans="19:29" ht="8.4" customHeight="1">
      <c r="S962" s="307"/>
      <c r="T962" s="226">
        <f t="shared" si="57"/>
        <v>959</v>
      </c>
      <c r="U962" s="224">
        <f t="shared" si="55"/>
        <v>1</v>
      </c>
      <c r="V962" s="225">
        <f t="shared" si="56"/>
        <v>3</v>
      </c>
      <c r="W962" s="217"/>
      <c r="X962" s="217"/>
      <c r="Y962" s="217"/>
      <c r="Z962" s="214"/>
      <c r="AA962" s="214"/>
      <c r="AB962" s="214"/>
      <c r="AC962" s="214"/>
    </row>
    <row r="963" spans="19:29" ht="8.4" customHeight="1">
      <c r="S963" s="307">
        <f>INT((T963-0)/6)+1</f>
        <v>161</v>
      </c>
      <c r="T963" s="226">
        <f t="shared" si="57"/>
        <v>960</v>
      </c>
      <c r="U963" s="224">
        <f t="shared" ref="U963:U1026" si="58">+MOD(INT(T963/6),ColumnsOfMounts)</f>
        <v>0</v>
      </c>
      <c r="V963" s="225">
        <f t="shared" ref="V963:V1026" si="59">+MOD(INT(T963/6/ColumnsOfMounts),RowsOfMounts)</f>
        <v>0</v>
      </c>
      <c r="W963" s="233">
        <f ca="1">$U963*EWSpacingFt+XOffset+(PanArrayWidthHighEndFt-PanArrayWidthLowEndFt)/2</f>
        <v>0</v>
      </c>
      <c r="X963" s="234">
        <f ca="1">$V963*NSSpacingFt+YOffset+0</f>
        <v>0</v>
      </c>
      <c r="Y963" s="235">
        <f ca="1">+$V963*NSGradeFt+PedHeight+0</f>
        <v>7.401410761154855</v>
      </c>
      <c r="Z963" s="214">
        <f ca="1">+$W963</f>
        <v>0</v>
      </c>
      <c r="AA963" s="214">
        <f ca="1">+$Y963</f>
        <v>7.401410761154855</v>
      </c>
      <c r="AB963" s="214">
        <f ca="1">+$X963</f>
        <v>0</v>
      </c>
      <c r="AC963" s="214">
        <f ca="1">+$W963-XOffset</f>
        <v>0</v>
      </c>
    </row>
    <row r="964" spans="19:29" ht="8.4" customHeight="1">
      <c r="S964" s="307"/>
      <c r="T964" s="226">
        <f t="shared" si="57"/>
        <v>961</v>
      </c>
      <c r="U964" s="224">
        <f t="shared" si="58"/>
        <v>0</v>
      </c>
      <c r="V964" s="225">
        <f t="shared" si="59"/>
        <v>0</v>
      </c>
      <c r="W964" s="236">
        <f ca="1">+$U964*EWSpacingFt+XOffset+PanArrayWidthHighEndFt-(PanArrayWidthHighEndFt-PanArrayWidthLowEndFt)/2</f>
        <v>10.80282152230971</v>
      </c>
      <c r="X964" s="240">
        <f ca="1">$V964*NSSpacingFt+YOffset+0</f>
        <v>0</v>
      </c>
      <c r="Y964" s="244">
        <f ca="1">+$V964*NSGradeFt+PedHeight+0</f>
        <v>7.401410761154855</v>
      </c>
      <c r="Z964" s="214">
        <f ca="1">+$W964</f>
        <v>10.80282152230971</v>
      </c>
      <c r="AA964" s="214">
        <f ca="1">+$Y964</f>
        <v>7.401410761154855</v>
      </c>
      <c r="AB964" s="214">
        <f ca="1">+$X964</f>
        <v>0</v>
      </c>
      <c r="AC964" s="214">
        <f ca="1">+$W964-XOffset</f>
        <v>10.80282152230971</v>
      </c>
    </row>
    <row r="965" spans="19:29" ht="8.4" customHeight="1">
      <c r="S965" s="307"/>
      <c r="T965" s="226">
        <f t="shared" si="57"/>
        <v>962</v>
      </c>
      <c r="U965" s="224">
        <f t="shared" si="58"/>
        <v>0</v>
      </c>
      <c r="V965" s="225">
        <f t="shared" si="59"/>
        <v>0</v>
      </c>
      <c r="W965" s="237">
        <f ca="1">$U965*EWSpacingFt+XOffset+PanArrayWidthHighEndFt</f>
        <v>10.80282152230971</v>
      </c>
      <c r="X965" s="241">
        <f ca="1">$V965*NSSpacingFt+YOffset+PanArrayLenFt*COS(RADIANS(Latitude+DecAng))</f>
        <v>16.439632545931762</v>
      </c>
      <c r="Y965" s="245">
        <f ca="1">+$V965*NSGradeFt+PedHeight+PanArrayLenFt*SIN(RADIANS(Latitude+DecAng))</f>
        <v>7.401410761154855</v>
      </c>
      <c r="Z965" s="214">
        <f ca="1">+$W965</f>
        <v>10.80282152230971</v>
      </c>
      <c r="AA965" s="214">
        <f ca="1">+$Y965</f>
        <v>7.401410761154855</v>
      </c>
      <c r="AB965" s="214">
        <f ca="1">+$X965</f>
        <v>16.439632545931762</v>
      </c>
      <c r="AC965" s="214">
        <f ca="1">+$W965-XOffset</f>
        <v>10.80282152230971</v>
      </c>
    </row>
    <row r="966" spans="19:29" ht="8.4" customHeight="1">
      <c r="S966" s="307"/>
      <c r="T966" s="226">
        <f t="shared" si="57"/>
        <v>963</v>
      </c>
      <c r="U966" s="224">
        <f t="shared" si="58"/>
        <v>0</v>
      </c>
      <c r="V966" s="225">
        <f t="shared" si="59"/>
        <v>0</v>
      </c>
      <c r="W966" s="238">
        <f ca="1">$U966*EWSpacingFt+XOffset+0</f>
        <v>0</v>
      </c>
      <c r="X966" s="242">
        <f ca="1">$V966*NSSpacingFt+YOffset+PanArrayLenFt*COS(RADIANS(Latitude+DecAng))</f>
        <v>16.439632545931762</v>
      </c>
      <c r="Y966" s="246">
        <f ca="1">+$V966*NSGradeFt+PedHeight+PanArrayLenFt*SIN(RADIANS(Latitude+DecAng))</f>
        <v>7.401410761154855</v>
      </c>
      <c r="Z966" s="214">
        <f ca="1">+$W966</f>
        <v>0</v>
      </c>
      <c r="AA966" s="214">
        <f ca="1">+$Y966</f>
        <v>7.401410761154855</v>
      </c>
      <c r="AB966" s="214">
        <f ca="1">+$X966</f>
        <v>16.439632545931762</v>
      </c>
      <c r="AC966" s="214">
        <f ca="1">+$W966-XOffset</f>
        <v>0</v>
      </c>
    </row>
    <row r="967" spans="19:29" ht="8.4" customHeight="1">
      <c r="S967" s="307"/>
      <c r="T967" s="226">
        <f t="shared" si="57"/>
        <v>964</v>
      </c>
      <c r="U967" s="224">
        <f t="shared" si="58"/>
        <v>0</v>
      </c>
      <c r="V967" s="225">
        <f t="shared" si="59"/>
        <v>0</v>
      </c>
      <c r="W967" s="239">
        <f ca="1">$U967*EWSpacingFt+XOffset+(PanArrayWidthHighEndFt-PanArrayWidthLowEndFt)/2</f>
        <v>0</v>
      </c>
      <c r="X967" s="243">
        <f ca="1">$V967*NSSpacingFt+YOffset+0</f>
        <v>0</v>
      </c>
      <c r="Y967" s="247">
        <f ca="1">+$V967*NSGradeFt+PedHeight+0</f>
        <v>7.401410761154855</v>
      </c>
      <c r="Z967" s="214">
        <f ca="1">+$W967</f>
        <v>0</v>
      </c>
      <c r="AA967" s="214">
        <f ca="1">+$Y967</f>
        <v>7.401410761154855</v>
      </c>
      <c r="AB967" s="214">
        <f ca="1">+$X967</f>
        <v>0</v>
      </c>
      <c r="AC967" s="214">
        <f ca="1">+$W967-XOffset</f>
        <v>0</v>
      </c>
    </row>
    <row r="968" spans="19:29" ht="8.4" customHeight="1">
      <c r="S968" s="307"/>
      <c r="T968" s="226">
        <f t="shared" si="57"/>
        <v>965</v>
      </c>
      <c r="U968" s="224">
        <f t="shared" si="58"/>
        <v>0</v>
      </c>
      <c r="V968" s="225">
        <f t="shared" si="59"/>
        <v>0</v>
      </c>
      <c r="W968" s="217"/>
      <c r="X968" s="217"/>
      <c r="Y968" s="217"/>
      <c r="Z968" s="214"/>
      <c r="AA968" s="214"/>
      <c r="AB968" s="214"/>
      <c r="AC968" s="214"/>
    </row>
    <row r="969" spans="19:29" ht="8.4" customHeight="1">
      <c r="S969" s="307">
        <f>INT((T969-0)/6)+1</f>
        <v>162</v>
      </c>
      <c r="T969" s="226">
        <f t="shared" si="57"/>
        <v>966</v>
      </c>
      <c r="U969" s="224">
        <f t="shared" si="58"/>
        <v>1</v>
      </c>
      <c r="V969" s="225">
        <f t="shared" si="59"/>
        <v>0</v>
      </c>
      <c r="W969" s="233">
        <f ca="1">$U969*EWSpacingFt+XOffset+(PanArrayWidthHighEndFt-PanArrayWidthLowEndFt)/2</f>
        <v>30.000006832286932</v>
      </c>
      <c r="X969" s="234">
        <f ca="1">$V969*NSSpacingFt+YOffset+0</f>
        <v>0</v>
      </c>
      <c r="Y969" s="235">
        <f ca="1">+$V969*NSGradeFt+PedHeight+0</f>
        <v>7.401410761154855</v>
      </c>
      <c r="Z969" s="214">
        <f ca="1">+$W969</f>
        <v>30.000006832286932</v>
      </c>
      <c r="AA969" s="214">
        <f ca="1">+$Y969</f>
        <v>7.401410761154855</v>
      </c>
      <c r="AB969" s="214">
        <f ca="1">+$X969</f>
        <v>0</v>
      </c>
      <c r="AC969" s="214">
        <f ca="1">+$W969-XOffset</f>
        <v>30.000006832286932</v>
      </c>
    </row>
    <row r="970" spans="19:29" ht="8.4" customHeight="1">
      <c r="S970" s="307"/>
      <c r="T970" s="226">
        <f t="shared" si="57"/>
        <v>967</v>
      </c>
      <c r="U970" s="224">
        <f t="shared" si="58"/>
        <v>1</v>
      </c>
      <c r="V970" s="225">
        <f t="shared" si="59"/>
        <v>0</v>
      </c>
      <c r="W970" s="236">
        <f ca="1">+$U970*EWSpacingFt+XOffset+PanArrayWidthHighEndFt-(PanArrayWidthHighEndFt-PanArrayWidthLowEndFt)/2</f>
        <v>40.802828354596642</v>
      </c>
      <c r="X970" s="240">
        <f ca="1">$V970*NSSpacingFt+YOffset+0</f>
        <v>0</v>
      </c>
      <c r="Y970" s="244">
        <f ca="1">+$V970*NSGradeFt+PedHeight+0</f>
        <v>7.401410761154855</v>
      </c>
      <c r="Z970" s="214">
        <f ca="1">+$W970</f>
        <v>40.802828354596642</v>
      </c>
      <c r="AA970" s="214">
        <f ca="1">+$Y970</f>
        <v>7.401410761154855</v>
      </c>
      <c r="AB970" s="214">
        <f ca="1">+$X970</f>
        <v>0</v>
      </c>
      <c r="AC970" s="214">
        <f ca="1">+$W970-XOffset</f>
        <v>40.802828354596642</v>
      </c>
    </row>
    <row r="971" spans="19:29" ht="8.4" customHeight="1">
      <c r="S971" s="307"/>
      <c r="T971" s="226">
        <f t="shared" si="57"/>
        <v>968</v>
      </c>
      <c r="U971" s="224">
        <f t="shared" si="58"/>
        <v>1</v>
      </c>
      <c r="V971" s="225">
        <f t="shared" si="59"/>
        <v>0</v>
      </c>
      <c r="W971" s="237">
        <f ca="1">$U971*EWSpacingFt+XOffset+PanArrayWidthHighEndFt</f>
        <v>40.802828354596642</v>
      </c>
      <c r="X971" s="241">
        <f ca="1">$V971*NSSpacingFt+YOffset+PanArrayLenFt*COS(RADIANS(Latitude+DecAng))</f>
        <v>16.439632545931762</v>
      </c>
      <c r="Y971" s="245">
        <f ca="1">+$V971*NSGradeFt+PedHeight+PanArrayLenFt*SIN(RADIANS(Latitude+DecAng))</f>
        <v>7.401410761154855</v>
      </c>
      <c r="Z971" s="214">
        <f ca="1">+$W971</f>
        <v>40.802828354596642</v>
      </c>
      <c r="AA971" s="214">
        <f ca="1">+$Y971</f>
        <v>7.401410761154855</v>
      </c>
      <c r="AB971" s="214">
        <f ca="1">+$X971</f>
        <v>16.439632545931762</v>
      </c>
      <c r="AC971" s="214">
        <f ca="1">+$W971-XOffset</f>
        <v>40.802828354596642</v>
      </c>
    </row>
    <row r="972" spans="19:29" ht="8.4" customHeight="1">
      <c r="S972" s="307"/>
      <c r="T972" s="226">
        <f t="shared" si="57"/>
        <v>969</v>
      </c>
      <c r="U972" s="224">
        <f t="shared" si="58"/>
        <v>1</v>
      </c>
      <c r="V972" s="225">
        <f t="shared" si="59"/>
        <v>0</v>
      </c>
      <c r="W972" s="238">
        <f ca="1">$U972*EWSpacingFt+XOffset+0</f>
        <v>30.000006832286932</v>
      </c>
      <c r="X972" s="242">
        <f ca="1">$V972*NSSpacingFt+YOffset+PanArrayLenFt*COS(RADIANS(Latitude+DecAng))</f>
        <v>16.439632545931762</v>
      </c>
      <c r="Y972" s="246">
        <f ca="1">+$V972*NSGradeFt+PedHeight+PanArrayLenFt*SIN(RADIANS(Latitude+DecAng))</f>
        <v>7.401410761154855</v>
      </c>
      <c r="Z972" s="214">
        <f ca="1">+$W972</f>
        <v>30.000006832286932</v>
      </c>
      <c r="AA972" s="214">
        <f ca="1">+$Y972</f>
        <v>7.401410761154855</v>
      </c>
      <c r="AB972" s="214">
        <f ca="1">+$X972</f>
        <v>16.439632545931762</v>
      </c>
      <c r="AC972" s="214">
        <f ca="1">+$W972-XOffset</f>
        <v>30.000006832286932</v>
      </c>
    </row>
    <row r="973" spans="19:29" ht="8.4" customHeight="1">
      <c r="S973" s="307"/>
      <c r="T973" s="226">
        <f t="shared" si="57"/>
        <v>970</v>
      </c>
      <c r="U973" s="224">
        <f t="shared" si="58"/>
        <v>1</v>
      </c>
      <c r="V973" s="225">
        <f t="shared" si="59"/>
        <v>0</v>
      </c>
      <c r="W973" s="239">
        <f ca="1">$U973*EWSpacingFt+XOffset+(PanArrayWidthHighEndFt-PanArrayWidthLowEndFt)/2</f>
        <v>30.000006832286932</v>
      </c>
      <c r="X973" s="243">
        <f ca="1">$V973*NSSpacingFt+YOffset+0</f>
        <v>0</v>
      </c>
      <c r="Y973" s="247">
        <f ca="1">+$V973*NSGradeFt+PedHeight+0</f>
        <v>7.401410761154855</v>
      </c>
      <c r="Z973" s="214">
        <f ca="1">+$W973</f>
        <v>30.000006832286932</v>
      </c>
      <c r="AA973" s="214">
        <f ca="1">+$Y973</f>
        <v>7.401410761154855</v>
      </c>
      <c r="AB973" s="214">
        <f ca="1">+$X973</f>
        <v>0</v>
      </c>
      <c r="AC973" s="214">
        <f ca="1">+$W973-XOffset</f>
        <v>30.000006832286932</v>
      </c>
    </row>
    <row r="974" spans="19:29" ht="8.4" customHeight="1">
      <c r="S974" s="307"/>
      <c r="T974" s="226">
        <f t="shared" si="57"/>
        <v>971</v>
      </c>
      <c r="U974" s="224">
        <f t="shared" si="58"/>
        <v>1</v>
      </c>
      <c r="V974" s="225">
        <f t="shared" si="59"/>
        <v>0</v>
      </c>
      <c r="W974" s="217"/>
      <c r="X974" s="217"/>
      <c r="Y974" s="217"/>
      <c r="Z974" s="214"/>
      <c r="AA974" s="214"/>
      <c r="AB974" s="214"/>
      <c r="AC974" s="214"/>
    </row>
    <row r="975" spans="19:29" ht="8.4" customHeight="1">
      <c r="S975" s="307">
        <f>INT((T975-0)/6)+1</f>
        <v>163</v>
      </c>
      <c r="T975" s="226">
        <f t="shared" si="57"/>
        <v>972</v>
      </c>
      <c r="U975" s="224">
        <f t="shared" si="58"/>
        <v>0</v>
      </c>
      <c r="V975" s="225">
        <f t="shared" si="59"/>
        <v>1</v>
      </c>
      <c r="W975" s="233">
        <f ca="1">$U975*EWSpacingFt+XOffset+(PanArrayWidthHighEndFt-PanArrayWidthLowEndFt)/2</f>
        <v>0</v>
      </c>
      <c r="X975" s="234">
        <f ca="1">$V975*NSSpacingFt+YOffset+0</f>
        <v>17.999999999999989</v>
      </c>
      <c r="Y975" s="235">
        <f ca="1">+$V975*NSGradeFt+PedHeight+0</f>
        <v>7.401410761154855</v>
      </c>
      <c r="Z975" s="214">
        <f ca="1">+$W975</f>
        <v>0</v>
      </c>
      <c r="AA975" s="214">
        <f ca="1">+$Y975</f>
        <v>7.401410761154855</v>
      </c>
      <c r="AB975" s="214">
        <f ca="1">+$X975</f>
        <v>17.999999999999989</v>
      </c>
      <c r="AC975" s="214">
        <f ca="1">+$W975-XOffset</f>
        <v>0</v>
      </c>
    </row>
    <row r="976" spans="19:29" ht="8.4" customHeight="1">
      <c r="S976" s="307"/>
      <c r="T976" s="226">
        <f t="shared" si="57"/>
        <v>973</v>
      </c>
      <c r="U976" s="224">
        <f t="shared" si="58"/>
        <v>0</v>
      </c>
      <c r="V976" s="225">
        <f t="shared" si="59"/>
        <v>1</v>
      </c>
      <c r="W976" s="236">
        <f ca="1">+$U976*EWSpacingFt+XOffset+PanArrayWidthHighEndFt-(PanArrayWidthHighEndFt-PanArrayWidthLowEndFt)/2</f>
        <v>10.80282152230971</v>
      </c>
      <c r="X976" s="240">
        <f ca="1">$V976*NSSpacingFt+YOffset+0</f>
        <v>17.999999999999989</v>
      </c>
      <c r="Y976" s="244">
        <f ca="1">+$V976*NSGradeFt+PedHeight+0</f>
        <v>7.401410761154855</v>
      </c>
      <c r="Z976" s="214">
        <f ca="1">+$W976</f>
        <v>10.80282152230971</v>
      </c>
      <c r="AA976" s="214">
        <f ca="1">+$Y976</f>
        <v>7.401410761154855</v>
      </c>
      <c r="AB976" s="214">
        <f ca="1">+$X976</f>
        <v>17.999999999999989</v>
      </c>
      <c r="AC976" s="214">
        <f ca="1">+$W976-XOffset</f>
        <v>10.80282152230971</v>
      </c>
    </row>
    <row r="977" spans="19:29" ht="8.4" customHeight="1">
      <c r="S977" s="307"/>
      <c r="T977" s="226">
        <f t="shared" si="57"/>
        <v>974</v>
      </c>
      <c r="U977" s="224">
        <f t="shared" si="58"/>
        <v>0</v>
      </c>
      <c r="V977" s="225">
        <f t="shared" si="59"/>
        <v>1</v>
      </c>
      <c r="W977" s="237">
        <f ca="1">$U977*EWSpacingFt+XOffset+PanArrayWidthHighEndFt</f>
        <v>10.80282152230971</v>
      </c>
      <c r="X977" s="241">
        <f ca="1">$V977*NSSpacingFt+YOffset+PanArrayLenFt*COS(RADIANS(Latitude+DecAng))</f>
        <v>34.439632545931751</v>
      </c>
      <c r="Y977" s="245">
        <f ca="1">+$V977*NSGradeFt+PedHeight+PanArrayLenFt*SIN(RADIANS(Latitude+DecAng))</f>
        <v>7.401410761154855</v>
      </c>
      <c r="Z977" s="214">
        <f ca="1">+$W977</f>
        <v>10.80282152230971</v>
      </c>
      <c r="AA977" s="214">
        <f ca="1">+$Y977</f>
        <v>7.401410761154855</v>
      </c>
      <c r="AB977" s="214">
        <f ca="1">+$X977</f>
        <v>34.439632545931751</v>
      </c>
      <c r="AC977" s="214">
        <f ca="1">+$W977-XOffset</f>
        <v>10.80282152230971</v>
      </c>
    </row>
    <row r="978" spans="19:29" ht="8.4" customHeight="1">
      <c r="S978" s="307"/>
      <c r="T978" s="226">
        <f t="shared" si="57"/>
        <v>975</v>
      </c>
      <c r="U978" s="224">
        <f t="shared" si="58"/>
        <v>0</v>
      </c>
      <c r="V978" s="225">
        <f t="shared" si="59"/>
        <v>1</v>
      </c>
      <c r="W978" s="238">
        <f ca="1">$U978*EWSpacingFt+XOffset+0</f>
        <v>0</v>
      </c>
      <c r="X978" s="242">
        <f ca="1">$V978*NSSpacingFt+YOffset+PanArrayLenFt*COS(RADIANS(Latitude+DecAng))</f>
        <v>34.439632545931751</v>
      </c>
      <c r="Y978" s="246">
        <f ca="1">+$V978*NSGradeFt+PedHeight+PanArrayLenFt*SIN(RADIANS(Latitude+DecAng))</f>
        <v>7.401410761154855</v>
      </c>
      <c r="Z978" s="214">
        <f ca="1">+$W978</f>
        <v>0</v>
      </c>
      <c r="AA978" s="214">
        <f ca="1">+$Y978</f>
        <v>7.401410761154855</v>
      </c>
      <c r="AB978" s="214">
        <f ca="1">+$X978</f>
        <v>34.439632545931751</v>
      </c>
      <c r="AC978" s="214">
        <f ca="1">+$W978-XOffset</f>
        <v>0</v>
      </c>
    </row>
    <row r="979" spans="19:29" ht="8.4" customHeight="1">
      <c r="S979" s="307"/>
      <c r="T979" s="226">
        <f t="shared" si="57"/>
        <v>976</v>
      </c>
      <c r="U979" s="224">
        <f t="shared" si="58"/>
        <v>0</v>
      </c>
      <c r="V979" s="225">
        <f t="shared" si="59"/>
        <v>1</v>
      </c>
      <c r="W979" s="239">
        <f ca="1">$U979*EWSpacingFt+XOffset+(PanArrayWidthHighEndFt-PanArrayWidthLowEndFt)/2</f>
        <v>0</v>
      </c>
      <c r="X979" s="243">
        <f ca="1">$V979*NSSpacingFt+YOffset+0</f>
        <v>17.999999999999989</v>
      </c>
      <c r="Y979" s="247">
        <f ca="1">+$V979*NSGradeFt+PedHeight+0</f>
        <v>7.401410761154855</v>
      </c>
      <c r="Z979" s="214">
        <f ca="1">+$W979</f>
        <v>0</v>
      </c>
      <c r="AA979" s="214">
        <f ca="1">+$Y979</f>
        <v>7.401410761154855</v>
      </c>
      <c r="AB979" s="214">
        <f ca="1">+$X979</f>
        <v>17.999999999999989</v>
      </c>
      <c r="AC979" s="214">
        <f ca="1">+$W979-XOffset</f>
        <v>0</v>
      </c>
    </row>
    <row r="980" spans="19:29" ht="8.4" customHeight="1">
      <c r="S980" s="307"/>
      <c r="T980" s="226">
        <f t="shared" si="57"/>
        <v>977</v>
      </c>
      <c r="U980" s="224">
        <f t="shared" si="58"/>
        <v>0</v>
      </c>
      <c r="V980" s="225">
        <f t="shared" si="59"/>
        <v>1</v>
      </c>
      <c r="W980" s="217"/>
      <c r="X980" s="217"/>
      <c r="Y980" s="217"/>
      <c r="Z980" s="214"/>
      <c r="AA980" s="214"/>
      <c r="AB980" s="214"/>
      <c r="AC980" s="214"/>
    </row>
    <row r="981" spans="19:29" ht="8.4" customHeight="1">
      <c r="S981" s="307">
        <f>INT((T981-0)/6)+1</f>
        <v>164</v>
      </c>
      <c r="T981" s="226">
        <f t="shared" ref="T981:T1044" si="60">+T980+1</f>
        <v>978</v>
      </c>
      <c r="U981" s="224">
        <f t="shared" si="58"/>
        <v>1</v>
      </c>
      <c r="V981" s="225">
        <f t="shared" si="59"/>
        <v>1</v>
      </c>
      <c r="W981" s="233">
        <f ca="1">$U981*EWSpacingFt+XOffset+(PanArrayWidthHighEndFt-PanArrayWidthLowEndFt)/2</f>
        <v>30.000006832286932</v>
      </c>
      <c r="X981" s="234">
        <f ca="1">$V981*NSSpacingFt+YOffset+0</f>
        <v>17.999999999999989</v>
      </c>
      <c r="Y981" s="235">
        <f ca="1">+$V981*NSGradeFt+PedHeight+0</f>
        <v>7.401410761154855</v>
      </c>
      <c r="Z981" s="214">
        <f ca="1">+$W981</f>
        <v>30.000006832286932</v>
      </c>
      <c r="AA981" s="214">
        <f ca="1">+$Y981</f>
        <v>7.401410761154855</v>
      </c>
      <c r="AB981" s="214">
        <f ca="1">+$X981</f>
        <v>17.999999999999989</v>
      </c>
      <c r="AC981" s="214">
        <f ca="1">+$W981-XOffset</f>
        <v>30.000006832286932</v>
      </c>
    </row>
    <row r="982" spans="19:29" ht="8.4" customHeight="1">
      <c r="S982" s="307"/>
      <c r="T982" s="226">
        <f t="shared" si="60"/>
        <v>979</v>
      </c>
      <c r="U982" s="224">
        <f t="shared" si="58"/>
        <v>1</v>
      </c>
      <c r="V982" s="225">
        <f t="shared" si="59"/>
        <v>1</v>
      </c>
      <c r="W982" s="236">
        <f ca="1">+$U982*EWSpacingFt+XOffset+PanArrayWidthHighEndFt-(PanArrayWidthHighEndFt-PanArrayWidthLowEndFt)/2</f>
        <v>40.802828354596642</v>
      </c>
      <c r="X982" s="240">
        <f ca="1">$V982*NSSpacingFt+YOffset+0</f>
        <v>17.999999999999989</v>
      </c>
      <c r="Y982" s="244">
        <f ca="1">+$V982*NSGradeFt+PedHeight+0</f>
        <v>7.401410761154855</v>
      </c>
      <c r="Z982" s="214">
        <f ca="1">+$W982</f>
        <v>40.802828354596642</v>
      </c>
      <c r="AA982" s="214">
        <f ca="1">+$Y982</f>
        <v>7.401410761154855</v>
      </c>
      <c r="AB982" s="214">
        <f ca="1">+$X982</f>
        <v>17.999999999999989</v>
      </c>
      <c r="AC982" s="214">
        <f ca="1">+$W982-XOffset</f>
        <v>40.802828354596642</v>
      </c>
    </row>
    <row r="983" spans="19:29" ht="8.4" customHeight="1">
      <c r="S983" s="307"/>
      <c r="T983" s="226">
        <f t="shared" si="60"/>
        <v>980</v>
      </c>
      <c r="U983" s="224">
        <f t="shared" si="58"/>
        <v>1</v>
      </c>
      <c r="V983" s="225">
        <f t="shared" si="59"/>
        <v>1</v>
      </c>
      <c r="W983" s="237">
        <f ca="1">$U983*EWSpacingFt+XOffset+PanArrayWidthHighEndFt</f>
        <v>40.802828354596642</v>
      </c>
      <c r="X983" s="241">
        <f ca="1">$V983*NSSpacingFt+YOffset+PanArrayLenFt*COS(RADIANS(Latitude+DecAng))</f>
        <v>34.439632545931751</v>
      </c>
      <c r="Y983" s="245">
        <f ca="1">+$V983*NSGradeFt+PedHeight+PanArrayLenFt*SIN(RADIANS(Latitude+DecAng))</f>
        <v>7.401410761154855</v>
      </c>
      <c r="Z983" s="214">
        <f ca="1">+$W983</f>
        <v>40.802828354596642</v>
      </c>
      <c r="AA983" s="214">
        <f ca="1">+$Y983</f>
        <v>7.401410761154855</v>
      </c>
      <c r="AB983" s="214">
        <f ca="1">+$X983</f>
        <v>34.439632545931751</v>
      </c>
      <c r="AC983" s="214">
        <f ca="1">+$W983-XOffset</f>
        <v>40.802828354596642</v>
      </c>
    </row>
    <row r="984" spans="19:29" ht="8.4" customHeight="1">
      <c r="S984" s="307"/>
      <c r="T984" s="226">
        <f t="shared" si="60"/>
        <v>981</v>
      </c>
      <c r="U984" s="224">
        <f t="shared" si="58"/>
        <v>1</v>
      </c>
      <c r="V984" s="225">
        <f t="shared" si="59"/>
        <v>1</v>
      </c>
      <c r="W984" s="238">
        <f ca="1">$U984*EWSpacingFt+XOffset+0</f>
        <v>30.000006832286932</v>
      </c>
      <c r="X984" s="242">
        <f ca="1">$V984*NSSpacingFt+YOffset+PanArrayLenFt*COS(RADIANS(Latitude+DecAng))</f>
        <v>34.439632545931751</v>
      </c>
      <c r="Y984" s="246">
        <f ca="1">+$V984*NSGradeFt+PedHeight+PanArrayLenFt*SIN(RADIANS(Latitude+DecAng))</f>
        <v>7.401410761154855</v>
      </c>
      <c r="Z984" s="214">
        <f ca="1">+$W984</f>
        <v>30.000006832286932</v>
      </c>
      <c r="AA984" s="214">
        <f ca="1">+$Y984</f>
        <v>7.401410761154855</v>
      </c>
      <c r="AB984" s="214">
        <f ca="1">+$X984</f>
        <v>34.439632545931751</v>
      </c>
      <c r="AC984" s="214">
        <f ca="1">+$W984-XOffset</f>
        <v>30.000006832286932</v>
      </c>
    </row>
    <row r="985" spans="19:29" ht="8.4" customHeight="1">
      <c r="S985" s="307"/>
      <c r="T985" s="226">
        <f t="shared" si="60"/>
        <v>982</v>
      </c>
      <c r="U985" s="224">
        <f t="shared" si="58"/>
        <v>1</v>
      </c>
      <c r="V985" s="225">
        <f t="shared" si="59"/>
        <v>1</v>
      </c>
      <c r="W985" s="239">
        <f ca="1">$U985*EWSpacingFt+XOffset+(PanArrayWidthHighEndFt-PanArrayWidthLowEndFt)/2</f>
        <v>30.000006832286932</v>
      </c>
      <c r="X985" s="243">
        <f ca="1">$V985*NSSpacingFt+YOffset+0</f>
        <v>17.999999999999989</v>
      </c>
      <c r="Y985" s="247">
        <f ca="1">+$V985*NSGradeFt+PedHeight+0</f>
        <v>7.401410761154855</v>
      </c>
      <c r="Z985" s="214">
        <f ca="1">+$W985</f>
        <v>30.000006832286932</v>
      </c>
      <c r="AA985" s="214">
        <f ca="1">+$Y985</f>
        <v>7.401410761154855</v>
      </c>
      <c r="AB985" s="214">
        <f ca="1">+$X985</f>
        <v>17.999999999999989</v>
      </c>
      <c r="AC985" s="214">
        <f ca="1">+$W985-XOffset</f>
        <v>30.000006832286932</v>
      </c>
    </row>
    <row r="986" spans="19:29" ht="8.4" customHeight="1">
      <c r="S986" s="307"/>
      <c r="T986" s="226">
        <f t="shared" si="60"/>
        <v>983</v>
      </c>
      <c r="U986" s="224">
        <f t="shared" si="58"/>
        <v>1</v>
      </c>
      <c r="V986" s="225">
        <f t="shared" si="59"/>
        <v>1</v>
      </c>
      <c r="W986" s="217"/>
      <c r="X986" s="217"/>
      <c r="Y986" s="217"/>
      <c r="Z986" s="214"/>
      <c r="AA986" s="214"/>
      <c r="AB986" s="214"/>
      <c r="AC986" s="214"/>
    </row>
    <row r="987" spans="19:29" ht="8.4" customHeight="1">
      <c r="S987" s="307">
        <f>INT((T987-0)/6)+1</f>
        <v>165</v>
      </c>
      <c r="T987" s="226">
        <f t="shared" si="60"/>
        <v>984</v>
      </c>
      <c r="U987" s="224">
        <f t="shared" si="58"/>
        <v>0</v>
      </c>
      <c r="V987" s="225">
        <f t="shared" si="59"/>
        <v>2</v>
      </c>
      <c r="W987" s="233">
        <f ca="1">$U987*EWSpacingFt+XOffset+(PanArrayWidthHighEndFt-PanArrayWidthLowEndFt)/2</f>
        <v>0</v>
      </c>
      <c r="X987" s="234">
        <f ca="1">$V987*NSSpacingFt+YOffset+0</f>
        <v>35.999999999999979</v>
      </c>
      <c r="Y987" s="235">
        <f ca="1">+$V987*NSGradeFt+PedHeight+0</f>
        <v>7.401410761154855</v>
      </c>
      <c r="Z987" s="214">
        <f ca="1">+$W987</f>
        <v>0</v>
      </c>
      <c r="AA987" s="214">
        <f ca="1">+$Y987</f>
        <v>7.401410761154855</v>
      </c>
      <c r="AB987" s="214">
        <f ca="1">+$X987</f>
        <v>35.999999999999979</v>
      </c>
      <c r="AC987" s="214">
        <f ca="1">+$W987-XOffset</f>
        <v>0</v>
      </c>
    </row>
    <row r="988" spans="19:29" ht="8.4" customHeight="1">
      <c r="S988" s="307"/>
      <c r="T988" s="226">
        <f t="shared" si="60"/>
        <v>985</v>
      </c>
      <c r="U988" s="224">
        <f t="shared" si="58"/>
        <v>0</v>
      </c>
      <c r="V988" s="225">
        <f t="shared" si="59"/>
        <v>2</v>
      </c>
      <c r="W988" s="236">
        <f ca="1">+$U988*EWSpacingFt+XOffset+PanArrayWidthHighEndFt-(PanArrayWidthHighEndFt-PanArrayWidthLowEndFt)/2</f>
        <v>10.80282152230971</v>
      </c>
      <c r="X988" s="240">
        <f ca="1">$V988*NSSpacingFt+YOffset+0</f>
        <v>35.999999999999979</v>
      </c>
      <c r="Y988" s="244">
        <f ca="1">+$V988*NSGradeFt+PedHeight+0</f>
        <v>7.401410761154855</v>
      </c>
      <c r="Z988" s="214">
        <f ca="1">+$W988</f>
        <v>10.80282152230971</v>
      </c>
      <c r="AA988" s="214">
        <f ca="1">+$Y988</f>
        <v>7.401410761154855</v>
      </c>
      <c r="AB988" s="214">
        <f ca="1">+$X988</f>
        <v>35.999999999999979</v>
      </c>
      <c r="AC988" s="214">
        <f ca="1">+$W988-XOffset</f>
        <v>10.80282152230971</v>
      </c>
    </row>
    <row r="989" spans="19:29" ht="8.4" customHeight="1">
      <c r="S989" s="307"/>
      <c r="T989" s="226">
        <f t="shared" si="60"/>
        <v>986</v>
      </c>
      <c r="U989" s="224">
        <f t="shared" si="58"/>
        <v>0</v>
      </c>
      <c r="V989" s="225">
        <f t="shared" si="59"/>
        <v>2</v>
      </c>
      <c r="W989" s="237">
        <f ca="1">$U989*EWSpacingFt+XOffset+PanArrayWidthHighEndFt</f>
        <v>10.80282152230971</v>
      </c>
      <c r="X989" s="241">
        <f ca="1">$V989*NSSpacingFt+YOffset+PanArrayLenFt*COS(RADIANS(Latitude+DecAng))</f>
        <v>52.439632545931744</v>
      </c>
      <c r="Y989" s="245">
        <f ca="1">+$V989*NSGradeFt+PedHeight+PanArrayLenFt*SIN(RADIANS(Latitude+DecAng))</f>
        <v>7.401410761154855</v>
      </c>
      <c r="Z989" s="214">
        <f ca="1">+$W989</f>
        <v>10.80282152230971</v>
      </c>
      <c r="AA989" s="214">
        <f ca="1">+$Y989</f>
        <v>7.401410761154855</v>
      </c>
      <c r="AB989" s="214">
        <f ca="1">+$X989</f>
        <v>52.439632545931744</v>
      </c>
      <c r="AC989" s="214">
        <f ca="1">+$W989-XOffset</f>
        <v>10.80282152230971</v>
      </c>
    </row>
    <row r="990" spans="19:29" ht="8.4" customHeight="1">
      <c r="S990" s="307"/>
      <c r="T990" s="226">
        <f t="shared" si="60"/>
        <v>987</v>
      </c>
      <c r="U990" s="224">
        <f t="shared" si="58"/>
        <v>0</v>
      </c>
      <c r="V990" s="225">
        <f t="shared" si="59"/>
        <v>2</v>
      </c>
      <c r="W990" s="238">
        <f ca="1">$U990*EWSpacingFt+XOffset+0</f>
        <v>0</v>
      </c>
      <c r="X990" s="242">
        <f ca="1">$V990*NSSpacingFt+YOffset+PanArrayLenFt*COS(RADIANS(Latitude+DecAng))</f>
        <v>52.439632545931744</v>
      </c>
      <c r="Y990" s="246">
        <f ca="1">+$V990*NSGradeFt+PedHeight+PanArrayLenFt*SIN(RADIANS(Latitude+DecAng))</f>
        <v>7.401410761154855</v>
      </c>
      <c r="Z990" s="214">
        <f ca="1">+$W990</f>
        <v>0</v>
      </c>
      <c r="AA990" s="214">
        <f ca="1">+$Y990</f>
        <v>7.401410761154855</v>
      </c>
      <c r="AB990" s="214">
        <f ca="1">+$X990</f>
        <v>52.439632545931744</v>
      </c>
      <c r="AC990" s="214">
        <f ca="1">+$W990-XOffset</f>
        <v>0</v>
      </c>
    </row>
    <row r="991" spans="19:29" ht="8.4" customHeight="1">
      <c r="S991" s="307"/>
      <c r="T991" s="226">
        <f t="shared" si="60"/>
        <v>988</v>
      </c>
      <c r="U991" s="224">
        <f t="shared" si="58"/>
        <v>0</v>
      </c>
      <c r="V991" s="225">
        <f t="shared" si="59"/>
        <v>2</v>
      </c>
      <c r="W991" s="239">
        <f ca="1">$U991*EWSpacingFt+XOffset+(PanArrayWidthHighEndFt-PanArrayWidthLowEndFt)/2</f>
        <v>0</v>
      </c>
      <c r="X991" s="243">
        <f ca="1">$V991*NSSpacingFt+YOffset+0</f>
        <v>35.999999999999979</v>
      </c>
      <c r="Y991" s="247">
        <f ca="1">+$V991*NSGradeFt+PedHeight+0</f>
        <v>7.401410761154855</v>
      </c>
      <c r="Z991" s="214">
        <f ca="1">+$W991</f>
        <v>0</v>
      </c>
      <c r="AA991" s="214">
        <f ca="1">+$Y991</f>
        <v>7.401410761154855</v>
      </c>
      <c r="AB991" s="214">
        <f ca="1">+$X991</f>
        <v>35.999999999999979</v>
      </c>
      <c r="AC991" s="214">
        <f ca="1">+$W991-XOffset</f>
        <v>0</v>
      </c>
    </row>
    <row r="992" spans="19:29" ht="8.4" customHeight="1">
      <c r="S992" s="307"/>
      <c r="T992" s="226">
        <f t="shared" si="60"/>
        <v>989</v>
      </c>
      <c r="U992" s="224">
        <f t="shared" si="58"/>
        <v>0</v>
      </c>
      <c r="V992" s="225">
        <f t="shared" si="59"/>
        <v>2</v>
      </c>
      <c r="W992" s="217"/>
      <c r="X992" s="217"/>
      <c r="Y992" s="217"/>
      <c r="Z992" s="214"/>
      <c r="AA992" s="214"/>
      <c r="AB992" s="214"/>
      <c r="AC992" s="214"/>
    </row>
    <row r="993" spans="19:29" ht="8.4" customHeight="1">
      <c r="S993" s="307">
        <f>INT((T993-0)/6)+1</f>
        <v>166</v>
      </c>
      <c r="T993" s="226">
        <f t="shared" si="60"/>
        <v>990</v>
      </c>
      <c r="U993" s="224">
        <f t="shared" si="58"/>
        <v>1</v>
      </c>
      <c r="V993" s="225">
        <f t="shared" si="59"/>
        <v>2</v>
      </c>
      <c r="W993" s="233">
        <f ca="1">$U993*EWSpacingFt+XOffset+(PanArrayWidthHighEndFt-PanArrayWidthLowEndFt)/2</f>
        <v>30.000006832286932</v>
      </c>
      <c r="X993" s="234">
        <f ca="1">$V993*NSSpacingFt+YOffset+0</f>
        <v>35.999999999999979</v>
      </c>
      <c r="Y993" s="235">
        <f ca="1">+$V993*NSGradeFt+PedHeight+0</f>
        <v>7.401410761154855</v>
      </c>
      <c r="Z993" s="214">
        <f ca="1">+$W993</f>
        <v>30.000006832286932</v>
      </c>
      <c r="AA993" s="214">
        <f ca="1">+$Y993</f>
        <v>7.401410761154855</v>
      </c>
      <c r="AB993" s="214">
        <f ca="1">+$X993</f>
        <v>35.999999999999979</v>
      </c>
      <c r="AC993" s="214">
        <f ca="1">+$W993-XOffset</f>
        <v>30.000006832286932</v>
      </c>
    </row>
    <row r="994" spans="19:29" ht="8.4" customHeight="1">
      <c r="S994" s="307"/>
      <c r="T994" s="226">
        <f t="shared" si="60"/>
        <v>991</v>
      </c>
      <c r="U994" s="224">
        <f t="shared" si="58"/>
        <v>1</v>
      </c>
      <c r="V994" s="225">
        <f t="shared" si="59"/>
        <v>2</v>
      </c>
      <c r="W994" s="236">
        <f ca="1">+$U994*EWSpacingFt+XOffset+PanArrayWidthHighEndFt-(PanArrayWidthHighEndFt-PanArrayWidthLowEndFt)/2</f>
        <v>40.802828354596642</v>
      </c>
      <c r="X994" s="240">
        <f ca="1">$V994*NSSpacingFt+YOffset+0</f>
        <v>35.999999999999979</v>
      </c>
      <c r="Y994" s="244">
        <f ca="1">+$V994*NSGradeFt+PedHeight+0</f>
        <v>7.401410761154855</v>
      </c>
      <c r="Z994" s="214">
        <f ca="1">+$W994</f>
        <v>40.802828354596642</v>
      </c>
      <c r="AA994" s="214">
        <f ca="1">+$Y994</f>
        <v>7.401410761154855</v>
      </c>
      <c r="AB994" s="214">
        <f ca="1">+$X994</f>
        <v>35.999999999999979</v>
      </c>
      <c r="AC994" s="214">
        <f ca="1">+$W994-XOffset</f>
        <v>40.802828354596642</v>
      </c>
    </row>
    <row r="995" spans="19:29" ht="8.4" customHeight="1">
      <c r="S995" s="307"/>
      <c r="T995" s="226">
        <f t="shared" si="60"/>
        <v>992</v>
      </c>
      <c r="U995" s="224">
        <f t="shared" si="58"/>
        <v>1</v>
      </c>
      <c r="V995" s="225">
        <f t="shared" si="59"/>
        <v>2</v>
      </c>
      <c r="W995" s="237">
        <f ca="1">$U995*EWSpacingFt+XOffset+PanArrayWidthHighEndFt</f>
        <v>40.802828354596642</v>
      </c>
      <c r="X995" s="241">
        <f ca="1">$V995*NSSpacingFt+YOffset+PanArrayLenFt*COS(RADIANS(Latitude+DecAng))</f>
        <v>52.439632545931744</v>
      </c>
      <c r="Y995" s="245">
        <f ca="1">+$V995*NSGradeFt+PedHeight+PanArrayLenFt*SIN(RADIANS(Latitude+DecAng))</f>
        <v>7.401410761154855</v>
      </c>
      <c r="Z995" s="214">
        <f ca="1">+$W995</f>
        <v>40.802828354596642</v>
      </c>
      <c r="AA995" s="214">
        <f ca="1">+$Y995</f>
        <v>7.401410761154855</v>
      </c>
      <c r="AB995" s="214">
        <f ca="1">+$X995</f>
        <v>52.439632545931744</v>
      </c>
      <c r="AC995" s="214">
        <f ca="1">+$W995-XOffset</f>
        <v>40.802828354596642</v>
      </c>
    </row>
    <row r="996" spans="19:29" ht="8.4" customHeight="1">
      <c r="S996" s="307"/>
      <c r="T996" s="226">
        <f t="shared" si="60"/>
        <v>993</v>
      </c>
      <c r="U996" s="224">
        <f t="shared" si="58"/>
        <v>1</v>
      </c>
      <c r="V996" s="225">
        <f t="shared" si="59"/>
        <v>2</v>
      </c>
      <c r="W996" s="238">
        <f ca="1">$U996*EWSpacingFt+XOffset+0</f>
        <v>30.000006832286932</v>
      </c>
      <c r="X996" s="242">
        <f ca="1">$V996*NSSpacingFt+YOffset+PanArrayLenFt*COS(RADIANS(Latitude+DecAng))</f>
        <v>52.439632545931744</v>
      </c>
      <c r="Y996" s="246">
        <f ca="1">+$V996*NSGradeFt+PedHeight+PanArrayLenFt*SIN(RADIANS(Latitude+DecAng))</f>
        <v>7.401410761154855</v>
      </c>
      <c r="Z996" s="214">
        <f ca="1">+$W996</f>
        <v>30.000006832286932</v>
      </c>
      <c r="AA996" s="214">
        <f ca="1">+$Y996</f>
        <v>7.401410761154855</v>
      </c>
      <c r="AB996" s="214">
        <f ca="1">+$X996</f>
        <v>52.439632545931744</v>
      </c>
      <c r="AC996" s="214">
        <f ca="1">+$W996-XOffset</f>
        <v>30.000006832286932</v>
      </c>
    </row>
    <row r="997" spans="19:29" ht="8.4" customHeight="1">
      <c r="S997" s="307"/>
      <c r="T997" s="226">
        <f t="shared" si="60"/>
        <v>994</v>
      </c>
      <c r="U997" s="224">
        <f t="shared" si="58"/>
        <v>1</v>
      </c>
      <c r="V997" s="225">
        <f t="shared" si="59"/>
        <v>2</v>
      </c>
      <c r="W997" s="239">
        <f ca="1">$U997*EWSpacingFt+XOffset+(PanArrayWidthHighEndFt-PanArrayWidthLowEndFt)/2</f>
        <v>30.000006832286932</v>
      </c>
      <c r="X997" s="243">
        <f ca="1">$V997*NSSpacingFt+YOffset+0</f>
        <v>35.999999999999979</v>
      </c>
      <c r="Y997" s="247">
        <f ca="1">+$V997*NSGradeFt+PedHeight+0</f>
        <v>7.401410761154855</v>
      </c>
      <c r="Z997" s="214">
        <f ca="1">+$W997</f>
        <v>30.000006832286932</v>
      </c>
      <c r="AA997" s="214">
        <f ca="1">+$Y997</f>
        <v>7.401410761154855</v>
      </c>
      <c r="AB997" s="214">
        <f ca="1">+$X997</f>
        <v>35.999999999999979</v>
      </c>
      <c r="AC997" s="214">
        <f ca="1">+$W997-XOffset</f>
        <v>30.000006832286932</v>
      </c>
    </row>
    <row r="998" spans="19:29" ht="8.4" customHeight="1">
      <c r="S998" s="307"/>
      <c r="T998" s="226">
        <f t="shared" si="60"/>
        <v>995</v>
      </c>
      <c r="U998" s="224">
        <f t="shared" si="58"/>
        <v>1</v>
      </c>
      <c r="V998" s="225">
        <f t="shared" si="59"/>
        <v>2</v>
      </c>
      <c r="W998" s="217"/>
      <c r="X998" s="217"/>
      <c r="Y998" s="217"/>
      <c r="Z998" s="214"/>
      <c r="AA998" s="214"/>
      <c r="AB998" s="214"/>
      <c r="AC998" s="214"/>
    </row>
    <row r="999" spans="19:29" ht="8.4" customHeight="1">
      <c r="S999" s="307">
        <f>INT((T999-0)/6)+1</f>
        <v>167</v>
      </c>
      <c r="T999" s="226">
        <f t="shared" si="60"/>
        <v>996</v>
      </c>
      <c r="U999" s="224">
        <f t="shared" si="58"/>
        <v>0</v>
      </c>
      <c r="V999" s="225">
        <f t="shared" si="59"/>
        <v>3</v>
      </c>
      <c r="W999" s="233">
        <f ca="1">$U999*EWSpacingFt+XOffset+(PanArrayWidthHighEndFt-PanArrayWidthLowEndFt)/2</f>
        <v>0</v>
      </c>
      <c r="X999" s="234">
        <f ca="1">$V999*NSSpacingFt+YOffset+0</f>
        <v>53.999999999999972</v>
      </c>
      <c r="Y999" s="235">
        <f ca="1">+$V999*NSGradeFt+PedHeight+0</f>
        <v>7.401410761154855</v>
      </c>
      <c r="Z999" s="214">
        <f ca="1">+$W999</f>
        <v>0</v>
      </c>
      <c r="AA999" s="214">
        <f ca="1">+$Y999</f>
        <v>7.401410761154855</v>
      </c>
      <c r="AB999" s="214">
        <f ca="1">+$X999</f>
        <v>53.999999999999972</v>
      </c>
      <c r="AC999" s="214">
        <f ca="1">+$W999-XOffset</f>
        <v>0</v>
      </c>
    </row>
    <row r="1000" spans="19:29" ht="8.4" customHeight="1">
      <c r="S1000" s="307"/>
      <c r="T1000" s="226">
        <f t="shared" si="60"/>
        <v>997</v>
      </c>
      <c r="U1000" s="224">
        <f t="shared" si="58"/>
        <v>0</v>
      </c>
      <c r="V1000" s="225">
        <f t="shared" si="59"/>
        <v>3</v>
      </c>
      <c r="W1000" s="236">
        <f ca="1">+$U1000*EWSpacingFt+XOffset+PanArrayWidthHighEndFt-(PanArrayWidthHighEndFt-PanArrayWidthLowEndFt)/2</f>
        <v>10.80282152230971</v>
      </c>
      <c r="X1000" s="240">
        <f ca="1">$V1000*NSSpacingFt+YOffset+0</f>
        <v>53.999999999999972</v>
      </c>
      <c r="Y1000" s="244">
        <f ca="1">+$V1000*NSGradeFt+PedHeight+0</f>
        <v>7.401410761154855</v>
      </c>
      <c r="Z1000" s="214">
        <f ca="1">+$W1000</f>
        <v>10.80282152230971</v>
      </c>
      <c r="AA1000" s="214">
        <f ca="1">+$Y1000</f>
        <v>7.401410761154855</v>
      </c>
      <c r="AB1000" s="214">
        <f ca="1">+$X1000</f>
        <v>53.999999999999972</v>
      </c>
      <c r="AC1000" s="214">
        <f ca="1">+$W1000-XOffset</f>
        <v>10.80282152230971</v>
      </c>
    </row>
    <row r="1001" spans="19:29" ht="8.4" customHeight="1">
      <c r="S1001" s="307"/>
      <c r="T1001" s="226">
        <f t="shared" si="60"/>
        <v>998</v>
      </c>
      <c r="U1001" s="224">
        <f t="shared" si="58"/>
        <v>0</v>
      </c>
      <c r="V1001" s="225">
        <f t="shared" si="59"/>
        <v>3</v>
      </c>
      <c r="W1001" s="237">
        <f ca="1">$U1001*EWSpacingFt+XOffset+PanArrayWidthHighEndFt</f>
        <v>10.80282152230971</v>
      </c>
      <c r="X1001" s="241">
        <f ca="1">$V1001*NSSpacingFt+YOffset+PanArrayLenFt*COS(RADIANS(Latitude+DecAng))</f>
        <v>70.43963254593173</v>
      </c>
      <c r="Y1001" s="245">
        <f ca="1">+$V1001*NSGradeFt+PedHeight+PanArrayLenFt*SIN(RADIANS(Latitude+DecAng))</f>
        <v>7.401410761154855</v>
      </c>
      <c r="Z1001" s="214">
        <f ca="1">+$W1001</f>
        <v>10.80282152230971</v>
      </c>
      <c r="AA1001" s="214">
        <f ca="1">+$Y1001</f>
        <v>7.401410761154855</v>
      </c>
      <c r="AB1001" s="214">
        <f ca="1">+$X1001</f>
        <v>70.43963254593173</v>
      </c>
      <c r="AC1001" s="214">
        <f ca="1">+$W1001-XOffset</f>
        <v>10.80282152230971</v>
      </c>
    </row>
    <row r="1002" spans="19:29" ht="8.4" customHeight="1">
      <c r="S1002" s="307"/>
      <c r="T1002" s="226">
        <f t="shared" si="60"/>
        <v>999</v>
      </c>
      <c r="U1002" s="224">
        <f t="shared" si="58"/>
        <v>0</v>
      </c>
      <c r="V1002" s="225">
        <f t="shared" si="59"/>
        <v>3</v>
      </c>
      <c r="W1002" s="238">
        <f ca="1">$U1002*EWSpacingFt+XOffset+0</f>
        <v>0</v>
      </c>
      <c r="X1002" s="242">
        <f ca="1">$V1002*NSSpacingFt+YOffset+PanArrayLenFt*COS(RADIANS(Latitude+DecAng))</f>
        <v>70.43963254593173</v>
      </c>
      <c r="Y1002" s="246">
        <f ca="1">+$V1002*NSGradeFt+PedHeight+PanArrayLenFt*SIN(RADIANS(Latitude+DecAng))</f>
        <v>7.401410761154855</v>
      </c>
      <c r="Z1002" s="214">
        <f ca="1">+$W1002</f>
        <v>0</v>
      </c>
      <c r="AA1002" s="214">
        <f ca="1">+$Y1002</f>
        <v>7.401410761154855</v>
      </c>
      <c r="AB1002" s="214">
        <f ca="1">+$X1002</f>
        <v>70.43963254593173</v>
      </c>
      <c r="AC1002" s="214">
        <f ca="1">+$W1002-XOffset</f>
        <v>0</v>
      </c>
    </row>
    <row r="1003" spans="19:29" ht="8.4" customHeight="1">
      <c r="S1003" s="307"/>
      <c r="T1003" s="226">
        <f t="shared" si="60"/>
        <v>1000</v>
      </c>
      <c r="U1003" s="224">
        <f t="shared" si="58"/>
        <v>0</v>
      </c>
      <c r="V1003" s="225">
        <f t="shared" si="59"/>
        <v>3</v>
      </c>
      <c r="W1003" s="239">
        <f ca="1">$U1003*EWSpacingFt+XOffset+(PanArrayWidthHighEndFt-PanArrayWidthLowEndFt)/2</f>
        <v>0</v>
      </c>
      <c r="X1003" s="243">
        <f ca="1">$V1003*NSSpacingFt+YOffset+0</f>
        <v>53.999999999999972</v>
      </c>
      <c r="Y1003" s="247">
        <f ca="1">+$V1003*NSGradeFt+PedHeight+0</f>
        <v>7.401410761154855</v>
      </c>
      <c r="Z1003" s="214">
        <f ca="1">+$W1003</f>
        <v>0</v>
      </c>
      <c r="AA1003" s="214">
        <f ca="1">+$Y1003</f>
        <v>7.401410761154855</v>
      </c>
      <c r="AB1003" s="214">
        <f ca="1">+$X1003</f>
        <v>53.999999999999972</v>
      </c>
      <c r="AC1003" s="214">
        <f ca="1">+$W1003-XOffset</f>
        <v>0</v>
      </c>
    </row>
    <row r="1004" spans="19:29" ht="8.4" customHeight="1">
      <c r="S1004" s="307"/>
      <c r="T1004" s="226">
        <f t="shared" si="60"/>
        <v>1001</v>
      </c>
      <c r="U1004" s="224">
        <f t="shared" si="58"/>
        <v>0</v>
      </c>
      <c r="V1004" s="225">
        <f t="shared" si="59"/>
        <v>3</v>
      </c>
      <c r="W1004" s="217"/>
      <c r="X1004" s="217"/>
      <c r="Y1004" s="217"/>
      <c r="Z1004" s="214"/>
      <c r="AA1004" s="214"/>
      <c r="AB1004" s="214"/>
      <c r="AC1004" s="214"/>
    </row>
    <row r="1005" spans="19:29" ht="8.4" customHeight="1">
      <c r="S1005" s="307">
        <f>INT((T1005-0)/6)+1</f>
        <v>168</v>
      </c>
      <c r="T1005" s="226">
        <f t="shared" si="60"/>
        <v>1002</v>
      </c>
      <c r="U1005" s="224">
        <f t="shared" si="58"/>
        <v>1</v>
      </c>
      <c r="V1005" s="225">
        <f t="shared" si="59"/>
        <v>3</v>
      </c>
      <c r="W1005" s="233">
        <f ca="1">$U1005*EWSpacingFt+XOffset+(PanArrayWidthHighEndFt-PanArrayWidthLowEndFt)/2</f>
        <v>30.000006832286932</v>
      </c>
      <c r="X1005" s="234">
        <f ca="1">$V1005*NSSpacingFt+YOffset+0</f>
        <v>53.999999999999972</v>
      </c>
      <c r="Y1005" s="235">
        <f ca="1">+$V1005*NSGradeFt+PedHeight+0</f>
        <v>7.401410761154855</v>
      </c>
      <c r="Z1005" s="214">
        <f ca="1">+$W1005</f>
        <v>30.000006832286932</v>
      </c>
      <c r="AA1005" s="214">
        <f ca="1">+$Y1005</f>
        <v>7.401410761154855</v>
      </c>
      <c r="AB1005" s="214">
        <f ca="1">+$X1005</f>
        <v>53.999999999999972</v>
      </c>
      <c r="AC1005" s="214">
        <f ca="1">+$W1005-XOffset</f>
        <v>30.000006832286932</v>
      </c>
    </row>
    <row r="1006" spans="19:29" ht="8.4" customHeight="1">
      <c r="S1006" s="307"/>
      <c r="T1006" s="226">
        <f t="shared" si="60"/>
        <v>1003</v>
      </c>
      <c r="U1006" s="224">
        <f t="shared" si="58"/>
        <v>1</v>
      </c>
      <c r="V1006" s="225">
        <f t="shared" si="59"/>
        <v>3</v>
      </c>
      <c r="W1006" s="236">
        <f ca="1">+$U1006*EWSpacingFt+XOffset+PanArrayWidthHighEndFt-(PanArrayWidthHighEndFt-PanArrayWidthLowEndFt)/2</f>
        <v>40.802828354596642</v>
      </c>
      <c r="X1006" s="240">
        <f ca="1">$V1006*NSSpacingFt+YOffset+0</f>
        <v>53.999999999999972</v>
      </c>
      <c r="Y1006" s="244">
        <f ca="1">+$V1006*NSGradeFt+PedHeight+0</f>
        <v>7.401410761154855</v>
      </c>
      <c r="Z1006" s="214">
        <f ca="1">+$W1006</f>
        <v>40.802828354596642</v>
      </c>
      <c r="AA1006" s="214">
        <f ca="1">+$Y1006</f>
        <v>7.401410761154855</v>
      </c>
      <c r="AB1006" s="214">
        <f ca="1">+$X1006</f>
        <v>53.999999999999972</v>
      </c>
      <c r="AC1006" s="214">
        <f ca="1">+$W1006-XOffset</f>
        <v>40.802828354596642</v>
      </c>
    </row>
    <row r="1007" spans="19:29" ht="8.4" customHeight="1">
      <c r="S1007" s="307"/>
      <c r="T1007" s="226">
        <f t="shared" si="60"/>
        <v>1004</v>
      </c>
      <c r="U1007" s="224">
        <f t="shared" si="58"/>
        <v>1</v>
      </c>
      <c r="V1007" s="225">
        <f t="shared" si="59"/>
        <v>3</v>
      </c>
      <c r="W1007" s="237">
        <f ca="1">$U1007*EWSpacingFt+XOffset+PanArrayWidthHighEndFt</f>
        <v>40.802828354596642</v>
      </c>
      <c r="X1007" s="241">
        <f ca="1">$V1007*NSSpacingFt+YOffset+PanArrayLenFt*COS(RADIANS(Latitude+DecAng))</f>
        <v>70.43963254593173</v>
      </c>
      <c r="Y1007" s="245">
        <f ca="1">+$V1007*NSGradeFt+PedHeight+PanArrayLenFt*SIN(RADIANS(Latitude+DecAng))</f>
        <v>7.401410761154855</v>
      </c>
      <c r="Z1007" s="214">
        <f ca="1">+$W1007</f>
        <v>40.802828354596642</v>
      </c>
      <c r="AA1007" s="214">
        <f ca="1">+$Y1007</f>
        <v>7.401410761154855</v>
      </c>
      <c r="AB1007" s="214">
        <f ca="1">+$X1007</f>
        <v>70.43963254593173</v>
      </c>
      <c r="AC1007" s="214">
        <f ca="1">+$W1007-XOffset</f>
        <v>40.802828354596642</v>
      </c>
    </row>
    <row r="1008" spans="19:29" ht="8.4" customHeight="1">
      <c r="S1008" s="307"/>
      <c r="T1008" s="226">
        <f t="shared" si="60"/>
        <v>1005</v>
      </c>
      <c r="U1008" s="224">
        <f t="shared" si="58"/>
        <v>1</v>
      </c>
      <c r="V1008" s="225">
        <f t="shared" si="59"/>
        <v>3</v>
      </c>
      <c r="W1008" s="238">
        <f ca="1">$U1008*EWSpacingFt+XOffset+0</f>
        <v>30.000006832286932</v>
      </c>
      <c r="X1008" s="242">
        <f ca="1">$V1008*NSSpacingFt+YOffset+PanArrayLenFt*COS(RADIANS(Latitude+DecAng))</f>
        <v>70.43963254593173</v>
      </c>
      <c r="Y1008" s="246">
        <f ca="1">+$V1008*NSGradeFt+PedHeight+PanArrayLenFt*SIN(RADIANS(Latitude+DecAng))</f>
        <v>7.401410761154855</v>
      </c>
      <c r="Z1008" s="214">
        <f ca="1">+$W1008</f>
        <v>30.000006832286932</v>
      </c>
      <c r="AA1008" s="214">
        <f ca="1">+$Y1008</f>
        <v>7.401410761154855</v>
      </c>
      <c r="AB1008" s="214">
        <f ca="1">+$X1008</f>
        <v>70.43963254593173</v>
      </c>
      <c r="AC1008" s="214">
        <f ca="1">+$W1008-XOffset</f>
        <v>30.000006832286932</v>
      </c>
    </row>
    <row r="1009" spans="19:29" ht="8.4" customHeight="1">
      <c r="S1009" s="307"/>
      <c r="T1009" s="226">
        <f t="shared" si="60"/>
        <v>1006</v>
      </c>
      <c r="U1009" s="224">
        <f t="shared" si="58"/>
        <v>1</v>
      </c>
      <c r="V1009" s="225">
        <f t="shared" si="59"/>
        <v>3</v>
      </c>
      <c r="W1009" s="239">
        <f ca="1">$U1009*EWSpacingFt+XOffset+(PanArrayWidthHighEndFt-PanArrayWidthLowEndFt)/2</f>
        <v>30.000006832286932</v>
      </c>
      <c r="X1009" s="243">
        <f ca="1">$V1009*NSSpacingFt+YOffset+0</f>
        <v>53.999999999999972</v>
      </c>
      <c r="Y1009" s="247">
        <f ca="1">+$V1009*NSGradeFt+PedHeight+0</f>
        <v>7.401410761154855</v>
      </c>
      <c r="Z1009" s="214">
        <f ca="1">+$W1009</f>
        <v>30.000006832286932</v>
      </c>
      <c r="AA1009" s="214">
        <f ca="1">+$Y1009</f>
        <v>7.401410761154855</v>
      </c>
      <c r="AB1009" s="214">
        <f ca="1">+$X1009</f>
        <v>53.999999999999972</v>
      </c>
      <c r="AC1009" s="214">
        <f ca="1">+$W1009-XOffset</f>
        <v>30.000006832286932</v>
      </c>
    </row>
    <row r="1010" spans="19:29" ht="8.4" customHeight="1">
      <c r="S1010" s="307"/>
      <c r="T1010" s="226">
        <f t="shared" si="60"/>
        <v>1007</v>
      </c>
      <c r="U1010" s="224">
        <f t="shared" si="58"/>
        <v>1</v>
      </c>
      <c r="V1010" s="225">
        <f t="shared" si="59"/>
        <v>3</v>
      </c>
      <c r="W1010" s="217"/>
      <c r="X1010" s="217"/>
      <c r="Y1010" s="217"/>
      <c r="Z1010" s="214"/>
      <c r="AA1010" s="214"/>
      <c r="AB1010" s="214"/>
      <c r="AC1010" s="214"/>
    </row>
    <row r="1011" spans="19:29" ht="8.4" customHeight="1">
      <c r="S1011" s="307">
        <f>INT((T1011-0)/6)+1</f>
        <v>169</v>
      </c>
      <c r="T1011" s="226">
        <f t="shared" si="60"/>
        <v>1008</v>
      </c>
      <c r="U1011" s="224">
        <f t="shared" si="58"/>
        <v>0</v>
      </c>
      <c r="V1011" s="225">
        <f t="shared" si="59"/>
        <v>0</v>
      </c>
      <c r="W1011" s="233">
        <f ca="1">$U1011*EWSpacingFt+XOffset+(PanArrayWidthHighEndFt-PanArrayWidthLowEndFt)/2</f>
        <v>0</v>
      </c>
      <c r="X1011" s="234">
        <f ca="1">$V1011*NSSpacingFt+YOffset+0</f>
        <v>0</v>
      </c>
      <c r="Y1011" s="235">
        <f ca="1">+$V1011*NSGradeFt+PedHeight+0</f>
        <v>7.401410761154855</v>
      </c>
      <c r="Z1011" s="214">
        <f ca="1">+$W1011</f>
        <v>0</v>
      </c>
      <c r="AA1011" s="214">
        <f ca="1">+$Y1011</f>
        <v>7.401410761154855</v>
      </c>
      <c r="AB1011" s="214">
        <f ca="1">+$X1011</f>
        <v>0</v>
      </c>
      <c r="AC1011" s="214">
        <f ca="1">+$W1011-XOffset</f>
        <v>0</v>
      </c>
    </row>
    <row r="1012" spans="19:29" ht="8.4" customHeight="1">
      <c r="S1012" s="307"/>
      <c r="T1012" s="226">
        <f t="shared" si="60"/>
        <v>1009</v>
      </c>
      <c r="U1012" s="224">
        <f t="shared" si="58"/>
        <v>0</v>
      </c>
      <c r="V1012" s="225">
        <f t="shared" si="59"/>
        <v>0</v>
      </c>
      <c r="W1012" s="236">
        <f ca="1">+$U1012*EWSpacingFt+XOffset+PanArrayWidthHighEndFt-(PanArrayWidthHighEndFt-PanArrayWidthLowEndFt)/2</f>
        <v>10.80282152230971</v>
      </c>
      <c r="X1012" s="240">
        <f ca="1">$V1012*NSSpacingFt+YOffset+0</f>
        <v>0</v>
      </c>
      <c r="Y1012" s="244">
        <f ca="1">+$V1012*NSGradeFt+PedHeight+0</f>
        <v>7.401410761154855</v>
      </c>
      <c r="Z1012" s="214">
        <f ca="1">+$W1012</f>
        <v>10.80282152230971</v>
      </c>
      <c r="AA1012" s="214">
        <f ca="1">+$Y1012</f>
        <v>7.401410761154855</v>
      </c>
      <c r="AB1012" s="214">
        <f ca="1">+$X1012</f>
        <v>0</v>
      </c>
      <c r="AC1012" s="214">
        <f ca="1">+$W1012-XOffset</f>
        <v>10.80282152230971</v>
      </c>
    </row>
    <row r="1013" spans="19:29" ht="8.4" customHeight="1">
      <c r="S1013" s="307"/>
      <c r="T1013" s="226">
        <f t="shared" si="60"/>
        <v>1010</v>
      </c>
      <c r="U1013" s="224">
        <f t="shared" si="58"/>
        <v>0</v>
      </c>
      <c r="V1013" s="225">
        <f t="shared" si="59"/>
        <v>0</v>
      </c>
      <c r="W1013" s="237">
        <f ca="1">$U1013*EWSpacingFt+XOffset+PanArrayWidthHighEndFt</f>
        <v>10.80282152230971</v>
      </c>
      <c r="X1013" s="241">
        <f ca="1">$V1013*NSSpacingFt+YOffset+PanArrayLenFt*COS(RADIANS(Latitude+DecAng))</f>
        <v>16.439632545931762</v>
      </c>
      <c r="Y1013" s="245">
        <f ca="1">+$V1013*NSGradeFt+PedHeight+PanArrayLenFt*SIN(RADIANS(Latitude+DecAng))</f>
        <v>7.401410761154855</v>
      </c>
      <c r="Z1013" s="214">
        <f ca="1">+$W1013</f>
        <v>10.80282152230971</v>
      </c>
      <c r="AA1013" s="214">
        <f ca="1">+$Y1013</f>
        <v>7.401410761154855</v>
      </c>
      <c r="AB1013" s="214">
        <f ca="1">+$X1013</f>
        <v>16.439632545931762</v>
      </c>
      <c r="AC1013" s="214">
        <f ca="1">+$W1013-XOffset</f>
        <v>10.80282152230971</v>
      </c>
    </row>
    <row r="1014" spans="19:29" ht="8.4" customHeight="1">
      <c r="S1014" s="307"/>
      <c r="T1014" s="226">
        <f t="shared" si="60"/>
        <v>1011</v>
      </c>
      <c r="U1014" s="224">
        <f t="shared" si="58"/>
        <v>0</v>
      </c>
      <c r="V1014" s="225">
        <f t="shared" si="59"/>
        <v>0</v>
      </c>
      <c r="W1014" s="238">
        <f ca="1">$U1014*EWSpacingFt+XOffset+0</f>
        <v>0</v>
      </c>
      <c r="X1014" s="242">
        <f ca="1">$V1014*NSSpacingFt+YOffset+PanArrayLenFt*COS(RADIANS(Latitude+DecAng))</f>
        <v>16.439632545931762</v>
      </c>
      <c r="Y1014" s="246">
        <f ca="1">+$V1014*NSGradeFt+PedHeight+PanArrayLenFt*SIN(RADIANS(Latitude+DecAng))</f>
        <v>7.401410761154855</v>
      </c>
      <c r="Z1014" s="214">
        <f ca="1">+$W1014</f>
        <v>0</v>
      </c>
      <c r="AA1014" s="214">
        <f ca="1">+$Y1014</f>
        <v>7.401410761154855</v>
      </c>
      <c r="AB1014" s="214">
        <f ca="1">+$X1014</f>
        <v>16.439632545931762</v>
      </c>
      <c r="AC1014" s="214">
        <f ca="1">+$W1014-XOffset</f>
        <v>0</v>
      </c>
    </row>
    <row r="1015" spans="19:29" ht="8.4" customHeight="1">
      <c r="S1015" s="307"/>
      <c r="T1015" s="226">
        <f t="shared" si="60"/>
        <v>1012</v>
      </c>
      <c r="U1015" s="224">
        <f t="shared" si="58"/>
        <v>0</v>
      </c>
      <c r="V1015" s="225">
        <f t="shared" si="59"/>
        <v>0</v>
      </c>
      <c r="W1015" s="239">
        <f ca="1">$U1015*EWSpacingFt+XOffset+(PanArrayWidthHighEndFt-PanArrayWidthLowEndFt)/2</f>
        <v>0</v>
      </c>
      <c r="X1015" s="243">
        <f ca="1">$V1015*NSSpacingFt+YOffset+0</f>
        <v>0</v>
      </c>
      <c r="Y1015" s="247">
        <f ca="1">+$V1015*NSGradeFt+PedHeight+0</f>
        <v>7.401410761154855</v>
      </c>
      <c r="Z1015" s="214">
        <f ca="1">+$W1015</f>
        <v>0</v>
      </c>
      <c r="AA1015" s="214">
        <f ca="1">+$Y1015</f>
        <v>7.401410761154855</v>
      </c>
      <c r="AB1015" s="214">
        <f ca="1">+$X1015</f>
        <v>0</v>
      </c>
      <c r="AC1015" s="214">
        <f ca="1">+$W1015-XOffset</f>
        <v>0</v>
      </c>
    </row>
    <row r="1016" spans="19:29" ht="8.4" customHeight="1">
      <c r="S1016" s="307"/>
      <c r="T1016" s="226">
        <f t="shared" si="60"/>
        <v>1013</v>
      </c>
      <c r="U1016" s="224">
        <f t="shared" si="58"/>
        <v>0</v>
      </c>
      <c r="V1016" s="225">
        <f t="shared" si="59"/>
        <v>0</v>
      </c>
      <c r="W1016" s="217"/>
      <c r="X1016" s="217"/>
      <c r="Y1016" s="217"/>
      <c r="Z1016" s="214"/>
      <c r="AA1016" s="214"/>
      <c r="AB1016" s="214"/>
      <c r="AC1016" s="214"/>
    </row>
    <row r="1017" spans="19:29" ht="8.4" customHeight="1">
      <c r="S1017" s="307">
        <f>INT((T1017-0)/6)+1</f>
        <v>170</v>
      </c>
      <c r="T1017" s="226">
        <f t="shared" si="60"/>
        <v>1014</v>
      </c>
      <c r="U1017" s="224">
        <f t="shared" si="58"/>
        <v>1</v>
      </c>
      <c r="V1017" s="225">
        <f t="shared" si="59"/>
        <v>0</v>
      </c>
      <c r="W1017" s="233">
        <f ca="1">$U1017*EWSpacingFt+XOffset+(PanArrayWidthHighEndFt-PanArrayWidthLowEndFt)/2</f>
        <v>30.000006832286932</v>
      </c>
      <c r="X1017" s="234">
        <f ca="1">$V1017*NSSpacingFt+YOffset+0</f>
        <v>0</v>
      </c>
      <c r="Y1017" s="235">
        <f ca="1">+$V1017*NSGradeFt+PedHeight+0</f>
        <v>7.401410761154855</v>
      </c>
      <c r="Z1017" s="214">
        <f ca="1">+$W1017</f>
        <v>30.000006832286932</v>
      </c>
      <c r="AA1017" s="214">
        <f ca="1">+$Y1017</f>
        <v>7.401410761154855</v>
      </c>
      <c r="AB1017" s="214">
        <f ca="1">+$X1017</f>
        <v>0</v>
      </c>
      <c r="AC1017" s="214">
        <f ca="1">+$W1017-XOffset</f>
        <v>30.000006832286932</v>
      </c>
    </row>
    <row r="1018" spans="19:29" ht="8.4" customHeight="1">
      <c r="S1018" s="307"/>
      <c r="T1018" s="226">
        <f t="shared" si="60"/>
        <v>1015</v>
      </c>
      <c r="U1018" s="224">
        <f t="shared" si="58"/>
        <v>1</v>
      </c>
      <c r="V1018" s="225">
        <f t="shared" si="59"/>
        <v>0</v>
      </c>
      <c r="W1018" s="236">
        <f ca="1">+$U1018*EWSpacingFt+XOffset+PanArrayWidthHighEndFt-(PanArrayWidthHighEndFt-PanArrayWidthLowEndFt)/2</f>
        <v>40.802828354596642</v>
      </c>
      <c r="X1018" s="240">
        <f ca="1">$V1018*NSSpacingFt+YOffset+0</f>
        <v>0</v>
      </c>
      <c r="Y1018" s="244">
        <f ca="1">+$V1018*NSGradeFt+PedHeight+0</f>
        <v>7.401410761154855</v>
      </c>
      <c r="Z1018" s="214">
        <f ca="1">+$W1018</f>
        <v>40.802828354596642</v>
      </c>
      <c r="AA1018" s="214">
        <f ca="1">+$Y1018</f>
        <v>7.401410761154855</v>
      </c>
      <c r="AB1018" s="214">
        <f ca="1">+$X1018</f>
        <v>0</v>
      </c>
      <c r="AC1018" s="214">
        <f ca="1">+$W1018-XOffset</f>
        <v>40.802828354596642</v>
      </c>
    </row>
    <row r="1019" spans="19:29" ht="8.4" customHeight="1">
      <c r="S1019" s="307"/>
      <c r="T1019" s="226">
        <f t="shared" si="60"/>
        <v>1016</v>
      </c>
      <c r="U1019" s="224">
        <f t="shared" si="58"/>
        <v>1</v>
      </c>
      <c r="V1019" s="225">
        <f t="shared" si="59"/>
        <v>0</v>
      </c>
      <c r="W1019" s="237">
        <f ca="1">$U1019*EWSpacingFt+XOffset+PanArrayWidthHighEndFt</f>
        <v>40.802828354596642</v>
      </c>
      <c r="X1019" s="241">
        <f ca="1">$V1019*NSSpacingFt+YOffset+PanArrayLenFt*COS(RADIANS(Latitude+DecAng))</f>
        <v>16.439632545931762</v>
      </c>
      <c r="Y1019" s="245">
        <f ca="1">+$V1019*NSGradeFt+PedHeight+PanArrayLenFt*SIN(RADIANS(Latitude+DecAng))</f>
        <v>7.401410761154855</v>
      </c>
      <c r="Z1019" s="214">
        <f ca="1">+$W1019</f>
        <v>40.802828354596642</v>
      </c>
      <c r="AA1019" s="214">
        <f ca="1">+$Y1019</f>
        <v>7.401410761154855</v>
      </c>
      <c r="AB1019" s="214">
        <f ca="1">+$X1019</f>
        <v>16.439632545931762</v>
      </c>
      <c r="AC1019" s="214">
        <f ca="1">+$W1019-XOffset</f>
        <v>40.802828354596642</v>
      </c>
    </row>
    <row r="1020" spans="19:29" ht="8.4" customHeight="1">
      <c r="S1020" s="307"/>
      <c r="T1020" s="226">
        <f t="shared" si="60"/>
        <v>1017</v>
      </c>
      <c r="U1020" s="224">
        <f t="shared" si="58"/>
        <v>1</v>
      </c>
      <c r="V1020" s="225">
        <f t="shared" si="59"/>
        <v>0</v>
      </c>
      <c r="W1020" s="238">
        <f ca="1">$U1020*EWSpacingFt+XOffset+0</f>
        <v>30.000006832286932</v>
      </c>
      <c r="X1020" s="242">
        <f ca="1">$V1020*NSSpacingFt+YOffset+PanArrayLenFt*COS(RADIANS(Latitude+DecAng))</f>
        <v>16.439632545931762</v>
      </c>
      <c r="Y1020" s="246">
        <f ca="1">+$V1020*NSGradeFt+PedHeight+PanArrayLenFt*SIN(RADIANS(Latitude+DecAng))</f>
        <v>7.401410761154855</v>
      </c>
      <c r="Z1020" s="214">
        <f ca="1">+$W1020</f>
        <v>30.000006832286932</v>
      </c>
      <c r="AA1020" s="214">
        <f ca="1">+$Y1020</f>
        <v>7.401410761154855</v>
      </c>
      <c r="AB1020" s="214">
        <f ca="1">+$X1020</f>
        <v>16.439632545931762</v>
      </c>
      <c r="AC1020" s="214">
        <f ca="1">+$W1020-XOffset</f>
        <v>30.000006832286932</v>
      </c>
    </row>
    <row r="1021" spans="19:29" ht="8.4" customHeight="1">
      <c r="S1021" s="307"/>
      <c r="T1021" s="226">
        <f t="shared" si="60"/>
        <v>1018</v>
      </c>
      <c r="U1021" s="224">
        <f t="shared" si="58"/>
        <v>1</v>
      </c>
      <c r="V1021" s="225">
        <f t="shared" si="59"/>
        <v>0</v>
      </c>
      <c r="W1021" s="239">
        <f ca="1">$U1021*EWSpacingFt+XOffset+(PanArrayWidthHighEndFt-PanArrayWidthLowEndFt)/2</f>
        <v>30.000006832286932</v>
      </c>
      <c r="X1021" s="243">
        <f ca="1">$V1021*NSSpacingFt+YOffset+0</f>
        <v>0</v>
      </c>
      <c r="Y1021" s="247">
        <f ca="1">+$V1021*NSGradeFt+PedHeight+0</f>
        <v>7.401410761154855</v>
      </c>
      <c r="Z1021" s="214">
        <f ca="1">+$W1021</f>
        <v>30.000006832286932</v>
      </c>
      <c r="AA1021" s="214">
        <f ca="1">+$Y1021</f>
        <v>7.401410761154855</v>
      </c>
      <c r="AB1021" s="214">
        <f ca="1">+$X1021</f>
        <v>0</v>
      </c>
      <c r="AC1021" s="214">
        <f ca="1">+$W1021-XOffset</f>
        <v>30.000006832286932</v>
      </c>
    </row>
    <row r="1022" spans="19:29" ht="8.4" customHeight="1">
      <c r="S1022" s="307"/>
      <c r="T1022" s="226">
        <f t="shared" si="60"/>
        <v>1019</v>
      </c>
      <c r="U1022" s="224">
        <f t="shared" si="58"/>
        <v>1</v>
      </c>
      <c r="V1022" s="225">
        <f t="shared" si="59"/>
        <v>0</v>
      </c>
      <c r="W1022" s="217"/>
      <c r="X1022" s="217"/>
      <c r="Y1022" s="217"/>
      <c r="Z1022" s="214"/>
      <c r="AA1022" s="214"/>
      <c r="AB1022" s="214"/>
      <c r="AC1022" s="214"/>
    </row>
    <row r="1023" spans="19:29" ht="8.4" customHeight="1">
      <c r="S1023" s="307">
        <f>INT((T1023-0)/6)+1</f>
        <v>171</v>
      </c>
      <c r="T1023" s="226">
        <f t="shared" si="60"/>
        <v>1020</v>
      </c>
      <c r="U1023" s="224">
        <f t="shared" si="58"/>
        <v>0</v>
      </c>
      <c r="V1023" s="225">
        <f t="shared" si="59"/>
        <v>1</v>
      </c>
      <c r="W1023" s="233">
        <f ca="1">$U1023*EWSpacingFt+XOffset+(PanArrayWidthHighEndFt-PanArrayWidthLowEndFt)/2</f>
        <v>0</v>
      </c>
      <c r="X1023" s="234">
        <f ca="1">$V1023*NSSpacingFt+YOffset+0</f>
        <v>17.999999999999989</v>
      </c>
      <c r="Y1023" s="235">
        <f ca="1">+$V1023*NSGradeFt+PedHeight+0</f>
        <v>7.401410761154855</v>
      </c>
      <c r="Z1023" s="214">
        <f ca="1">+$W1023</f>
        <v>0</v>
      </c>
      <c r="AA1023" s="214">
        <f ca="1">+$Y1023</f>
        <v>7.401410761154855</v>
      </c>
      <c r="AB1023" s="214">
        <f ca="1">+$X1023</f>
        <v>17.999999999999989</v>
      </c>
      <c r="AC1023" s="214">
        <f ca="1">+$W1023-XOffset</f>
        <v>0</v>
      </c>
    </row>
    <row r="1024" spans="19:29" ht="8.4" customHeight="1">
      <c r="S1024" s="307"/>
      <c r="T1024" s="226">
        <f t="shared" si="60"/>
        <v>1021</v>
      </c>
      <c r="U1024" s="224">
        <f t="shared" si="58"/>
        <v>0</v>
      </c>
      <c r="V1024" s="225">
        <f t="shared" si="59"/>
        <v>1</v>
      </c>
      <c r="W1024" s="236">
        <f ca="1">+$U1024*EWSpacingFt+XOffset+PanArrayWidthHighEndFt-(PanArrayWidthHighEndFt-PanArrayWidthLowEndFt)/2</f>
        <v>10.80282152230971</v>
      </c>
      <c r="X1024" s="240">
        <f ca="1">$V1024*NSSpacingFt+YOffset+0</f>
        <v>17.999999999999989</v>
      </c>
      <c r="Y1024" s="244">
        <f ca="1">+$V1024*NSGradeFt+PedHeight+0</f>
        <v>7.401410761154855</v>
      </c>
      <c r="Z1024" s="214">
        <f ca="1">+$W1024</f>
        <v>10.80282152230971</v>
      </c>
      <c r="AA1024" s="214">
        <f ca="1">+$Y1024</f>
        <v>7.401410761154855</v>
      </c>
      <c r="AB1024" s="214">
        <f ca="1">+$X1024</f>
        <v>17.999999999999989</v>
      </c>
      <c r="AC1024" s="214">
        <f ca="1">+$W1024-XOffset</f>
        <v>10.80282152230971</v>
      </c>
    </row>
    <row r="1025" spans="19:29" ht="8.4" customHeight="1">
      <c r="S1025" s="307"/>
      <c r="T1025" s="226">
        <f t="shared" si="60"/>
        <v>1022</v>
      </c>
      <c r="U1025" s="224">
        <f t="shared" si="58"/>
        <v>0</v>
      </c>
      <c r="V1025" s="225">
        <f t="shared" si="59"/>
        <v>1</v>
      </c>
      <c r="W1025" s="237">
        <f ca="1">$U1025*EWSpacingFt+XOffset+PanArrayWidthHighEndFt</f>
        <v>10.80282152230971</v>
      </c>
      <c r="X1025" s="241">
        <f ca="1">$V1025*NSSpacingFt+YOffset+PanArrayLenFt*COS(RADIANS(Latitude+DecAng))</f>
        <v>34.439632545931751</v>
      </c>
      <c r="Y1025" s="245">
        <f ca="1">+$V1025*NSGradeFt+PedHeight+PanArrayLenFt*SIN(RADIANS(Latitude+DecAng))</f>
        <v>7.401410761154855</v>
      </c>
      <c r="Z1025" s="214">
        <f ca="1">+$W1025</f>
        <v>10.80282152230971</v>
      </c>
      <c r="AA1025" s="214">
        <f ca="1">+$Y1025</f>
        <v>7.401410761154855</v>
      </c>
      <c r="AB1025" s="214">
        <f ca="1">+$X1025</f>
        <v>34.439632545931751</v>
      </c>
      <c r="AC1025" s="214">
        <f ca="1">+$W1025-XOffset</f>
        <v>10.80282152230971</v>
      </c>
    </row>
    <row r="1026" spans="19:29" ht="8.4" customHeight="1">
      <c r="S1026" s="307"/>
      <c r="T1026" s="226">
        <f t="shared" si="60"/>
        <v>1023</v>
      </c>
      <c r="U1026" s="224">
        <f t="shared" si="58"/>
        <v>0</v>
      </c>
      <c r="V1026" s="225">
        <f t="shared" si="59"/>
        <v>1</v>
      </c>
      <c r="W1026" s="238">
        <f ca="1">$U1026*EWSpacingFt+XOffset+0</f>
        <v>0</v>
      </c>
      <c r="X1026" s="242">
        <f ca="1">$V1026*NSSpacingFt+YOffset+PanArrayLenFt*COS(RADIANS(Latitude+DecAng))</f>
        <v>34.439632545931751</v>
      </c>
      <c r="Y1026" s="246">
        <f ca="1">+$V1026*NSGradeFt+PedHeight+PanArrayLenFt*SIN(RADIANS(Latitude+DecAng))</f>
        <v>7.401410761154855</v>
      </c>
      <c r="Z1026" s="214">
        <f ca="1">+$W1026</f>
        <v>0</v>
      </c>
      <c r="AA1026" s="214">
        <f ca="1">+$Y1026</f>
        <v>7.401410761154855</v>
      </c>
      <c r="AB1026" s="214">
        <f ca="1">+$X1026</f>
        <v>34.439632545931751</v>
      </c>
      <c r="AC1026" s="214">
        <f ca="1">+$W1026-XOffset</f>
        <v>0</v>
      </c>
    </row>
    <row r="1027" spans="19:29" ht="8.4" customHeight="1">
      <c r="S1027" s="307"/>
      <c r="T1027" s="226">
        <f t="shared" si="60"/>
        <v>1024</v>
      </c>
      <c r="U1027" s="224">
        <f t="shared" ref="U1027:U1090" si="61">+MOD(INT(T1027/6),ColumnsOfMounts)</f>
        <v>0</v>
      </c>
      <c r="V1027" s="225">
        <f t="shared" ref="V1027:V1090" si="62">+MOD(INT(T1027/6/ColumnsOfMounts),RowsOfMounts)</f>
        <v>1</v>
      </c>
      <c r="W1027" s="239">
        <f ca="1">$U1027*EWSpacingFt+XOffset+(PanArrayWidthHighEndFt-PanArrayWidthLowEndFt)/2</f>
        <v>0</v>
      </c>
      <c r="X1027" s="243">
        <f ca="1">$V1027*NSSpacingFt+YOffset+0</f>
        <v>17.999999999999989</v>
      </c>
      <c r="Y1027" s="247">
        <f ca="1">+$V1027*NSGradeFt+PedHeight+0</f>
        <v>7.401410761154855</v>
      </c>
      <c r="Z1027" s="214">
        <f ca="1">+$W1027</f>
        <v>0</v>
      </c>
      <c r="AA1027" s="214">
        <f ca="1">+$Y1027</f>
        <v>7.401410761154855</v>
      </c>
      <c r="AB1027" s="214">
        <f ca="1">+$X1027</f>
        <v>17.999999999999989</v>
      </c>
      <c r="AC1027" s="214">
        <f ca="1">+$W1027-XOffset</f>
        <v>0</v>
      </c>
    </row>
    <row r="1028" spans="19:29" ht="8.4" customHeight="1">
      <c r="S1028" s="307"/>
      <c r="T1028" s="226">
        <f t="shared" si="60"/>
        <v>1025</v>
      </c>
      <c r="U1028" s="224">
        <f t="shared" si="61"/>
        <v>0</v>
      </c>
      <c r="V1028" s="225">
        <f t="shared" si="62"/>
        <v>1</v>
      </c>
      <c r="W1028" s="217"/>
      <c r="X1028" s="217"/>
      <c r="Y1028" s="217"/>
      <c r="Z1028" s="214"/>
      <c r="AA1028" s="214"/>
      <c r="AB1028" s="214"/>
      <c r="AC1028" s="214"/>
    </row>
    <row r="1029" spans="19:29" ht="8.4" customHeight="1">
      <c r="S1029" s="307">
        <f>INT((T1029-0)/6)+1</f>
        <v>172</v>
      </c>
      <c r="T1029" s="226">
        <f t="shared" si="60"/>
        <v>1026</v>
      </c>
      <c r="U1029" s="224">
        <f t="shared" si="61"/>
        <v>1</v>
      </c>
      <c r="V1029" s="225">
        <f t="shared" si="62"/>
        <v>1</v>
      </c>
      <c r="W1029" s="233">
        <f ca="1">$U1029*EWSpacingFt+XOffset+(PanArrayWidthHighEndFt-PanArrayWidthLowEndFt)/2</f>
        <v>30.000006832286932</v>
      </c>
      <c r="X1029" s="234">
        <f ca="1">$V1029*NSSpacingFt+YOffset+0</f>
        <v>17.999999999999989</v>
      </c>
      <c r="Y1029" s="235">
        <f ca="1">+$V1029*NSGradeFt+PedHeight+0</f>
        <v>7.401410761154855</v>
      </c>
      <c r="Z1029" s="214">
        <f ca="1">+$W1029</f>
        <v>30.000006832286932</v>
      </c>
      <c r="AA1029" s="214">
        <f ca="1">+$Y1029</f>
        <v>7.401410761154855</v>
      </c>
      <c r="AB1029" s="214">
        <f ca="1">+$X1029</f>
        <v>17.999999999999989</v>
      </c>
      <c r="AC1029" s="214">
        <f ca="1">+$W1029-XOffset</f>
        <v>30.000006832286932</v>
      </c>
    </row>
    <row r="1030" spans="19:29" ht="8.4" customHeight="1">
      <c r="S1030" s="307"/>
      <c r="T1030" s="226">
        <f t="shared" si="60"/>
        <v>1027</v>
      </c>
      <c r="U1030" s="224">
        <f t="shared" si="61"/>
        <v>1</v>
      </c>
      <c r="V1030" s="225">
        <f t="shared" si="62"/>
        <v>1</v>
      </c>
      <c r="W1030" s="236">
        <f ca="1">+$U1030*EWSpacingFt+XOffset+PanArrayWidthHighEndFt-(PanArrayWidthHighEndFt-PanArrayWidthLowEndFt)/2</f>
        <v>40.802828354596642</v>
      </c>
      <c r="X1030" s="240">
        <f ca="1">$V1030*NSSpacingFt+YOffset+0</f>
        <v>17.999999999999989</v>
      </c>
      <c r="Y1030" s="244">
        <f ca="1">+$V1030*NSGradeFt+PedHeight+0</f>
        <v>7.401410761154855</v>
      </c>
      <c r="Z1030" s="214">
        <f ca="1">+$W1030</f>
        <v>40.802828354596642</v>
      </c>
      <c r="AA1030" s="214">
        <f ca="1">+$Y1030</f>
        <v>7.401410761154855</v>
      </c>
      <c r="AB1030" s="214">
        <f ca="1">+$X1030</f>
        <v>17.999999999999989</v>
      </c>
      <c r="AC1030" s="214">
        <f ca="1">+$W1030-XOffset</f>
        <v>40.802828354596642</v>
      </c>
    </row>
    <row r="1031" spans="19:29" ht="8.4" customHeight="1">
      <c r="S1031" s="307"/>
      <c r="T1031" s="226">
        <f t="shared" si="60"/>
        <v>1028</v>
      </c>
      <c r="U1031" s="224">
        <f t="shared" si="61"/>
        <v>1</v>
      </c>
      <c r="V1031" s="225">
        <f t="shared" si="62"/>
        <v>1</v>
      </c>
      <c r="W1031" s="237">
        <f ca="1">$U1031*EWSpacingFt+XOffset+PanArrayWidthHighEndFt</f>
        <v>40.802828354596642</v>
      </c>
      <c r="X1031" s="241">
        <f ca="1">$V1031*NSSpacingFt+YOffset+PanArrayLenFt*COS(RADIANS(Latitude+DecAng))</f>
        <v>34.439632545931751</v>
      </c>
      <c r="Y1031" s="245">
        <f ca="1">+$V1031*NSGradeFt+PedHeight+PanArrayLenFt*SIN(RADIANS(Latitude+DecAng))</f>
        <v>7.401410761154855</v>
      </c>
      <c r="Z1031" s="214">
        <f ca="1">+$W1031</f>
        <v>40.802828354596642</v>
      </c>
      <c r="AA1031" s="214">
        <f ca="1">+$Y1031</f>
        <v>7.401410761154855</v>
      </c>
      <c r="AB1031" s="214">
        <f ca="1">+$X1031</f>
        <v>34.439632545931751</v>
      </c>
      <c r="AC1031" s="214">
        <f ca="1">+$W1031-XOffset</f>
        <v>40.802828354596642</v>
      </c>
    </row>
    <row r="1032" spans="19:29" ht="8.4" customHeight="1">
      <c r="S1032" s="307"/>
      <c r="T1032" s="226">
        <f t="shared" si="60"/>
        <v>1029</v>
      </c>
      <c r="U1032" s="224">
        <f t="shared" si="61"/>
        <v>1</v>
      </c>
      <c r="V1032" s="225">
        <f t="shared" si="62"/>
        <v>1</v>
      </c>
      <c r="W1032" s="238">
        <f ca="1">$U1032*EWSpacingFt+XOffset+0</f>
        <v>30.000006832286932</v>
      </c>
      <c r="X1032" s="242">
        <f ca="1">$V1032*NSSpacingFt+YOffset+PanArrayLenFt*COS(RADIANS(Latitude+DecAng))</f>
        <v>34.439632545931751</v>
      </c>
      <c r="Y1032" s="246">
        <f ca="1">+$V1032*NSGradeFt+PedHeight+PanArrayLenFt*SIN(RADIANS(Latitude+DecAng))</f>
        <v>7.401410761154855</v>
      </c>
      <c r="Z1032" s="214">
        <f ca="1">+$W1032</f>
        <v>30.000006832286932</v>
      </c>
      <c r="AA1032" s="214">
        <f ca="1">+$Y1032</f>
        <v>7.401410761154855</v>
      </c>
      <c r="AB1032" s="214">
        <f ca="1">+$X1032</f>
        <v>34.439632545931751</v>
      </c>
      <c r="AC1032" s="214">
        <f ca="1">+$W1032-XOffset</f>
        <v>30.000006832286932</v>
      </c>
    </row>
    <row r="1033" spans="19:29" ht="8.4" customHeight="1">
      <c r="S1033" s="307"/>
      <c r="T1033" s="226">
        <f t="shared" si="60"/>
        <v>1030</v>
      </c>
      <c r="U1033" s="224">
        <f t="shared" si="61"/>
        <v>1</v>
      </c>
      <c r="V1033" s="225">
        <f t="shared" si="62"/>
        <v>1</v>
      </c>
      <c r="W1033" s="239">
        <f ca="1">$U1033*EWSpacingFt+XOffset+(PanArrayWidthHighEndFt-PanArrayWidthLowEndFt)/2</f>
        <v>30.000006832286932</v>
      </c>
      <c r="X1033" s="243">
        <f ca="1">$V1033*NSSpacingFt+YOffset+0</f>
        <v>17.999999999999989</v>
      </c>
      <c r="Y1033" s="247">
        <f ca="1">+$V1033*NSGradeFt+PedHeight+0</f>
        <v>7.401410761154855</v>
      </c>
      <c r="Z1033" s="214">
        <f ca="1">+$W1033</f>
        <v>30.000006832286932</v>
      </c>
      <c r="AA1033" s="214">
        <f ca="1">+$Y1033</f>
        <v>7.401410761154855</v>
      </c>
      <c r="AB1033" s="214">
        <f ca="1">+$X1033</f>
        <v>17.999999999999989</v>
      </c>
      <c r="AC1033" s="214">
        <f ca="1">+$W1033-XOffset</f>
        <v>30.000006832286932</v>
      </c>
    </row>
    <row r="1034" spans="19:29" ht="8.4" customHeight="1">
      <c r="S1034" s="307"/>
      <c r="T1034" s="226">
        <f t="shared" si="60"/>
        <v>1031</v>
      </c>
      <c r="U1034" s="224">
        <f t="shared" si="61"/>
        <v>1</v>
      </c>
      <c r="V1034" s="225">
        <f t="shared" si="62"/>
        <v>1</v>
      </c>
      <c r="W1034" s="217"/>
      <c r="X1034" s="217"/>
      <c r="Y1034" s="217"/>
      <c r="Z1034" s="214"/>
      <c r="AA1034" s="214"/>
      <c r="AB1034" s="214"/>
      <c r="AC1034" s="214"/>
    </row>
    <row r="1035" spans="19:29" ht="8.4" customHeight="1">
      <c r="S1035" s="307">
        <f>INT((T1035-0)/6)+1</f>
        <v>173</v>
      </c>
      <c r="T1035" s="226">
        <f t="shared" si="60"/>
        <v>1032</v>
      </c>
      <c r="U1035" s="224">
        <f t="shared" si="61"/>
        <v>0</v>
      </c>
      <c r="V1035" s="225">
        <f t="shared" si="62"/>
        <v>2</v>
      </c>
      <c r="W1035" s="233">
        <f ca="1">$U1035*EWSpacingFt+XOffset+(PanArrayWidthHighEndFt-PanArrayWidthLowEndFt)/2</f>
        <v>0</v>
      </c>
      <c r="X1035" s="234">
        <f ca="1">$V1035*NSSpacingFt+YOffset+0</f>
        <v>35.999999999999979</v>
      </c>
      <c r="Y1035" s="235">
        <f ca="1">+$V1035*NSGradeFt+PedHeight+0</f>
        <v>7.401410761154855</v>
      </c>
      <c r="Z1035" s="214">
        <f ca="1">+$W1035</f>
        <v>0</v>
      </c>
      <c r="AA1035" s="214">
        <f ca="1">+$Y1035</f>
        <v>7.401410761154855</v>
      </c>
      <c r="AB1035" s="214">
        <f ca="1">+$X1035</f>
        <v>35.999999999999979</v>
      </c>
      <c r="AC1035" s="214">
        <f ca="1">+$W1035-XOffset</f>
        <v>0</v>
      </c>
    </row>
    <row r="1036" spans="19:29" ht="8.4" customHeight="1">
      <c r="S1036" s="307"/>
      <c r="T1036" s="226">
        <f t="shared" si="60"/>
        <v>1033</v>
      </c>
      <c r="U1036" s="224">
        <f t="shared" si="61"/>
        <v>0</v>
      </c>
      <c r="V1036" s="225">
        <f t="shared" si="62"/>
        <v>2</v>
      </c>
      <c r="W1036" s="236">
        <f ca="1">+$U1036*EWSpacingFt+XOffset+PanArrayWidthHighEndFt-(PanArrayWidthHighEndFt-PanArrayWidthLowEndFt)/2</f>
        <v>10.80282152230971</v>
      </c>
      <c r="X1036" s="240">
        <f ca="1">$V1036*NSSpacingFt+YOffset+0</f>
        <v>35.999999999999979</v>
      </c>
      <c r="Y1036" s="244">
        <f ca="1">+$V1036*NSGradeFt+PedHeight+0</f>
        <v>7.401410761154855</v>
      </c>
      <c r="Z1036" s="214">
        <f ca="1">+$W1036</f>
        <v>10.80282152230971</v>
      </c>
      <c r="AA1036" s="214">
        <f ca="1">+$Y1036</f>
        <v>7.401410761154855</v>
      </c>
      <c r="AB1036" s="214">
        <f ca="1">+$X1036</f>
        <v>35.999999999999979</v>
      </c>
      <c r="AC1036" s="214">
        <f ca="1">+$W1036-XOffset</f>
        <v>10.80282152230971</v>
      </c>
    </row>
    <row r="1037" spans="19:29" ht="8.4" customHeight="1">
      <c r="S1037" s="307"/>
      <c r="T1037" s="226">
        <f t="shared" si="60"/>
        <v>1034</v>
      </c>
      <c r="U1037" s="224">
        <f t="shared" si="61"/>
        <v>0</v>
      </c>
      <c r="V1037" s="225">
        <f t="shared" si="62"/>
        <v>2</v>
      </c>
      <c r="W1037" s="237">
        <f ca="1">$U1037*EWSpacingFt+XOffset+PanArrayWidthHighEndFt</f>
        <v>10.80282152230971</v>
      </c>
      <c r="X1037" s="241">
        <f ca="1">$V1037*NSSpacingFt+YOffset+PanArrayLenFt*COS(RADIANS(Latitude+DecAng))</f>
        <v>52.439632545931744</v>
      </c>
      <c r="Y1037" s="245">
        <f ca="1">+$V1037*NSGradeFt+PedHeight+PanArrayLenFt*SIN(RADIANS(Latitude+DecAng))</f>
        <v>7.401410761154855</v>
      </c>
      <c r="Z1037" s="214">
        <f ca="1">+$W1037</f>
        <v>10.80282152230971</v>
      </c>
      <c r="AA1037" s="214">
        <f ca="1">+$Y1037</f>
        <v>7.401410761154855</v>
      </c>
      <c r="AB1037" s="214">
        <f ca="1">+$X1037</f>
        <v>52.439632545931744</v>
      </c>
      <c r="AC1037" s="214">
        <f ca="1">+$W1037-XOffset</f>
        <v>10.80282152230971</v>
      </c>
    </row>
    <row r="1038" spans="19:29" ht="8.4" customHeight="1">
      <c r="S1038" s="307"/>
      <c r="T1038" s="226">
        <f t="shared" si="60"/>
        <v>1035</v>
      </c>
      <c r="U1038" s="224">
        <f t="shared" si="61"/>
        <v>0</v>
      </c>
      <c r="V1038" s="225">
        <f t="shared" si="62"/>
        <v>2</v>
      </c>
      <c r="W1038" s="238">
        <f ca="1">$U1038*EWSpacingFt+XOffset+0</f>
        <v>0</v>
      </c>
      <c r="X1038" s="242">
        <f ca="1">$V1038*NSSpacingFt+YOffset+PanArrayLenFt*COS(RADIANS(Latitude+DecAng))</f>
        <v>52.439632545931744</v>
      </c>
      <c r="Y1038" s="246">
        <f ca="1">+$V1038*NSGradeFt+PedHeight+PanArrayLenFt*SIN(RADIANS(Latitude+DecAng))</f>
        <v>7.401410761154855</v>
      </c>
      <c r="Z1038" s="214">
        <f ca="1">+$W1038</f>
        <v>0</v>
      </c>
      <c r="AA1038" s="214">
        <f ca="1">+$Y1038</f>
        <v>7.401410761154855</v>
      </c>
      <c r="AB1038" s="214">
        <f ca="1">+$X1038</f>
        <v>52.439632545931744</v>
      </c>
      <c r="AC1038" s="214">
        <f ca="1">+$W1038-XOffset</f>
        <v>0</v>
      </c>
    </row>
    <row r="1039" spans="19:29" ht="8.4" customHeight="1">
      <c r="S1039" s="307"/>
      <c r="T1039" s="226">
        <f t="shared" si="60"/>
        <v>1036</v>
      </c>
      <c r="U1039" s="224">
        <f t="shared" si="61"/>
        <v>0</v>
      </c>
      <c r="V1039" s="225">
        <f t="shared" si="62"/>
        <v>2</v>
      </c>
      <c r="W1039" s="239">
        <f ca="1">$U1039*EWSpacingFt+XOffset+(PanArrayWidthHighEndFt-PanArrayWidthLowEndFt)/2</f>
        <v>0</v>
      </c>
      <c r="X1039" s="243">
        <f ca="1">$V1039*NSSpacingFt+YOffset+0</f>
        <v>35.999999999999979</v>
      </c>
      <c r="Y1039" s="247">
        <f ca="1">+$V1039*NSGradeFt+PedHeight+0</f>
        <v>7.401410761154855</v>
      </c>
      <c r="Z1039" s="214">
        <f ca="1">+$W1039</f>
        <v>0</v>
      </c>
      <c r="AA1039" s="214">
        <f ca="1">+$Y1039</f>
        <v>7.401410761154855</v>
      </c>
      <c r="AB1039" s="214">
        <f ca="1">+$X1039</f>
        <v>35.999999999999979</v>
      </c>
      <c r="AC1039" s="214">
        <f ca="1">+$W1039-XOffset</f>
        <v>0</v>
      </c>
    </row>
    <row r="1040" spans="19:29" ht="8.4" customHeight="1">
      <c r="S1040" s="307"/>
      <c r="T1040" s="226">
        <f t="shared" si="60"/>
        <v>1037</v>
      </c>
      <c r="U1040" s="224">
        <f t="shared" si="61"/>
        <v>0</v>
      </c>
      <c r="V1040" s="225">
        <f t="shared" si="62"/>
        <v>2</v>
      </c>
      <c r="W1040" s="217"/>
      <c r="X1040" s="217"/>
      <c r="Y1040" s="217"/>
      <c r="Z1040" s="214"/>
      <c r="AA1040" s="214"/>
      <c r="AB1040" s="214"/>
      <c r="AC1040" s="214"/>
    </row>
    <row r="1041" spans="19:29" ht="8.4" customHeight="1">
      <c r="S1041" s="307">
        <f>INT((T1041-0)/6)+1</f>
        <v>174</v>
      </c>
      <c r="T1041" s="226">
        <f t="shared" si="60"/>
        <v>1038</v>
      </c>
      <c r="U1041" s="224">
        <f t="shared" si="61"/>
        <v>1</v>
      </c>
      <c r="V1041" s="225">
        <f t="shared" si="62"/>
        <v>2</v>
      </c>
      <c r="W1041" s="233">
        <f ca="1">$U1041*EWSpacingFt+XOffset+(PanArrayWidthHighEndFt-PanArrayWidthLowEndFt)/2</f>
        <v>30.000006832286932</v>
      </c>
      <c r="X1041" s="234">
        <f ca="1">$V1041*NSSpacingFt+YOffset+0</f>
        <v>35.999999999999979</v>
      </c>
      <c r="Y1041" s="235">
        <f ca="1">+$V1041*NSGradeFt+PedHeight+0</f>
        <v>7.401410761154855</v>
      </c>
      <c r="Z1041" s="214">
        <f ca="1">+$W1041</f>
        <v>30.000006832286932</v>
      </c>
      <c r="AA1041" s="214">
        <f ca="1">+$Y1041</f>
        <v>7.401410761154855</v>
      </c>
      <c r="AB1041" s="214">
        <f ca="1">+$X1041</f>
        <v>35.999999999999979</v>
      </c>
      <c r="AC1041" s="214">
        <f ca="1">+$W1041-XOffset</f>
        <v>30.000006832286932</v>
      </c>
    </row>
    <row r="1042" spans="19:29" ht="8.4" customHeight="1">
      <c r="S1042" s="307"/>
      <c r="T1042" s="226">
        <f t="shared" si="60"/>
        <v>1039</v>
      </c>
      <c r="U1042" s="224">
        <f t="shared" si="61"/>
        <v>1</v>
      </c>
      <c r="V1042" s="225">
        <f t="shared" si="62"/>
        <v>2</v>
      </c>
      <c r="W1042" s="236">
        <f ca="1">+$U1042*EWSpacingFt+XOffset+PanArrayWidthHighEndFt-(PanArrayWidthHighEndFt-PanArrayWidthLowEndFt)/2</f>
        <v>40.802828354596642</v>
      </c>
      <c r="X1042" s="240">
        <f ca="1">$V1042*NSSpacingFt+YOffset+0</f>
        <v>35.999999999999979</v>
      </c>
      <c r="Y1042" s="244">
        <f ca="1">+$V1042*NSGradeFt+PedHeight+0</f>
        <v>7.401410761154855</v>
      </c>
      <c r="Z1042" s="214">
        <f ca="1">+$W1042</f>
        <v>40.802828354596642</v>
      </c>
      <c r="AA1042" s="214">
        <f ca="1">+$Y1042</f>
        <v>7.401410761154855</v>
      </c>
      <c r="AB1042" s="214">
        <f ca="1">+$X1042</f>
        <v>35.999999999999979</v>
      </c>
      <c r="AC1042" s="214">
        <f ca="1">+$W1042-XOffset</f>
        <v>40.802828354596642</v>
      </c>
    </row>
    <row r="1043" spans="19:29" ht="8.4" customHeight="1">
      <c r="S1043" s="307"/>
      <c r="T1043" s="226">
        <f t="shared" si="60"/>
        <v>1040</v>
      </c>
      <c r="U1043" s="224">
        <f t="shared" si="61"/>
        <v>1</v>
      </c>
      <c r="V1043" s="225">
        <f t="shared" si="62"/>
        <v>2</v>
      </c>
      <c r="W1043" s="237">
        <f ca="1">$U1043*EWSpacingFt+XOffset+PanArrayWidthHighEndFt</f>
        <v>40.802828354596642</v>
      </c>
      <c r="X1043" s="241">
        <f ca="1">$V1043*NSSpacingFt+YOffset+PanArrayLenFt*COS(RADIANS(Latitude+DecAng))</f>
        <v>52.439632545931744</v>
      </c>
      <c r="Y1043" s="245">
        <f ca="1">+$V1043*NSGradeFt+PedHeight+PanArrayLenFt*SIN(RADIANS(Latitude+DecAng))</f>
        <v>7.401410761154855</v>
      </c>
      <c r="Z1043" s="214">
        <f ca="1">+$W1043</f>
        <v>40.802828354596642</v>
      </c>
      <c r="AA1043" s="214">
        <f ca="1">+$Y1043</f>
        <v>7.401410761154855</v>
      </c>
      <c r="AB1043" s="214">
        <f ca="1">+$X1043</f>
        <v>52.439632545931744</v>
      </c>
      <c r="AC1043" s="214">
        <f ca="1">+$W1043-XOffset</f>
        <v>40.802828354596642</v>
      </c>
    </row>
    <row r="1044" spans="19:29" ht="8.4" customHeight="1">
      <c r="S1044" s="307"/>
      <c r="T1044" s="226">
        <f t="shared" si="60"/>
        <v>1041</v>
      </c>
      <c r="U1044" s="224">
        <f t="shared" si="61"/>
        <v>1</v>
      </c>
      <c r="V1044" s="225">
        <f t="shared" si="62"/>
        <v>2</v>
      </c>
      <c r="W1044" s="238">
        <f ca="1">$U1044*EWSpacingFt+XOffset+0</f>
        <v>30.000006832286932</v>
      </c>
      <c r="X1044" s="242">
        <f ca="1">$V1044*NSSpacingFt+YOffset+PanArrayLenFt*COS(RADIANS(Latitude+DecAng))</f>
        <v>52.439632545931744</v>
      </c>
      <c r="Y1044" s="246">
        <f ca="1">+$V1044*NSGradeFt+PedHeight+PanArrayLenFt*SIN(RADIANS(Latitude+DecAng))</f>
        <v>7.401410761154855</v>
      </c>
      <c r="Z1044" s="214">
        <f ca="1">+$W1044</f>
        <v>30.000006832286932</v>
      </c>
      <c r="AA1044" s="214">
        <f ca="1">+$Y1044</f>
        <v>7.401410761154855</v>
      </c>
      <c r="AB1044" s="214">
        <f ca="1">+$X1044</f>
        <v>52.439632545931744</v>
      </c>
      <c r="AC1044" s="214">
        <f ca="1">+$W1044-XOffset</f>
        <v>30.000006832286932</v>
      </c>
    </row>
    <row r="1045" spans="19:29" ht="8.4" customHeight="1">
      <c r="S1045" s="307"/>
      <c r="T1045" s="226">
        <f t="shared" ref="T1045:T1108" si="63">+T1044+1</f>
        <v>1042</v>
      </c>
      <c r="U1045" s="224">
        <f t="shared" si="61"/>
        <v>1</v>
      </c>
      <c r="V1045" s="225">
        <f t="shared" si="62"/>
        <v>2</v>
      </c>
      <c r="W1045" s="239">
        <f ca="1">$U1045*EWSpacingFt+XOffset+(PanArrayWidthHighEndFt-PanArrayWidthLowEndFt)/2</f>
        <v>30.000006832286932</v>
      </c>
      <c r="X1045" s="243">
        <f ca="1">$V1045*NSSpacingFt+YOffset+0</f>
        <v>35.999999999999979</v>
      </c>
      <c r="Y1045" s="247">
        <f ca="1">+$V1045*NSGradeFt+PedHeight+0</f>
        <v>7.401410761154855</v>
      </c>
      <c r="Z1045" s="214">
        <f ca="1">+$W1045</f>
        <v>30.000006832286932</v>
      </c>
      <c r="AA1045" s="214">
        <f ca="1">+$Y1045</f>
        <v>7.401410761154855</v>
      </c>
      <c r="AB1045" s="214">
        <f ca="1">+$X1045</f>
        <v>35.999999999999979</v>
      </c>
      <c r="AC1045" s="214">
        <f ca="1">+$W1045-XOffset</f>
        <v>30.000006832286932</v>
      </c>
    </row>
    <row r="1046" spans="19:29" ht="8.4" customHeight="1">
      <c r="S1046" s="307"/>
      <c r="T1046" s="226">
        <f t="shared" si="63"/>
        <v>1043</v>
      </c>
      <c r="U1046" s="224">
        <f t="shared" si="61"/>
        <v>1</v>
      </c>
      <c r="V1046" s="225">
        <f t="shared" si="62"/>
        <v>2</v>
      </c>
      <c r="W1046" s="217"/>
      <c r="X1046" s="217"/>
      <c r="Y1046" s="217"/>
      <c r="Z1046" s="214"/>
      <c r="AA1046" s="214"/>
      <c r="AB1046" s="214"/>
      <c r="AC1046" s="214"/>
    </row>
    <row r="1047" spans="19:29" ht="8.4" customHeight="1">
      <c r="S1047" s="307">
        <f>INT((T1047-0)/6)+1</f>
        <v>175</v>
      </c>
      <c r="T1047" s="226">
        <f t="shared" si="63"/>
        <v>1044</v>
      </c>
      <c r="U1047" s="224">
        <f t="shared" si="61"/>
        <v>0</v>
      </c>
      <c r="V1047" s="225">
        <f t="shared" si="62"/>
        <v>3</v>
      </c>
      <c r="W1047" s="233">
        <f ca="1">$U1047*EWSpacingFt+XOffset+(PanArrayWidthHighEndFt-PanArrayWidthLowEndFt)/2</f>
        <v>0</v>
      </c>
      <c r="X1047" s="234">
        <f ca="1">$V1047*NSSpacingFt+YOffset+0</f>
        <v>53.999999999999972</v>
      </c>
      <c r="Y1047" s="235">
        <f ca="1">+$V1047*NSGradeFt+PedHeight+0</f>
        <v>7.401410761154855</v>
      </c>
      <c r="Z1047" s="214">
        <f ca="1">+$W1047</f>
        <v>0</v>
      </c>
      <c r="AA1047" s="214">
        <f ca="1">+$Y1047</f>
        <v>7.401410761154855</v>
      </c>
      <c r="AB1047" s="214">
        <f ca="1">+$X1047</f>
        <v>53.999999999999972</v>
      </c>
      <c r="AC1047" s="214">
        <f ca="1">+$W1047-XOffset</f>
        <v>0</v>
      </c>
    </row>
    <row r="1048" spans="19:29" ht="8.4" customHeight="1">
      <c r="S1048" s="307"/>
      <c r="T1048" s="226">
        <f t="shared" si="63"/>
        <v>1045</v>
      </c>
      <c r="U1048" s="224">
        <f t="shared" si="61"/>
        <v>0</v>
      </c>
      <c r="V1048" s="225">
        <f t="shared" si="62"/>
        <v>3</v>
      </c>
      <c r="W1048" s="236">
        <f ca="1">+$U1048*EWSpacingFt+XOffset+PanArrayWidthHighEndFt-(PanArrayWidthHighEndFt-PanArrayWidthLowEndFt)/2</f>
        <v>10.80282152230971</v>
      </c>
      <c r="X1048" s="240">
        <f ca="1">$V1048*NSSpacingFt+YOffset+0</f>
        <v>53.999999999999972</v>
      </c>
      <c r="Y1048" s="244">
        <f ca="1">+$V1048*NSGradeFt+PedHeight+0</f>
        <v>7.401410761154855</v>
      </c>
      <c r="Z1048" s="214">
        <f ca="1">+$W1048</f>
        <v>10.80282152230971</v>
      </c>
      <c r="AA1048" s="214">
        <f ca="1">+$Y1048</f>
        <v>7.401410761154855</v>
      </c>
      <c r="AB1048" s="214">
        <f ca="1">+$X1048</f>
        <v>53.999999999999972</v>
      </c>
      <c r="AC1048" s="214">
        <f ca="1">+$W1048-XOffset</f>
        <v>10.80282152230971</v>
      </c>
    </row>
    <row r="1049" spans="19:29" ht="8.4" customHeight="1">
      <c r="S1049" s="307"/>
      <c r="T1049" s="226">
        <f t="shared" si="63"/>
        <v>1046</v>
      </c>
      <c r="U1049" s="224">
        <f t="shared" si="61"/>
        <v>0</v>
      </c>
      <c r="V1049" s="225">
        <f t="shared" si="62"/>
        <v>3</v>
      </c>
      <c r="W1049" s="237">
        <f ca="1">$U1049*EWSpacingFt+XOffset+PanArrayWidthHighEndFt</f>
        <v>10.80282152230971</v>
      </c>
      <c r="X1049" s="241">
        <f ca="1">$V1049*NSSpacingFt+YOffset+PanArrayLenFt*COS(RADIANS(Latitude+DecAng))</f>
        <v>70.43963254593173</v>
      </c>
      <c r="Y1049" s="245">
        <f ca="1">+$V1049*NSGradeFt+PedHeight+PanArrayLenFt*SIN(RADIANS(Latitude+DecAng))</f>
        <v>7.401410761154855</v>
      </c>
      <c r="Z1049" s="214">
        <f ca="1">+$W1049</f>
        <v>10.80282152230971</v>
      </c>
      <c r="AA1049" s="214">
        <f ca="1">+$Y1049</f>
        <v>7.401410761154855</v>
      </c>
      <c r="AB1049" s="214">
        <f ca="1">+$X1049</f>
        <v>70.43963254593173</v>
      </c>
      <c r="AC1049" s="214">
        <f ca="1">+$W1049-XOffset</f>
        <v>10.80282152230971</v>
      </c>
    </row>
    <row r="1050" spans="19:29" ht="8.4" customHeight="1">
      <c r="S1050" s="307"/>
      <c r="T1050" s="226">
        <f t="shared" si="63"/>
        <v>1047</v>
      </c>
      <c r="U1050" s="224">
        <f t="shared" si="61"/>
        <v>0</v>
      </c>
      <c r="V1050" s="225">
        <f t="shared" si="62"/>
        <v>3</v>
      </c>
      <c r="W1050" s="238">
        <f ca="1">$U1050*EWSpacingFt+XOffset+0</f>
        <v>0</v>
      </c>
      <c r="X1050" s="242">
        <f ca="1">$V1050*NSSpacingFt+YOffset+PanArrayLenFt*COS(RADIANS(Latitude+DecAng))</f>
        <v>70.43963254593173</v>
      </c>
      <c r="Y1050" s="246">
        <f ca="1">+$V1050*NSGradeFt+PedHeight+PanArrayLenFt*SIN(RADIANS(Latitude+DecAng))</f>
        <v>7.401410761154855</v>
      </c>
      <c r="Z1050" s="214">
        <f ca="1">+$W1050</f>
        <v>0</v>
      </c>
      <c r="AA1050" s="214">
        <f ca="1">+$Y1050</f>
        <v>7.401410761154855</v>
      </c>
      <c r="AB1050" s="214">
        <f ca="1">+$X1050</f>
        <v>70.43963254593173</v>
      </c>
      <c r="AC1050" s="214">
        <f ca="1">+$W1050-XOffset</f>
        <v>0</v>
      </c>
    </row>
    <row r="1051" spans="19:29" ht="8.4" customHeight="1">
      <c r="S1051" s="307"/>
      <c r="T1051" s="226">
        <f t="shared" si="63"/>
        <v>1048</v>
      </c>
      <c r="U1051" s="224">
        <f t="shared" si="61"/>
        <v>0</v>
      </c>
      <c r="V1051" s="225">
        <f t="shared" si="62"/>
        <v>3</v>
      </c>
      <c r="W1051" s="239">
        <f ca="1">$U1051*EWSpacingFt+XOffset+(PanArrayWidthHighEndFt-PanArrayWidthLowEndFt)/2</f>
        <v>0</v>
      </c>
      <c r="X1051" s="243">
        <f ca="1">$V1051*NSSpacingFt+YOffset+0</f>
        <v>53.999999999999972</v>
      </c>
      <c r="Y1051" s="247">
        <f ca="1">+$V1051*NSGradeFt+PedHeight+0</f>
        <v>7.401410761154855</v>
      </c>
      <c r="Z1051" s="214">
        <f ca="1">+$W1051</f>
        <v>0</v>
      </c>
      <c r="AA1051" s="214">
        <f ca="1">+$Y1051</f>
        <v>7.401410761154855</v>
      </c>
      <c r="AB1051" s="214">
        <f ca="1">+$X1051</f>
        <v>53.999999999999972</v>
      </c>
      <c r="AC1051" s="214">
        <f ca="1">+$W1051-XOffset</f>
        <v>0</v>
      </c>
    </row>
    <row r="1052" spans="19:29" ht="8.4" customHeight="1">
      <c r="S1052" s="307"/>
      <c r="T1052" s="226">
        <f t="shared" si="63"/>
        <v>1049</v>
      </c>
      <c r="U1052" s="224">
        <f t="shared" si="61"/>
        <v>0</v>
      </c>
      <c r="V1052" s="225">
        <f t="shared" si="62"/>
        <v>3</v>
      </c>
      <c r="W1052" s="217"/>
      <c r="X1052" s="217"/>
      <c r="Y1052" s="217"/>
      <c r="Z1052" s="214"/>
      <c r="AA1052" s="214"/>
      <c r="AB1052" s="214"/>
      <c r="AC1052" s="214"/>
    </row>
    <row r="1053" spans="19:29" ht="8.4" customHeight="1">
      <c r="S1053" s="307">
        <f>INT((T1053-0)/6)+1</f>
        <v>176</v>
      </c>
      <c r="T1053" s="226">
        <f t="shared" si="63"/>
        <v>1050</v>
      </c>
      <c r="U1053" s="224">
        <f t="shared" si="61"/>
        <v>1</v>
      </c>
      <c r="V1053" s="225">
        <f t="shared" si="62"/>
        <v>3</v>
      </c>
      <c r="W1053" s="233">
        <f ca="1">$U1053*EWSpacingFt+XOffset+(PanArrayWidthHighEndFt-PanArrayWidthLowEndFt)/2</f>
        <v>30.000006832286932</v>
      </c>
      <c r="X1053" s="234">
        <f ca="1">$V1053*NSSpacingFt+YOffset+0</f>
        <v>53.999999999999972</v>
      </c>
      <c r="Y1053" s="235">
        <f ca="1">+$V1053*NSGradeFt+PedHeight+0</f>
        <v>7.401410761154855</v>
      </c>
      <c r="Z1053" s="214">
        <f ca="1">+$W1053</f>
        <v>30.000006832286932</v>
      </c>
      <c r="AA1053" s="214">
        <f ca="1">+$Y1053</f>
        <v>7.401410761154855</v>
      </c>
      <c r="AB1053" s="214">
        <f ca="1">+$X1053</f>
        <v>53.999999999999972</v>
      </c>
      <c r="AC1053" s="214">
        <f ca="1">+$W1053-XOffset</f>
        <v>30.000006832286932</v>
      </c>
    </row>
    <row r="1054" spans="19:29" ht="8.4" customHeight="1">
      <c r="S1054" s="307"/>
      <c r="T1054" s="226">
        <f t="shared" si="63"/>
        <v>1051</v>
      </c>
      <c r="U1054" s="224">
        <f t="shared" si="61"/>
        <v>1</v>
      </c>
      <c r="V1054" s="225">
        <f t="shared" si="62"/>
        <v>3</v>
      </c>
      <c r="W1054" s="236">
        <f ca="1">+$U1054*EWSpacingFt+XOffset+PanArrayWidthHighEndFt-(PanArrayWidthHighEndFt-PanArrayWidthLowEndFt)/2</f>
        <v>40.802828354596642</v>
      </c>
      <c r="X1054" s="240">
        <f ca="1">$V1054*NSSpacingFt+YOffset+0</f>
        <v>53.999999999999972</v>
      </c>
      <c r="Y1054" s="244">
        <f ca="1">+$V1054*NSGradeFt+PedHeight+0</f>
        <v>7.401410761154855</v>
      </c>
      <c r="Z1054" s="214">
        <f ca="1">+$W1054</f>
        <v>40.802828354596642</v>
      </c>
      <c r="AA1054" s="214">
        <f ca="1">+$Y1054</f>
        <v>7.401410761154855</v>
      </c>
      <c r="AB1054" s="214">
        <f ca="1">+$X1054</f>
        <v>53.999999999999972</v>
      </c>
      <c r="AC1054" s="214">
        <f ca="1">+$W1054-XOffset</f>
        <v>40.802828354596642</v>
      </c>
    </row>
    <row r="1055" spans="19:29" ht="8.4" customHeight="1">
      <c r="S1055" s="307"/>
      <c r="T1055" s="226">
        <f t="shared" si="63"/>
        <v>1052</v>
      </c>
      <c r="U1055" s="224">
        <f t="shared" si="61"/>
        <v>1</v>
      </c>
      <c r="V1055" s="225">
        <f t="shared" si="62"/>
        <v>3</v>
      </c>
      <c r="W1055" s="237">
        <f ca="1">$U1055*EWSpacingFt+XOffset+PanArrayWidthHighEndFt</f>
        <v>40.802828354596642</v>
      </c>
      <c r="X1055" s="241">
        <f ca="1">$V1055*NSSpacingFt+YOffset+PanArrayLenFt*COS(RADIANS(Latitude+DecAng))</f>
        <v>70.43963254593173</v>
      </c>
      <c r="Y1055" s="245">
        <f ca="1">+$V1055*NSGradeFt+PedHeight+PanArrayLenFt*SIN(RADIANS(Latitude+DecAng))</f>
        <v>7.401410761154855</v>
      </c>
      <c r="Z1055" s="214">
        <f ca="1">+$W1055</f>
        <v>40.802828354596642</v>
      </c>
      <c r="AA1055" s="214">
        <f ca="1">+$Y1055</f>
        <v>7.401410761154855</v>
      </c>
      <c r="AB1055" s="214">
        <f ca="1">+$X1055</f>
        <v>70.43963254593173</v>
      </c>
      <c r="AC1055" s="214">
        <f ca="1">+$W1055-XOffset</f>
        <v>40.802828354596642</v>
      </c>
    </row>
    <row r="1056" spans="19:29" ht="8.4" customHeight="1">
      <c r="S1056" s="307"/>
      <c r="T1056" s="226">
        <f t="shared" si="63"/>
        <v>1053</v>
      </c>
      <c r="U1056" s="224">
        <f t="shared" si="61"/>
        <v>1</v>
      </c>
      <c r="V1056" s="225">
        <f t="shared" si="62"/>
        <v>3</v>
      </c>
      <c r="W1056" s="238">
        <f ca="1">$U1056*EWSpacingFt+XOffset+0</f>
        <v>30.000006832286932</v>
      </c>
      <c r="X1056" s="242">
        <f ca="1">$V1056*NSSpacingFt+YOffset+PanArrayLenFt*COS(RADIANS(Latitude+DecAng))</f>
        <v>70.43963254593173</v>
      </c>
      <c r="Y1056" s="246">
        <f ca="1">+$V1056*NSGradeFt+PedHeight+PanArrayLenFt*SIN(RADIANS(Latitude+DecAng))</f>
        <v>7.401410761154855</v>
      </c>
      <c r="Z1056" s="214">
        <f ca="1">+$W1056</f>
        <v>30.000006832286932</v>
      </c>
      <c r="AA1056" s="214">
        <f ca="1">+$Y1056</f>
        <v>7.401410761154855</v>
      </c>
      <c r="AB1056" s="214">
        <f ca="1">+$X1056</f>
        <v>70.43963254593173</v>
      </c>
      <c r="AC1056" s="214">
        <f ca="1">+$W1056-XOffset</f>
        <v>30.000006832286932</v>
      </c>
    </row>
    <row r="1057" spans="19:29" ht="8.4" customHeight="1">
      <c r="S1057" s="307"/>
      <c r="T1057" s="226">
        <f t="shared" si="63"/>
        <v>1054</v>
      </c>
      <c r="U1057" s="224">
        <f t="shared" si="61"/>
        <v>1</v>
      </c>
      <c r="V1057" s="225">
        <f t="shared" si="62"/>
        <v>3</v>
      </c>
      <c r="W1057" s="239">
        <f ca="1">$U1057*EWSpacingFt+XOffset+(PanArrayWidthHighEndFt-PanArrayWidthLowEndFt)/2</f>
        <v>30.000006832286932</v>
      </c>
      <c r="X1057" s="243">
        <f ca="1">$V1057*NSSpacingFt+YOffset+0</f>
        <v>53.999999999999972</v>
      </c>
      <c r="Y1057" s="247">
        <f ca="1">+$V1057*NSGradeFt+PedHeight+0</f>
        <v>7.401410761154855</v>
      </c>
      <c r="Z1057" s="214">
        <f ca="1">+$W1057</f>
        <v>30.000006832286932</v>
      </c>
      <c r="AA1057" s="214">
        <f ca="1">+$Y1057</f>
        <v>7.401410761154855</v>
      </c>
      <c r="AB1057" s="214">
        <f ca="1">+$X1057</f>
        <v>53.999999999999972</v>
      </c>
      <c r="AC1057" s="214">
        <f ca="1">+$W1057-XOffset</f>
        <v>30.000006832286932</v>
      </c>
    </row>
    <row r="1058" spans="19:29" ht="8.4" customHeight="1">
      <c r="S1058" s="307"/>
      <c r="T1058" s="226">
        <f t="shared" si="63"/>
        <v>1055</v>
      </c>
      <c r="U1058" s="224">
        <f t="shared" si="61"/>
        <v>1</v>
      </c>
      <c r="V1058" s="225">
        <f t="shared" si="62"/>
        <v>3</v>
      </c>
      <c r="W1058" s="217"/>
      <c r="X1058" s="217"/>
      <c r="Y1058" s="217"/>
      <c r="Z1058" s="214"/>
      <c r="AA1058" s="214"/>
      <c r="AB1058" s="214"/>
      <c r="AC1058" s="214"/>
    </row>
    <row r="1059" spans="19:29" ht="8.4" customHeight="1">
      <c r="S1059" s="307">
        <f>INT((T1059-0)/6)+1</f>
        <v>177</v>
      </c>
      <c r="T1059" s="226">
        <f t="shared" si="63"/>
        <v>1056</v>
      </c>
      <c r="U1059" s="224">
        <f t="shared" si="61"/>
        <v>0</v>
      </c>
      <c r="V1059" s="225">
        <f t="shared" si="62"/>
        <v>0</v>
      </c>
      <c r="W1059" s="233">
        <f ca="1">$U1059*EWSpacingFt+XOffset+(PanArrayWidthHighEndFt-PanArrayWidthLowEndFt)/2</f>
        <v>0</v>
      </c>
      <c r="X1059" s="234">
        <f ca="1">$V1059*NSSpacingFt+YOffset+0</f>
        <v>0</v>
      </c>
      <c r="Y1059" s="235">
        <f ca="1">+$V1059*NSGradeFt+PedHeight+0</f>
        <v>7.401410761154855</v>
      </c>
      <c r="Z1059" s="214">
        <f ca="1">+$W1059</f>
        <v>0</v>
      </c>
      <c r="AA1059" s="214">
        <f ca="1">+$Y1059</f>
        <v>7.401410761154855</v>
      </c>
      <c r="AB1059" s="214">
        <f ca="1">+$X1059</f>
        <v>0</v>
      </c>
      <c r="AC1059" s="214">
        <f ca="1">+$W1059-XOffset</f>
        <v>0</v>
      </c>
    </row>
    <row r="1060" spans="19:29" ht="8.4" customHeight="1">
      <c r="S1060" s="307"/>
      <c r="T1060" s="226">
        <f t="shared" si="63"/>
        <v>1057</v>
      </c>
      <c r="U1060" s="224">
        <f t="shared" si="61"/>
        <v>0</v>
      </c>
      <c r="V1060" s="225">
        <f t="shared" si="62"/>
        <v>0</v>
      </c>
      <c r="W1060" s="236">
        <f ca="1">+$U1060*EWSpacingFt+XOffset+PanArrayWidthHighEndFt-(PanArrayWidthHighEndFt-PanArrayWidthLowEndFt)/2</f>
        <v>10.80282152230971</v>
      </c>
      <c r="X1060" s="240">
        <f ca="1">$V1060*NSSpacingFt+YOffset+0</f>
        <v>0</v>
      </c>
      <c r="Y1060" s="244">
        <f ca="1">+$V1060*NSGradeFt+PedHeight+0</f>
        <v>7.401410761154855</v>
      </c>
      <c r="Z1060" s="214">
        <f ca="1">+$W1060</f>
        <v>10.80282152230971</v>
      </c>
      <c r="AA1060" s="214">
        <f ca="1">+$Y1060</f>
        <v>7.401410761154855</v>
      </c>
      <c r="AB1060" s="214">
        <f ca="1">+$X1060</f>
        <v>0</v>
      </c>
      <c r="AC1060" s="214">
        <f ca="1">+$W1060-XOffset</f>
        <v>10.80282152230971</v>
      </c>
    </row>
    <row r="1061" spans="19:29" ht="8.4" customHeight="1">
      <c r="S1061" s="307"/>
      <c r="T1061" s="226">
        <f t="shared" si="63"/>
        <v>1058</v>
      </c>
      <c r="U1061" s="224">
        <f t="shared" si="61"/>
        <v>0</v>
      </c>
      <c r="V1061" s="225">
        <f t="shared" si="62"/>
        <v>0</v>
      </c>
      <c r="W1061" s="237">
        <f ca="1">$U1061*EWSpacingFt+XOffset+PanArrayWidthHighEndFt</f>
        <v>10.80282152230971</v>
      </c>
      <c r="X1061" s="241">
        <f ca="1">$V1061*NSSpacingFt+YOffset+PanArrayLenFt*COS(RADIANS(Latitude+DecAng))</f>
        <v>16.439632545931762</v>
      </c>
      <c r="Y1061" s="245">
        <f ca="1">+$V1061*NSGradeFt+PedHeight+PanArrayLenFt*SIN(RADIANS(Latitude+DecAng))</f>
        <v>7.401410761154855</v>
      </c>
      <c r="Z1061" s="214">
        <f ca="1">+$W1061</f>
        <v>10.80282152230971</v>
      </c>
      <c r="AA1061" s="214">
        <f ca="1">+$Y1061</f>
        <v>7.401410761154855</v>
      </c>
      <c r="AB1061" s="214">
        <f ca="1">+$X1061</f>
        <v>16.439632545931762</v>
      </c>
      <c r="AC1061" s="214">
        <f ca="1">+$W1061-XOffset</f>
        <v>10.80282152230971</v>
      </c>
    </row>
    <row r="1062" spans="19:29" ht="8.4" customHeight="1">
      <c r="S1062" s="307"/>
      <c r="T1062" s="226">
        <f t="shared" si="63"/>
        <v>1059</v>
      </c>
      <c r="U1062" s="224">
        <f t="shared" si="61"/>
        <v>0</v>
      </c>
      <c r="V1062" s="225">
        <f t="shared" si="62"/>
        <v>0</v>
      </c>
      <c r="W1062" s="238">
        <f ca="1">$U1062*EWSpacingFt+XOffset+0</f>
        <v>0</v>
      </c>
      <c r="X1062" s="242">
        <f ca="1">$V1062*NSSpacingFt+YOffset+PanArrayLenFt*COS(RADIANS(Latitude+DecAng))</f>
        <v>16.439632545931762</v>
      </c>
      <c r="Y1062" s="246">
        <f ca="1">+$V1062*NSGradeFt+PedHeight+PanArrayLenFt*SIN(RADIANS(Latitude+DecAng))</f>
        <v>7.401410761154855</v>
      </c>
      <c r="Z1062" s="214">
        <f ca="1">+$W1062</f>
        <v>0</v>
      </c>
      <c r="AA1062" s="214">
        <f ca="1">+$Y1062</f>
        <v>7.401410761154855</v>
      </c>
      <c r="AB1062" s="214">
        <f ca="1">+$X1062</f>
        <v>16.439632545931762</v>
      </c>
      <c r="AC1062" s="214">
        <f ca="1">+$W1062-XOffset</f>
        <v>0</v>
      </c>
    </row>
    <row r="1063" spans="19:29" ht="8.4" customHeight="1">
      <c r="S1063" s="307"/>
      <c r="T1063" s="226">
        <f t="shared" si="63"/>
        <v>1060</v>
      </c>
      <c r="U1063" s="224">
        <f t="shared" si="61"/>
        <v>0</v>
      </c>
      <c r="V1063" s="225">
        <f t="shared" si="62"/>
        <v>0</v>
      </c>
      <c r="W1063" s="239">
        <f ca="1">$U1063*EWSpacingFt+XOffset+(PanArrayWidthHighEndFt-PanArrayWidthLowEndFt)/2</f>
        <v>0</v>
      </c>
      <c r="X1063" s="243">
        <f ca="1">$V1063*NSSpacingFt+YOffset+0</f>
        <v>0</v>
      </c>
      <c r="Y1063" s="247">
        <f ca="1">+$V1063*NSGradeFt+PedHeight+0</f>
        <v>7.401410761154855</v>
      </c>
      <c r="Z1063" s="214">
        <f ca="1">+$W1063</f>
        <v>0</v>
      </c>
      <c r="AA1063" s="214">
        <f ca="1">+$Y1063</f>
        <v>7.401410761154855</v>
      </c>
      <c r="AB1063" s="214">
        <f ca="1">+$X1063</f>
        <v>0</v>
      </c>
      <c r="AC1063" s="214">
        <f ca="1">+$W1063-XOffset</f>
        <v>0</v>
      </c>
    </row>
    <row r="1064" spans="19:29" ht="8.4" customHeight="1">
      <c r="S1064" s="307"/>
      <c r="T1064" s="226">
        <f t="shared" si="63"/>
        <v>1061</v>
      </c>
      <c r="U1064" s="224">
        <f t="shared" si="61"/>
        <v>0</v>
      </c>
      <c r="V1064" s="225">
        <f t="shared" si="62"/>
        <v>0</v>
      </c>
      <c r="W1064" s="217"/>
      <c r="X1064" s="217"/>
      <c r="Y1064" s="217"/>
      <c r="Z1064" s="214"/>
      <c r="AA1064" s="214"/>
      <c r="AB1064" s="214"/>
      <c r="AC1064" s="214"/>
    </row>
    <row r="1065" spans="19:29" ht="8.4" customHeight="1">
      <c r="S1065" s="307">
        <f>INT((T1065-0)/6)+1</f>
        <v>178</v>
      </c>
      <c r="T1065" s="226">
        <f t="shared" si="63"/>
        <v>1062</v>
      </c>
      <c r="U1065" s="224">
        <f t="shared" si="61"/>
        <v>1</v>
      </c>
      <c r="V1065" s="225">
        <f t="shared" si="62"/>
        <v>0</v>
      </c>
      <c r="W1065" s="233">
        <f ca="1">$U1065*EWSpacingFt+XOffset+(PanArrayWidthHighEndFt-PanArrayWidthLowEndFt)/2</f>
        <v>30.000006832286932</v>
      </c>
      <c r="X1065" s="234">
        <f ca="1">$V1065*NSSpacingFt+YOffset+0</f>
        <v>0</v>
      </c>
      <c r="Y1065" s="235">
        <f ca="1">+$V1065*NSGradeFt+PedHeight+0</f>
        <v>7.401410761154855</v>
      </c>
      <c r="Z1065" s="214">
        <f ca="1">+$W1065</f>
        <v>30.000006832286932</v>
      </c>
      <c r="AA1065" s="214">
        <f ca="1">+$Y1065</f>
        <v>7.401410761154855</v>
      </c>
      <c r="AB1065" s="214">
        <f ca="1">+$X1065</f>
        <v>0</v>
      </c>
      <c r="AC1065" s="214">
        <f ca="1">+$W1065-XOffset</f>
        <v>30.000006832286932</v>
      </c>
    </row>
    <row r="1066" spans="19:29" ht="8.4" customHeight="1">
      <c r="S1066" s="307"/>
      <c r="T1066" s="226">
        <f t="shared" si="63"/>
        <v>1063</v>
      </c>
      <c r="U1066" s="224">
        <f t="shared" si="61"/>
        <v>1</v>
      </c>
      <c r="V1066" s="225">
        <f t="shared" si="62"/>
        <v>0</v>
      </c>
      <c r="W1066" s="236">
        <f ca="1">+$U1066*EWSpacingFt+XOffset+PanArrayWidthHighEndFt-(PanArrayWidthHighEndFt-PanArrayWidthLowEndFt)/2</f>
        <v>40.802828354596642</v>
      </c>
      <c r="X1066" s="240">
        <f ca="1">$V1066*NSSpacingFt+YOffset+0</f>
        <v>0</v>
      </c>
      <c r="Y1066" s="244">
        <f ca="1">+$V1066*NSGradeFt+PedHeight+0</f>
        <v>7.401410761154855</v>
      </c>
      <c r="Z1066" s="214">
        <f ca="1">+$W1066</f>
        <v>40.802828354596642</v>
      </c>
      <c r="AA1066" s="214">
        <f ca="1">+$Y1066</f>
        <v>7.401410761154855</v>
      </c>
      <c r="AB1066" s="214">
        <f ca="1">+$X1066</f>
        <v>0</v>
      </c>
      <c r="AC1066" s="214">
        <f ca="1">+$W1066-XOffset</f>
        <v>40.802828354596642</v>
      </c>
    </row>
    <row r="1067" spans="19:29" ht="8.4" customHeight="1">
      <c r="S1067" s="307"/>
      <c r="T1067" s="226">
        <f t="shared" si="63"/>
        <v>1064</v>
      </c>
      <c r="U1067" s="224">
        <f t="shared" si="61"/>
        <v>1</v>
      </c>
      <c r="V1067" s="225">
        <f t="shared" si="62"/>
        <v>0</v>
      </c>
      <c r="W1067" s="237">
        <f ca="1">$U1067*EWSpacingFt+XOffset+PanArrayWidthHighEndFt</f>
        <v>40.802828354596642</v>
      </c>
      <c r="X1067" s="241">
        <f ca="1">$V1067*NSSpacingFt+YOffset+PanArrayLenFt*COS(RADIANS(Latitude+DecAng))</f>
        <v>16.439632545931762</v>
      </c>
      <c r="Y1067" s="245">
        <f ca="1">+$V1067*NSGradeFt+PedHeight+PanArrayLenFt*SIN(RADIANS(Latitude+DecAng))</f>
        <v>7.401410761154855</v>
      </c>
      <c r="Z1067" s="214">
        <f ca="1">+$W1067</f>
        <v>40.802828354596642</v>
      </c>
      <c r="AA1067" s="214">
        <f ca="1">+$Y1067</f>
        <v>7.401410761154855</v>
      </c>
      <c r="AB1067" s="214">
        <f ca="1">+$X1067</f>
        <v>16.439632545931762</v>
      </c>
      <c r="AC1067" s="214">
        <f ca="1">+$W1067-XOffset</f>
        <v>40.802828354596642</v>
      </c>
    </row>
    <row r="1068" spans="19:29" ht="8.4" customHeight="1">
      <c r="S1068" s="307"/>
      <c r="T1068" s="226">
        <f t="shared" si="63"/>
        <v>1065</v>
      </c>
      <c r="U1068" s="224">
        <f t="shared" si="61"/>
        <v>1</v>
      </c>
      <c r="V1068" s="225">
        <f t="shared" si="62"/>
        <v>0</v>
      </c>
      <c r="W1068" s="238">
        <f ca="1">$U1068*EWSpacingFt+XOffset+0</f>
        <v>30.000006832286932</v>
      </c>
      <c r="X1068" s="242">
        <f ca="1">$V1068*NSSpacingFt+YOffset+PanArrayLenFt*COS(RADIANS(Latitude+DecAng))</f>
        <v>16.439632545931762</v>
      </c>
      <c r="Y1068" s="246">
        <f ca="1">+$V1068*NSGradeFt+PedHeight+PanArrayLenFt*SIN(RADIANS(Latitude+DecAng))</f>
        <v>7.401410761154855</v>
      </c>
      <c r="Z1068" s="214">
        <f ca="1">+$W1068</f>
        <v>30.000006832286932</v>
      </c>
      <c r="AA1068" s="214">
        <f ca="1">+$Y1068</f>
        <v>7.401410761154855</v>
      </c>
      <c r="AB1068" s="214">
        <f ca="1">+$X1068</f>
        <v>16.439632545931762</v>
      </c>
      <c r="AC1068" s="214">
        <f ca="1">+$W1068-XOffset</f>
        <v>30.000006832286932</v>
      </c>
    </row>
    <row r="1069" spans="19:29" ht="8.4" customHeight="1">
      <c r="S1069" s="307"/>
      <c r="T1069" s="226">
        <f t="shared" si="63"/>
        <v>1066</v>
      </c>
      <c r="U1069" s="224">
        <f t="shared" si="61"/>
        <v>1</v>
      </c>
      <c r="V1069" s="225">
        <f t="shared" si="62"/>
        <v>0</v>
      </c>
      <c r="W1069" s="239">
        <f ca="1">$U1069*EWSpacingFt+XOffset+(PanArrayWidthHighEndFt-PanArrayWidthLowEndFt)/2</f>
        <v>30.000006832286932</v>
      </c>
      <c r="X1069" s="243">
        <f ca="1">$V1069*NSSpacingFt+YOffset+0</f>
        <v>0</v>
      </c>
      <c r="Y1069" s="247">
        <f ca="1">+$V1069*NSGradeFt+PedHeight+0</f>
        <v>7.401410761154855</v>
      </c>
      <c r="Z1069" s="214">
        <f ca="1">+$W1069</f>
        <v>30.000006832286932</v>
      </c>
      <c r="AA1069" s="214">
        <f ca="1">+$Y1069</f>
        <v>7.401410761154855</v>
      </c>
      <c r="AB1069" s="214">
        <f ca="1">+$X1069</f>
        <v>0</v>
      </c>
      <c r="AC1069" s="214">
        <f ca="1">+$W1069-XOffset</f>
        <v>30.000006832286932</v>
      </c>
    </row>
    <row r="1070" spans="19:29" ht="8.4" customHeight="1">
      <c r="S1070" s="307"/>
      <c r="T1070" s="226">
        <f t="shared" si="63"/>
        <v>1067</v>
      </c>
      <c r="U1070" s="224">
        <f t="shared" si="61"/>
        <v>1</v>
      </c>
      <c r="V1070" s="225">
        <f t="shared" si="62"/>
        <v>0</v>
      </c>
      <c r="W1070" s="217"/>
      <c r="X1070" s="217"/>
      <c r="Y1070" s="217"/>
      <c r="Z1070" s="214"/>
      <c r="AA1070" s="214"/>
      <c r="AB1070" s="214"/>
      <c r="AC1070" s="214"/>
    </row>
    <row r="1071" spans="19:29" ht="8.4" customHeight="1">
      <c r="S1071" s="307">
        <f>INT((T1071-0)/6)+1</f>
        <v>179</v>
      </c>
      <c r="T1071" s="226">
        <f t="shared" si="63"/>
        <v>1068</v>
      </c>
      <c r="U1071" s="224">
        <f t="shared" si="61"/>
        <v>0</v>
      </c>
      <c r="V1071" s="225">
        <f t="shared" si="62"/>
        <v>1</v>
      </c>
      <c r="W1071" s="233">
        <f ca="1">$U1071*EWSpacingFt+XOffset+(PanArrayWidthHighEndFt-PanArrayWidthLowEndFt)/2</f>
        <v>0</v>
      </c>
      <c r="X1071" s="234">
        <f ca="1">$V1071*NSSpacingFt+YOffset+0</f>
        <v>17.999999999999989</v>
      </c>
      <c r="Y1071" s="235">
        <f ca="1">+$V1071*NSGradeFt+PedHeight+0</f>
        <v>7.401410761154855</v>
      </c>
      <c r="Z1071" s="214">
        <f ca="1">+$W1071</f>
        <v>0</v>
      </c>
      <c r="AA1071" s="214">
        <f ca="1">+$Y1071</f>
        <v>7.401410761154855</v>
      </c>
      <c r="AB1071" s="214">
        <f ca="1">+$X1071</f>
        <v>17.999999999999989</v>
      </c>
      <c r="AC1071" s="214">
        <f ca="1">+$W1071-XOffset</f>
        <v>0</v>
      </c>
    </row>
    <row r="1072" spans="19:29" ht="8.4" customHeight="1">
      <c r="S1072" s="307"/>
      <c r="T1072" s="226">
        <f t="shared" si="63"/>
        <v>1069</v>
      </c>
      <c r="U1072" s="224">
        <f t="shared" si="61"/>
        <v>0</v>
      </c>
      <c r="V1072" s="225">
        <f t="shared" si="62"/>
        <v>1</v>
      </c>
      <c r="W1072" s="236">
        <f ca="1">+$U1072*EWSpacingFt+XOffset+PanArrayWidthHighEndFt-(PanArrayWidthHighEndFt-PanArrayWidthLowEndFt)/2</f>
        <v>10.80282152230971</v>
      </c>
      <c r="X1072" s="240">
        <f ca="1">$V1072*NSSpacingFt+YOffset+0</f>
        <v>17.999999999999989</v>
      </c>
      <c r="Y1072" s="244">
        <f ca="1">+$V1072*NSGradeFt+PedHeight+0</f>
        <v>7.401410761154855</v>
      </c>
      <c r="Z1072" s="214">
        <f ca="1">+$W1072</f>
        <v>10.80282152230971</v>
      </c>
      <c r="AA1072" s="214">
        <f ca="1">+$Y1072</f>
        <v>7.401410761154855</v>
      </c>
      <c r="AB1072" s="214">
        <f ca="1">+$X1072</f>
        <v>17.999999999999989</v>
      </c>
      <c r="AC1072" s="214">
        <f ca="1">+$W1072-XOffset</f>
        <v>10.80282152230971</v>
      </c>
    </row>
    <row r="1073" spans="19:29" ht="8.4" customHeight="1">
      <c r="S1073" s="307"/>
      <c r="T1073" s="226">
        <f t="shared" si="63"/>
        <v>1070</v>
      </c>
      <c r="U1073" s="224">
        <f t="shared" si="61"/>
        <v>0</v>
      </c>
      <c r="V1073" s="225">
        <f t="shared" si="62"/>
        <v>1</v>
      </c>
      <c r="W1073" s="237">
        <f ca="1">$U1073*EWSpacingFt+XOffset+PanArrayWidthHighEndFt</f>
        <v>10.80282152230971</v>
      </c>
      <c r="X1073" s="241">
        <f ca="1">$V1073*NSSpacingFt+YOffset+PanArrayLenFt*COS(RADIANS(Latitude+DecAng))</f>
        <v>34.439632545931751</v>
      </c>
      <c r="Y1073" s="245">
        <f ca="1">+$V1073*NSGradeFt+PedHeight+PanArrayLenFt*SIN(RADIANS(Latitude+DecAng))</f>
        <v>7.401410761154855</v>
      </c>
      <c r="Z1073" s="214">
        <f ca="1">+$W1073</f>
        <v>10.80282152230971</v>
      </c>
      <c r="AA1073" s="214">
        <f ca="1">+$Y1073</f>
        <v>7.401410761154855</v>
      </c>
      <c r="AB1073" s="214">
        <f ca="1">+$X1073</f>
        <v>34.439632545931751</v>
      </c>
      <c r="AC1073" s="214">
        <f ca="1">+$W1073-XOffset</f>
        <v>10.80282152230971</v>
      </c>
    </row>
    <row r="1074" spans="19:29" ht="8.4" customHeight="1">
      <c r="S1074" s="307"/>
      <c r="T1074" s="226">
        <f t="shared" si="63"/>
        <v>1071</v>
      </c>
      <c r="U1074" s="224">
        <f t="shared" si="61"/>
        <v>0</v>
      </c>
      <c r="V1074" s="225">
        <f t="shared" si="62"/>
        <v>1</v>
      </c>
      <c r="W1074" s="238">
        <f ca="1">$U1074*EWSpacingFt+XOffset+0</f>
        <v>0</v>
      </c>
      <c r="X1074" s="242">
        <f ca="1">$V1074*NSSpacingFt+YOffset+PanArrayLenFt*COS(RADIANS(Latitude+DecAng))</f>
        <v>34.439632545931751</v>
      </c>
      <c r="Y1074" s="246">
        <f ca="1">+$V1074*NSGradeFt+PedHeight+PanArrayLenFt*SIN(RADIANS(Latitude+DecAng))</f>
        <v>7.401410761154855</v>
      </c>
      <c r="Z1074" s="214">
        <f ca="1">+$W1074</f>
        <v>0</v>
      </c>
      <c r="AA1074" s="214">
        <f ca="1">+$Y1074</f>
        <v>7.401410761154855</v>
      </c>
      <c r="AB1074" s="214">
        <f ca="1">+$X1074</f>
        <v>34.439632545931751</v>
      </c>
      <c r="AC1074" s="214">
        <f ca="1">+$W1074-XOffset</f>
        <v>0</v>
      </c>
    </row>
    <row r="1075" spans="19:29" ht="8.4" customHeight="1">
      <c r="S1075" s="307"/>
      <c r="T1075" s="226">
        <f t="shared" si="63"/>
        <v>1072</v>
      </c>
      <c r="U1075" s="224">
        <f t="shared" si="61"/>
        <v>0</v>
      </c>
      <c r="V1075" s="225">
        <f t="shared" si="62"/>
        <v>1</v>
      </c>
      <c r="W1075" s="239">
        <f ca="1">$U1075*EWSpacingFt+XOffset+(PanArrayWidthHighEndFt-PanArrayWidthLowEndFt)/2</f>
        <v>0</v>
      </c>
      <c r="X1075" s="243">
        <f ca="1">$V1075*NSSpacingFt+YOffset+0</f>
        <v>17.999999999999989</v>
      </c>
      <c r="Y1075" s="247">
        <f ca="1">+$V1075*NSGradeFt+PedHeight+0</f>
        <v>7.401410761154855</v>
      </c>
      <c r="Z1075" s="214">
        <f ca="1">+$W1075</f>
        <v>0</v>
      </c>
      <c r="AA1075" s="214">
        <f ca="1">+$Y1075</f>
        <v>7.401410761154855</v>
      </c>
      <c r="AB1075" s="214">
        <f ca="1">+$X1075</f>
        <v>17.999999999999989</v>
      </c>
      <c r="AC1075" s="214">
        <f ca="1">+$W1075-XOffset</f>
        <v>0</v>
      </c>
    </row>
    <row r="1076" spans="19:29" ht="8.4" customHeight="1">
      <c r="S1076" s="307"/>
      <c r="T1076" s="226">
        <f t="shared" si="63"/>
        <v>1073</v>
      </c>
      <c r="U1076" s="224">
        <f t="shared" si="61"/>
        <v>0</v>
      </c>
      <c r="V1076" s="225">
        <f t="shared" si="62"/>
        <v>1</v>
      </c>
      <c r="W1076" s="217"/>
      <c r="X1076" s="217"/>
      <c r="Y1076" s="217"/>
      <c r="Z1076" s="214"/>
      <c r="AA1076" s="214"/>
      <c r="AB1076" s="214"/>
      <c r="AC1076" s="214"/>
    </row>
    <row r="1077" spans="19:29" ht="8.4" customHeight="1">
      <c r="S1077" s="307">
        <f>INT((T1077-0)/6)+1</f>
        <v>180</v>
      </c>
      <c r="T1077" s="226">
        <f t="shared" si="63"/>
        <v>1074</v>
      </c>
      <c r="U1077" s="224">
        <f t="shared" si="61"/>
        <v>1</v>
      </c>
      <c r="V1077" s="225">
        <f t="shared" si="62"/>
        <v>1</v>
      </c>
      <c r="W1077" s="233">
        <f ca="1">$U1077*EWSpacingFt+XOffset+(PanArrayWidthHighEndFt-PanArrayWidthLowEndFt)/2</f>
        <v>30.000006832286932</v>
      </c>
      <c r="X1077" s="234">
        <f ca="1">$V1077*NSSpacingFt+YOffset+0</f>
        <v>17.999999999999989</v>
      </c>
      <c r="Y1077" s="235">
        <f ca="1">+$V1077*NSGradeFt+PedHeight+0</f>
        <v>7.401410761154855</v>
      </c>
      <c r="Z1077" s="214">
        <f ca="1">+$W1077</f>
        <v>30.000006832286932</v>
      </c>
      <c r="AA1077" s="214">
        <f ca="1">+$Y1077</f>
        <v>7.401410761154855</v>
      </c>
      <c r="AB1077" s="214">
        <f ca="1">+$X1077</f>
        <v>17.999999999999989</v>
      </c>
      <c r="AC1077" s="214">
        <f ca="1">+$W1077-XOffset</f>
        <v>30.000006832286932</v>
      </c>
    </row>
    <row r="1078" spans="19:29" ht="8.4" customHeight="1">
      <c r="S1078" s="307"/>
      <c r="T1078" s="226">
        <f t="shared" si="63"/>
        <v>1075</v>
      </c>
      <c r="U1078" s="224">
        <f t="shared" si="61"/>
        <v>1</v>
      </c>
      <c r="V1078" s="225">
        <f t="shared" si="62"/>
        <v>1</v>
      </c>
      <c r="W1078" s="236">
        <f ca="1">+$U1078*EWSpacingFt+XOffset+PanArrayWidthHighEndFt-(PanArrayWidthHighEndFt-PanArrayWidthLowEndFt)/2</f>
        <v>40.802828354596642</v>
      </c>
      <c r="X1078" s="240">
        <f ca="1">$V1078*NSSpacingFt+YOffset+0</f>
        <v>17.999999999999989</v>
      </c>
      <c r="Y1078" s="244">
        <f ca="1">+$V1078*NSGradeFt+PedHeight+0</f>
        <v>7.401410761154855</v>
      </c>
      <c r="Z1078" s="214">
        <f ca="1">+$W1078</f>
        <v>40.802828354596642</v>
      </c>
      <c r="AA1078" s="214">
        <f ca="1">+$Y1078</f>
        <v>7.401410761154855</v>
      </c>
      <c r="AB1078" s="214">
        <f ca="1">+$X1078</f>
        <v>17.999999999999989</v>
      </c>
      <c r="AC1078" s="214">
        <f ca="1">+$W1078-XOffset</f>
        <v>40.802828354596642</v>
      </c>
    </row>
    <row r="1079" spans="19:29" ht="8.4" customHeight="1">
      <c r="S1079" s="307"/>
      <c r="T1079" s="226">
        <f t="shared" si="63"/>
        <v>1076</v>
      </c>
      <c r="U1079" s="224">
        <f t="shared" si="61"/>
        <v>1</v>
      </c>
      <c r="V1079" s="225">
        <f t="shared" si="62"/>
        <v>1</v>
      </c>
      <c r="W1079" s="237">
        <f ca="1">$U1079*EWSpacingFt+XOffset+PanArrayWidthHighEndFt</f>
        <v>40.802828354596642</v>
      </c>
      <c r="X1079" s="241">
        <f ca="1">$V1079*NSSpacingFt+YOffset+PanArrayLenFt*COS(RADIANS(Latitude+DecAng))</f>
        <v>34.439632545931751</v>
      </c>
      <c r="Y1079" s="245">
        <f ca="1">+$V1079*NSGradeFt+PedHeight+PanArrayLenFt*SIN(RADIANS(Latitude+DecAng))</f>
        <v>7.401410761154855</v>
      </c>
      <c r="Z1079" s="214">
        <f ca="1">+$W1079</f>
        <v>40.802828354596642</v>
      </c>
      <c r="AA1079" s="214">
        <f ca="1">+$Y1079</f>
        <v>7.401410761154855</v>
      </c>
      <c r="AB1079" s="214">
        <f ca="1">+$X1079</f>
        <v>34.439632545931751</v>
      </c>
      <c r="AC1079" s="214">
        <f ca="1">+$W1079-XOffset</f>
        <v>40.802828354596642</v>
      </c>
    </row>
    <row r="1080" spans="19:29" ht="8.4" customHeight="1">
      <c r="S1080" s="307"/>
      <c r="T1080" s="226">
        <f t="shared" si="63"/>
        <v>1077</v>
      </c>
      <c r="U1080" s="224">
        <f t="shared" si="61"/>
        <v>1</v>
      </c>
      <c r="V1080" s="225">
        <f t="shared" si="62"/>
        <v>1</v>
      </c>
      <c r="W1080" s="238">
        <f ca="1">$U1080*EWSpacingFt+XOffset+0</f>
        <v>30.000006832286932</v>
      </c>
      <c r="X1080" s="242">
        <f ca="1">$V1080*NSSpacingFt+YOffset+PanArrayLenFt*COS(RADIANS(Latitude+DecAng))</f>
        <v>34.439632545931751</v>
      </c>
      <c r="Y1080" s="246">
        <f ca="1">+$V1080*NSGradeFt+PedHeight+PanArrayLenFt*SIN(RADIANS(Latitude+DecAng))</f>
        <v>7.401410761154855</v>
      </c>
      <c r="Z1080" s="214">
        <f ca="1">+$W1080</f>
        <v>30.000006832286932</v>
      </c>
      <c r="AA1080" s="214">
        <f ca="1">+$Y1080</f>
        <v>7.401410761154855</v>
      </c>
      <c r="AB1080" s="214">
        <f ca="1">+$X1080</f>
        <v>34.439632545931751</v>
      </c>
      <c r="AC1080" s="214">
        <f ca="1">+$W1080-XOffset</f>
        <v>30.000006832286932</v>
      </c>
    </row>
    <row r="1081" spans="19:29" ht="8.4" customHeight="1">
      <c r="S1081" s="307"/>
      <c r="T1081" s="226">
        <f t="shared" si="63"/>
        <v>1078</v>
      </c>
      <c r="U1081" s="224">
        <f t="shared" si="61"/>
        <v>1</v>
      </c>
      <c r="V1081" s="225">
        <f t="shared" si="62"/>
        <v>1</v>
      </c>
      <c r="W1081" s="239">
        <f ca="1">$U1081*EWSpacingFt+XOffset+(PanArrayWidthHighEndFt-PanArrayWidthLowEndFt)/2</f>
        <v>30.000006832286932</v>
      </c>
      <c r="X1081" s="243">
        <f ca="1">$V1081*NSSpacingFt+YOffset+0</f>
        <v>17.999999999999989</v>
      </c>
      <c r="Y1081" s="247">
        <f ca="1">+$V1081*NSGradeFt+PedHeight+0</f>
        <v>7.401410761154855</v>
      </c>
      <c r="Z1081" s="214">
        <f ca="1">+$W1081</f>
        <v>30.000006832286932</v>
      </c>
      <c r="AA1081" s="214">
        <f ca="1">+$Y1081</f>
        <v>7.401410761154855</v>
      </c>
      <c r="AB1081" s="214">
        <f ca="1">+$X1081</f>
        <v>17.999999999999989</v>
      </c>
      <c r="AC1081" s="214">
        <f ca="1">+$W1081-XOffset</f>
        <v>30.000006832286932</v>
      </c>
    </row>
    <row r="1082" spans="19:29" ht="8.4" customHeight="1">
      <c r="S1082" s="307"/>
      <c r="T1082" s="226">
        <f t="shared" si="63"/>
        <v>1079</v>
      </c>
      <c r="U1082" s="224">
        <f t="shared" si="61"/>
        <v>1</v>
      </c>
      <c r="V1082" s="225">
        <f t="shared" si="62"/>
        <v>1</v>
      </c>
      <c r="W1082" s="217"/>
      <c r="X1082" s="217"/>
      <c r="Y1082" s="217"/>
      <c r="Z1082" s="214"/>
      <c r="AA1082" s="214"/>
      <c r="AB1082" s="214"/>
      <c r="AC1082" s="214"/>
    </row>
    <row r="1083" spans="19:29" ht="8.4" customHeight="1">
      <c r="S1083" s="307">
        <f>INT((T1083-0)/6)+1</f>
        <v>181</v>
      </c>
      <c r="T1083" s="226">
        <f t="shared" si="63"/>
        <v>1080</v>
      </c>
      <c r="U1083" s="224">
        <f t="shared" si="61"/>
        <v>0</v>
      </c>
      <c r="V1083" s="225">
        <f t="shared" si="62"/>
        <v>2</v>
      </c>
      <c r="W1083" s="233">
        <f ca="1">$U1083*EWSpacingFt+XOffset+(PanArrayWidthHighEndFt-PanArrayWidthLowEndFt)/2</f>
        <v>0</v>
      </c>
      <c r="X1083" s="234">
        <f ca="1">$V1083*NSSpacingFt+YOffset+0</f>
        <v>35.999999999999979</v>
      </c>
      <c r="Y1083" s="235">
        <f ca="1">+$V1083*NSGradeFt+PedHeight+0</f>
        <v>7.401410761154855</v>
      </c>
      <c r="Z1083" s="214">
        <f ca="1">+$W1083</f>
        <v>0</v>
      </c>
      <c r="AA1083" s="214">
        <f ca="1">+$Y1083</f>
        <v>7.401410761154855</v>
      </c>
      <c r="AB1083" s="214">
        <f ca="1">+$X1083</f>
        <v>35.999999999999979</v>
      </c>
      <c r="AC1083" s="214">
        <f ca="1">+$W1083-XOffset</f>
        <v>0</v>
      </c>
    </row>
    <row r="1084" spans="19:29" ht="8.4" customHeight="1">
      <c r="S1084" s="307"/>
      <c r="T1084" s="226">
        <f t="shared" si="63"/>
        <v>1081</v>
      </c>
      <c r="U1084" s="224">
        <f t="shared" si="61"/>
        <v>0</v>
      </c>
      <c r="V1084" s="225">
        <f t="shared" si="62"/>
        <v>2</v>
      </c>
      <c r="W1084" s="236">
        <f ca="1">+$U1084*EWSpacingFt+XOffset+PanArrayWidthHighEndFt-(PanArrayWidthHighEndFt-PanArrayWidthLowEndFt)/2</f>
        <v>10.80282152230971</v>
      </c>
      <c r="X1084" s="240">
        <f ca="1">$V1084*NSSpacingFt+YOffset+0</f>
        <v>35.999999999999979</v>
      </c>
      <c r="Y1084" s="244">
        <f ca="1">+$V1084*NSGradeFt+PedHeight+0</f>
        <v>7.401410761154855</v>
      </c>
      <c r="Z1084" s="214">
        <f ca="1">+$W1084</f>
        <v>10.80282152230971</v>
      </c>
      <c r="AA1084" s="214">
        <f ca="1">+$Y1084</f>
        <v>7.401410761154855</v>
      </c>
      <c r="AB1084" s="214">
        <f ca="1">+$X1084</f>
        <v>35.999999999999979</v>
      </c>
      <c r="AC1084" s="214">
        <f ca="1">+$W1084-XOffset</f>
        <v>10.80282152230971</v>
      </c>
    </row>
    <row r="1085" spans="19:29" ht="8.4" customHeight="1">
      <c r="S1085" s="307"/>
      <c r="T1085" s="226">
        <f t="shared" si="63"/>
        <v>1082</v>
      </c>
      <c r="U1085" s="224">
        <f t="shared" si="61"/>
        <v>0</v>
      </c>
      <c r="V1085" s="225">
        <f t="shared" si="62"/>
        <v>2</v>
      </c>
      <c r="W1085" s="237">
        <f ca="1">$U1085*EWSpacingFt+XOffset+PanArrayWidthHighEndFt</f>
        <v>10.80282152230971</v>
      </c>
      <c r="X1085" s="241">
        <f ca="1">$V1085*NSSpacingFt+YOffset+PanArrayLenFt*COS(RADIANS(Latitude+DecAng))</f>
        <v>52.439632545931744</v>
      </c>
      <c r="Y1085" s="245">
        <f ca="1">+$V1085*NSGradeFt+PedHeight+PanArrayLenFt*SIN(RADIANS(Latitude+DecAng))</f>
        <v>7.401410761154855</v>
      </c>
      <c r="Z1085" s="214">
        <f ca="1">+$W1085</f>
        <v>10.80282152230971</v>
      </c>
      <c r="AA1085" s="214">
        <f ca="1">+$Y1085</f>
        <v>7.401410761154855</v>
      </c>
      <c r="AB1085" s="214">
        <f ca="1">+$X1085</f>
        <v>52.439632545931744</v>
      </c>
      <c r="AC1085" s="214">
        <f ca="1">+$W1085-XOffset</f>
        <v>10.80282152230971</v>
      </c>
    </row>
    <row r="1086" spans="19:29" ht="8.4" customHeight="1">
      <c r="S1086" s="307"/>
      <c r="T1086" s="226">
        <f t="shared" si="63"/>
        <v>1083</v>
      </c>
      <c r="U1086" s="224">
        <f t="shared" si="61"/>
        <v>0</v>
      </c>
      <c r="V1086" s="225">
        <f t="shared" si="62"/>
        <v>2</v>
      </c>
      <c r="W1086" s="238">
        <f ca="1">$U1086*EWSpacingFt+XOffset+0</f>
        <v>0</v>
      </c>
      <c r="X1086" s="242">
        <f ca="1">$V1086*NSSpacingFt+YOffset+PanArrayLenFt*COS(RADIANS(Latitude+DecAng))</f>
        <v>52.439632545931744</v>
      </c>
      <c r="Y1086" s="246">
        <f ca="1">+$V1086*NSGradeFt+PedHeight+PanArrayLenFt*SIN(RADIANS(Latitude+DecAng))</f>
        <v>7.401410761154855</v>
      </c>
      <c r="Z1086" s="214">
        <f ca="1">+$W1086</f>
        <v>0</v>
      </c>
      <c r="AA1086" s="214">
        <f ca="1">+$Y1086</f>
        <v>7.401410761154855</v>
      </c>
      <c r="AB1086" s="214">
        <f ca="1">+$X1086</f>
        <v>52.439632545931744</v>
      </c>
      <c r="AC1086" s="214">
        <f ca="1">+$W1086-XOffset</f>
        <v>0</v>
      </c>
    </row>
    <row r="1087" spans="19:29" ht="8.4" customHeight="1">
      <c r="S1087" s="307"/>
      <c r="T1087" s="226">
        <f t="shared" si="63"/>
        <v>1084</v>
      </c>
      <c r="U1087" s="224">
        <f t="shared" si="61"/>
        <v>0</v>
      </c>
      <c r="V1087" s="225">
        <f t="shared" si="62"/>
        <v>2</v>
      </c>
      <c r="W1087" s="239">
        <f ca="1">$U1087*EWSpacingFt+XOffset+(PanArrayWidthHighEndFt-PanArrayWidthLowEndFt)/2</f>
        <v>0</v>
      </c>
      <c r="X1087" s="243">
        <f ca="1">$V1087*NSSpacingFt+YOffset+0</f>
        <v>35.999999999999979</v>
      </c>
      <c r="Y1087" s="247">
        <f ca="1">+$V1087*NSGradeFt+PedHeight+0</f>
        <v>7.401410761154855</v>
      </c>
      <c r="Z1087" s="214">
        <f ca="1">+$W1087</f>
        <v>0</v>
      </c>
      <c r="AA1087" s="214">
        <f ca="1">+$Y1087</f>
        <v>7.401410761154855</v>
      </c>
      <c r="AB1087" s="214">
        <f ca="1">+$X1087</f>
        <v>35.999999999999979</v>
      </c>
      <c r="AC1087" s="214">
        <f ca="1">+$W1087-XOffset</f>
        <v>0</v>
      </c>
    </row>
    <row r="1088" spans="19:29" ht="8.4" customHeight="1">
      <c r="S1088" s="307"/>
      <c r="T1088" s="226">
        <f t="shared" si="63"/>
        <v>1085</v>
      </c>
      <c r="U1088" s="224">
        <f t="shared" si="61"/>
        <v>0</v>
      </c>
      <c r="V1088" s="225">
        <f t="shared" si="62"/>
        <v>2</v>
      </c>
      <c r="W1088" s="217"/>
      <c r="X1088" s="217"/>
      <c r="Y1088" s="217"/>
      <c r="Z1088" s="214"/>
      <c r="AA1088" s="214"/>
      <c r="AB1088" s="214"/>
      <c r="AC1088" s="214"/>
    </row>
    <row r="1089" spans="19:29" ht="8.4" customHeight="1">
      <c r="S1089" s="307">
        <f>INT((T1089-0)/6)+1</f>
        <v>182</v>
      </c>
      <c r="T1089" s="226">
        <f t="shared" si="63"/>
        <v>1086</v>
      </c>
      <c r="U1089" s="224">
        <f t="shared" si="61"/>
        <v>1</v>
      </c>
      <c r="V1089" s="225">
        <f t="shared" si="62"/>
        <v>2</v>
      </c>
      <c r="W1089" s="233">
        <f ca="1">$U1089*EWSpacingFt+XOffset+(PanArrayWidthHighEndFt-PanArrayWidthLowEndFt)/2</f>
        <v>30.000006832286932</v>
      </c>
      <c r="X1089" s="234">
        <f ca="1">$V1089*NSSpacingFt+YOffset+0</f>
        <v>35.999999999999979</v>
      </c>
      <c r="Y1089" s="235">
        <f ca="1">+$V1089*NSGradeFt+PedHeight+0</f>
        <v>7.401410761154855</v>
      </c>
      <c r="Z1089" s="214">
        <f ca="1">+$W1089</f>
        <v>30.000006832286932</v>
      </c>
      <c r="AA1089" s="214">
        <f ca="1">+$Y1089</f>
        <v>7.401410761154855</v>
      </c>
      <c r="AB1089" s="214">
        <f ca="1">+$X1089</f>
        <v>35.999999999999979</v>
      </c>
      <c r="AC1089" s="214">
        <f ca="1">+$W1089-XOffset</f>
        <v>30.000006832286932</v>
      </c>
    </row>
    <row r="1090" spans="19:29" ht="8.4" customHeight="1">
      <c r="S1090" s="307"/>
      <c r="T1090" s="226">
        <f t="shared" si="63"/>
        <v>1087</v>
      </c>
      <c r="U1090" s="224">
        <f t="shared" si="61"/>
        <v>1</v>
      </c>
      <c r="V1090" s="225">
        <f t="shared" si="62"/>
        <v>2</v>
      </c>
      <c r="W1090" s="236">
        <f ca="1">+$U1090*EWSpacingFt+XOffset+PanArrayWidthHighEndFt-(PanArrayWidthHighEndFt-PanArrayWidthLowEndFt)/2</f>
        <v>40.802828354596642</v>
      </c>
      <c r="X1090" s="240">
        <f ca="1">$V1090*NSSpacingFt+YOffset+0</f>
        <v>35.999999999999979</v>
      </c>
      <c r="Y1090" s="244">
        <f ca="1">+$V1090*NSGradeFt+PedHeight+0</f>
        <v>7.401410761154855</v>
      </c>
      <c r="Z1090" s="214">
        <f ca="1">+$W1090</f>
        <v>40.802828354596642</v>
      </c>
      <c r="AA1090" s="214">
        <f ca="1">+$Y1090</f>
        <v>7.401410761154855</v>
      </c>
      <c r="AB1090" s="214">
        <f ca="1">+$X1090</f>
        <v>35.999999999999979</v>
      </c>
      <c r="AC1090" s="214">
        <f ca="1">+$W1090-XOffset</f>
        <v>40.802828354596642</v>
      </c>
    </row>
    <row r="1091" spans="19:29" ht="8.4" customHeight="1">
      <c r="S1091" s="307"/>
      <c r="T1091" s="226">
        <f t="shared" si="63"/>
        <v>1088</v>
      </c>
      <c r="U1091" s="224">
        <f t="shared" ref="U1091:U1154" si="64">+MOD(INT(T1091/6),ColumnsOfMounts)</f>
        <v>1</v>
      </c>
      <c r="V1091" s="225">
        <f t="shared" ref="V1091:V1154" si="65">+MOD(INT(T1091/6/ColumnsOfMounts),RowsOfMounts)</f>
        <v>2</v>
      </c>
      <c r="W1091" s="237">
        <f ca="1">$U1091*EWSpacingFt+XOffset+PanArrayWidthHighEndFt</f>
        <v>40.802828354596642</v>
      </c>
      <c r="X1091" s="241">
        <f ca="1">$V1091*NSSpacingFt+YOffset+PanArrayLenFt*COS(RADIANS(Latitude+DecAng))</f>
        <v>52.439632545931744</v>
      </c>
      <c r="Y1091" s="245">
        <f ca="1">+$V1091*NSGradeFt+PedHeight+PanArrayLenFt*SIN(RADIANS(Latitude+DecAng))</f>
        <v>7.401410761154855</v>
      </c>
      <c r="Z1091" s="214">
        <f ca="1">+$W1091</f>
        <v>40.802828354596642</v>
      </c>
      <c r="AA1091" s="214">
        <f ca="1">+$Y1091</f>
        <v>7.401410761154855</v>
      </c>
      <c r="AB1091" s="214">
        <f ca="1">+$X1091</f>
        <v>52.439632545931744</v>
      </c>
      <c r="AC1091" s="214">
        <f ca="1">+$W1091-XOffset</f>
        <v>40.802828354596642</v>
      </c>
    </row>
    <row r="1092" spans="19:29" ht="8.4" customHeight="1">
      <c r="S1092" s="307"/>
      <c r="T1092" s="226">
        <f t="shared" si="63"/>
        <v>1089</v>
      </c>
      <c r="U1092" s="224">
        <f t="shared" si="64"/>
        <v>1</v>
      </c>
      <c r="V1092" s="225">
        <f t="shared" si="65"/>
        <v>2</v>
      </c>
      <c r="W1092" s="238">
        <f ca="1">$U1092*EWSpacingFt+XOffset+0</f>
        <v>30.000006832286932</v>
      </c>
      <c r="X1092" s="242">
        <f ca="1">$V1092*NSSpacingFt+YOffset+PanArrayLenFt*COS(RADIANS(Latitude+DecAng))</f>
        <v>52.439632545931744</v>
      </c>
      <c r="Y1092" s="246">
        <f ca="1">+$V1092*NSGradeFt+PedHeight+PanArrayLenFt*SIN(RADIANS(Latitude+DecAng))</f>
        <v>7.401410761154855</v>
      </c>
      <c r="Z1092" s="214">
        <f ca="1">+$W1092</f>
        <v>30.000006832286932</v>
      </c>
      <c r="AA1092" s="214">
        <f ca="1">+$Y1092</f>
        <v>7.401410761154855</v>
      </c>
      <c r="AB1092" s="214">
        <f ca="1">+$X1092</f>
        <v>52.439632545931744</v>
      </c>
      <c r="AC1092" s="214">
        <f ca="1">+$W1092-XOffset</f>
        <v>30.000006832286932</v>
      </c>
    </row>
    <row r="1093" spans="19:29" ht="8.4" customHeight="1">
      <c r="S1093" s="307"/>
      <c r="T1093" s="226">
        <f t="shared" si="63"/>
        <v>1090</v>
      </c>
      <c r="U1093" s="224">
        <f t="shared" si="64"/>
        <v>1</v>
      </c>
      <c r="V1093" s="225">
        <f t="shared" si="65"/>
        <v>2</v>
      </c>
      <c r="W1093" s="239">
        <f ca="1">$U1093*EWSpacingFt+XOffset+(PanArrayWidthHighEndFt-PanArrayWidthLowEndFt)/2</f>
        <v>30.000006832286932</v>
      </c>
      <c r="X1093" s="243">
        <f ca="1">$V1093*NSSpacingFt+YOffset+0</f>
        <v>35.999999999999979</v>
      </c>
      <c r="Y1093" s="247">
        <f ca="1">+$V1093*NSGradeFt+PedHeight+0</f>
        <v>7.401410761154855</v>
      </c>
      <c r="Z1093" s="214">
        <f ca="1">+$W1093</f>
        <v>30.000006832286932</v>
      </c>
      <c r="AA1093" s="214">
        <f ca="1">+$Y1093</f>
        <v>7.401410761154855</v>
      </c>
      <c r="AB1093" s="214">
        <f ca="1">+$X1093</f>
        <v>35.999999999999979</v>
      </c>
      <c r="AC1093" s="214">
        <f ca="1">+$W1093-XOffset</f>
        <v>30.000006832286932</v>
      </c>
    </row>
    <row r="1094" spans="19:29" ht="8.4" customHeight="1">
      <c r="S1094" s="307"/>
      <c r="T1094" s="226">
        <f t="shared" si="63"/>
        <v>1091</v>
      </c>
      <c r="U1094" s="224">
        <f t="shared" si="64"/>
        <v>1</v>
      </c>
      <c r="V1094" s="225">
        <f t="shared" si="65"/>
        <v>2</v>
      </c>
      <c r="W1094" s="217"/>
      <c r="X1094" s="217"/>
      <c r="Y1094" s="217"/>
      <c r="Z1094" s="214"/>
      <c r="AA1094" s="214"/>
      <c r="AB1094" s="214"/>
      <c r="AC1094" s="214"/>
    </row>
    <row r="1095" spans="19:29" ht="8.4" customHeight="1">
      <c r="S1095" s="307">
        <f>INT((T1095-0)/6)+1</f>
        <v>183</v>
      </c>
      <c r="T1095" s="226">
        <f t="shared" si="63"/>
        <v>1092</v>
      </c>
      <c r="U1095" s="224">
        <f t="shared" si="64"/>
        <v>0</v>
      </c>
      <c r="V1095" s="225">
        <f t="shared" si="65"/>
        <v>3</v>
      </c>
      <c r="W1095" s="233">
        <f ca="1">$U1095*EWSpacingFt+XOffset+(PanArrayWidthHighEndFt-PanArrayWidthLowEndFt)/2</f>
        <v>0</v>
      </c>
      <c r="X1095" s="234">
        <f ca="1">$V1095*NSSpacingFt+YOffset+0</f>
        <v>53.999999999999972</v>
      </c>
      <c r="Y1095" s="235">
        <f ca="1">+$V1095*NSGradeFt+PedHeight+0</f>
        <v>7.401410761154855</v>
      </c>
      <c r="Z1095" s="214">
        <f ca="1">+$W1095</f>
        <v>0</v>
      </c>
      <c r="AA1095" s="214">
        <f ca="1">+$Y1095</f>
        <v>7.401410761154855</v>
      </c>
      <c r="AB1095" s="214">
        <f ca="1">+$X1095</f>
        <v>53.999999999999972</v>
      </c>
      <c r="AC1095" s="214">
        <f ca="1">+$W1095-XOffset</f>
        <v>0</v>
      </c>
    </row>
    <row r="1096" spans="19:29" ht="8.4" customHeight="1">
      <c r="S1096" s="307"/>
      <c r="T1096" s="226">
        <f t="shared" si="63"/>
        <v>1093</v>
      </c>
      <c r="U1096" s="224">
        <f t="shared" si="64"/>
        <v>0</v>
      </c>
      <c r="V1096" s="225">
        <f t="shared" si="65"/>
        <v>3</v>
      </c>
      <c r="W1096" s="236">
        <f ca="1">+$U1096*EWSpacingFt+XOffset+PanArrayWidthHighEndFt-(PanArrayWidthHighEndFt-PanArrayWidthLowEndFt)/2</f>
        <v>10.80282152230971</v>
      </c>
      <c r="X1096" s="240">
        <f ca="1">$V1096*NSSpacingFt+YOffset+0</f>
        <v>53.999999999999972</v>
      </c>
      <c r="Y1096" s="244">
        <f ca="1">+$V1096*NSGradeFt+PedHeight+0</f>
        <v>7.401410761154855</v>
      </c>
      <c r="Z1096" s="214">
        <f ca="1">+$W1096</f>
        <v>10.80282152230971</v>
      </c>
      <c r="AA1096" s="214">
        <f ca="1">+$Y1096</f>
        <v>7.401410761154855</v>
      </c>
      <c r="AB1096" s="214">
        <f ca="1">+$X1096</f>
        <v>53.999999999999972</v>
      </c>
      <c r="AC1096" s="214">
        <f ca="1">+$W1096-XOffset</f>
        <v>10.80282152230971</v>
      </c>
    </row>
    <row r="1097" spans="19:29" ht="8.4" customHeight="1">
      <c r="S1097" s="307"/>
      <c r="T1097" s="226">
        <f t="shared" si="63"/>
        <v>1094</v>
      </c>
      <c r="U1097" s="224">
        <f t="shared" si="64"/>
        <v>0</v>
      </c>
      <c r="V1097" s="225">
        <f t="shared" si="65"/>
        <v>3</v>
      </c>
      <c r="W1097" s="237">
        <f ca="1">$U1097*EWSpacingFt+XOffset+PanArrayWidthHighEndFt</f>
        <v>10.80282152230971</v>
      </c>
      <c r="X1097" s="241">
        <f ca="1">$V1097*NSSpacingFt+YOffset+PanArrayLenFt*COS(RADIANS(Latitude+DecAng))</f>
        <v>70.43963254593173</v>
      </c>
      <c r="Y1097" s="245">
        <f ca="1">+$V1097*NSGradeFt+PedHeight+PanArrayLenFt*SIN(RADIANS(Latitude+DecAng))</f>
        <v>7.401410761154855</v>
      </c>
      <c r="Z1097" s="214">
        <f ca="1">+$W1097</f>
        <v>10.80282152230971</v>
      </c>
      <c r="AA1097" s="214">
        <f ca="1">+$Y1097</f>
        <v>7.401410761154855</v>
      </c>
      <c r="AB1097" s="214">
        <f ca="1">+$X1097</f>
        <v>70.43963254593173</v>
      </c>
      <c r="AC1097" s="214">
        <f ca="1">+$W1097-XOffset</f>
        <v>10.80282152230971</v>
      </c>
    </row>
    <row r="1098" spans="19:29" ht="8.4" customHeight="1">
      <c r="S1098" s="307"/>
      <c r="T1098" s="226">
        <f t="shared" si="63"/>
        <v>1095</v>
      </c>
      <c r="U1098" s="224">
        <f t="shared" si="64"/>
        <v>0</v>
      </c>
      <c r="V1098" s="225">
        <f t="shared" si="65"/>
        <v>3</v>
      </c>
      <c r="W1098" s="238">
        <f ca="1">$U1098*EWSpacingFt+XOffset+0</f>
        <v>0</v>
      </c>
      <c r="X1098" s="242">
        <f ca="1">$V1098*NSSpacingFt+YOffset+PanArrayLenFt*COS(RADIANS(Latitude+DecAng))</f>
        <v>70.43963254593173</v>
      </c>
      <c r="Y1098" s="246">
        <f ca="1">+$V1098*NSGradeFt+PedHeight+PanArrayLenFt*SIN(RADIANS(Latitude+DecAng))</f>
        <v>7.401410761154855</v>
      </c>
      <c r="Z1098" s="214">
        <f ca="1">+$W1098</f>
        <v>0</v>
      </c>
      <c r="AA1098" s="214">
        <f ca="1">+$Y1098</f>
        <v>7.401410761154855</v>
      </c>
      <c r="AB1098" s="214">
        <f ca="1">+$X1098</f>
        <v>70.43963254593173</v>
      </c>
      <c r="AC1098" s="214">
        <f ca="1">+$W1098-XOffset</f>
        <v>0</v>
      </c>
    </row>
    <row r="1099" spans="19:29" ht="8.4" customHeight="1">
      <c r="S1099" s="307"/>
      <c r="T1099" s="226">
        <f t="shared" si="63"/>
        <v>1096</v>
      </c>
      <c r="U1099" s="224">
        <f t="shared" si="64"/>
        <v>0</v>
      </c>
      <c r="V1099" s="225">
        <f t="shared" si="65"/>
        <v>3</v>
      </c>
      <c r="W1099" s="239">
        <f ca="1">$U1099*EWSpacingFt+XOffset+(PanArrayWidthHighEndFt-PanArrayWidthLowEndFt)/2</f>
        <v>0</v>
      </c>
      <c r="X1099" s="243">
        <f ca="1">$V1099*NSSpacingFt+YOffset+0</f>
        <v>53.999999999999972</v>
      </c>
      <c r="Y1099" s="247">
        <f ca="1">+$V1099*NSGradeFt+PedHeight+0</f>
        <v>7.401410761154855</v>
      </c>
      <c r="Z1099" s="214">
        <f ca="1">+$W1099</f>
        <v>0</v>
      </c>
      <c r="AA1099" s="214">
        <f ca="1">+$Y1099</f>
        <v>7.401410761154855</v>
      </c>
      <c r="AB1099" s="214">
        <f ca="1">+$X1099</f>
        <v>53.999999999999972</v>
      </c>
      <c r="AC1099" s="214">
        <f ca="1">+$W1099-XOffset</f>
        <v>0</v>
      </c>
    </row>
    <row r="1100" spans="19:29" ht="8.4" customHeight="1">
      <c r="S1100" s="307"/>
      <c r="T1100" s="226">
        <f t="shared" si="63"/>
        <v>1097</v>
      </c>
      <c r="U1100" s="224">
        <f t="shared" si="64"/>
        <v>0</v>
      </c>
      <c r="V1100" s="225">
        <f t="shared" si="65"/>
        <v>3</v>
      </c>
      <c r="W1100" s="217"/>
      <c r="X1100" s="217"/>
      <c r="Y1100" s="217"/>
      <c r="Z1100" s="214"/>
      <c r="AA1100" s="214"/>
      <c r="AB1100" s="214"/>
      <c r="AC1100" s="214"/>
    </row>
    <row r="1101" spans="19:29" ht="8.4" customHeight="1">
      <c r="S1101" s="307">
        <f>INT((T1101-0)/6)+1</f>
        <v>184</v>
      </c>
      <c r="T1101" s="226">
        <f t="shared" si="63"/>
        <v>1098</v>
      </c>
      <c r="U1101" s="224">
        <f t="shared" si="64"/>
        <v>1</v>
      </c>
      <c r="V1101" s="225">
        <f t="shared" si="65"/>
        <v>3</v>
      </c>
      <c r="W1101" s="233">
        <f ca="1">$U1101*EWSpacingFt+XOffset+(PanArrayWidthHighEndFt-PanArrayWidthLowEndFt)/2</f>
        <v>30.000006832286932</v>
      </c>
      <c r="X1101" s="234">
        <f ca="1">$V1101*NSSpacingFt+YOffset+0</f>
        <v>53.999999999999972</v>
      </c>
      <c r="Y1101" s="235">
        <f ca="1">+$V1101*NSGradeFt+PedHeight+0</f>
        <v>7.401410761154855</v>
      </c>
      <c r="Z1101" s="214">
        <f ca="1">+$W1101</f>
        <v>30.000006832286932</v>
      </c>
      <c r="AA1101" s="214">
        <f ca="1">+$Y1101</f>
        <v>7.401410761154855</v>
      </c>
      <c r="AB1101" s="214">
        <f ca="1">+$X1101</f>
        <v>53.999999999999972</v>
      </c>
      <c r="AC1101" s="214">
        <f ca="1">+$W1101-XOffset</f>
        <v>30.000006832286932</v>
      </c>
    </row>
    <row r="1102" spans="19:29" ht="8.4" customHeight="1">
      <c r="S1102" s="307"/>
      <c r="T1102" s="226">
        <f t="shared" si="63"/>
        <v>1099</v>
      </c>
      <c r="U1102" s="224">
        <f t="shared" si="64"/>
        <v>1</v>
      </c>
      <c r="V1102" s="225">
        <f t="shared" si="65"/>
        <v>3</v>
      </c>
      <c r="W1102" s="236">
        <f ca="1">+$U1102*EWSpacingFt+XOffset+PanArrayWidthHighEndFt-(PanArrayWidthHighEndFt-PanArrayWidthLowEndFt)/2</f>
        <v>40.802828354596642</v>
      </c>
      <c r="X1102" s="240">
        <f ca="1">$V1102*NSSpacingFt+YOffset+0</f>
        <v>53.999999999999972</v>
      </c>
      <c r="Y1102" s="244">
        <f ca="1">+$V1102*NSGradeFt+PedHeight+0</f>
        <v>7.401410761154855</v>
      </c>
      <c r="Z1102" s="214">
        <f ca="1">+$W1102</f>
        <v>40.802828354596642</v>
      </c>
      <c r="AA1102" s="214">
        <f ca="1">+$Y1102</f>
        <v>7.401410761154855</v>
      </c>
      <c r="AB1102" s="214">
        <f ca="1">+$X1102</f>
        <v>53.999999999999972</v>
      </c>
      <c r="AC1102" s="214">
        <f ca="1">+$W1102-XOffset</f>
        <v>40.802828354596642</v>
      </c>
    </row>
    <row r="1103" spans="19:29" ht="8.4" customHeight="1">
      <c r="S1103" s="307"/>
      <c r="T1103" s="226">
        <f t="shared" si="63"/>
        <v>1100</v>
      </c>
      <c r="U1103" s="224">
        <f t="shared" si="64"/>
        <v>1</v>
      </c>
      <c r="V1103" s="225">
        <f t="shared" si="65"/>
        <v>3</v>
      </c>
      <c r="W1103" s="237">
        <f ca="1">$U1103*EWSpacingFt+XOffset+PanArrayWidthHighEndFt</f>
        <v>40.802828354596642</v>
      </c>
      <c r="X1103" s="241">
        <f ca="1">$V1103*NSSpacingFt+YOffset+PanArrayLenFt*COS(RADIANS(Latitude+DecAng))</f>
        <v>70.43963254593173</v>
      </c>
      <c r="Y1103" s="245">
        <f ca="1">+$V1103*NSGradeFt+PedHeight+PanArrayLenFt*SIN(RADIANS(Latitude+DecAng))</f>
        <v>7.401410761154855</v>
      </c>
      <c r="Z1103" s="214">
        <f ca="1">+$W1103</f>
        <v>40.802828354596642</v>
      </c>
      <c r="AA1103" s="214">
        <f ca="1">+$Y1103</f>
        <v>7.401410761154855</v>
      </c>
      <c r="AB1103" s="214">
        <f ca="1">+$X1103</f>
        <v>70.43963254593173</v>
      </c>
      <c r="AC1103" s="214">
        <f ca="1">+$W1103-XOffset</f>
        <v>40.802828354596642</v>
      </c>
    </row>
    <row r="1104" spans="19:29" ht="8.4" customHeight="1">
      <c r="S1104" s="307"/>
      <c r="T1104" s="226">
        <f t="shared" si="63"/>
        <v>1101</v>
      </c>
      <c r="U1104" s="224">
        <f t="shared" si="64"/>
        <v>1</v>
      </c>
      <c r="V1104" s="225">
        <f t="shared" si="65"/>
        <v>3</v>
      </c>
      <c r="W1104" s="238">
        <f ca="1">$U1104*EWSpacingFt+XOffset+0</f>
        <v>30.000006832286932</v>
      </c>
      <c r="X1104" s="242">
        <f ca="1">$V1104*NSSpacingFt+YOffset+PanArrayLenFt*COS(RADIANS(Latitude+DecAng))</f>
        <v>70.43963254593173</v>
      </c>
      <c r="Y1104" s="246">
        <f ca="1">+$V1104*NSGradeFt+PedHeight+PanArrayLenFt*SIN(RADIANS(Latitude+DecAng))</f>
        <v>7.401410761154855</v>
      </c>
      <c r="Z1104" s="214">
        <f ca="1">+$W1104</f>
        <v>30.000006832286932</v>
      </c>
      <c r="AA1104" s="214">
        <f ca="1">+$Y1104</f>
        <v>7.401410761154855</v>
      </c>
      <c r="AB1104" s="214">
        <f ca="1">+$X1104</f>
        <v>70.43963254593173</v>
      </c>
      <c r="AC1104" s="214">
        <f ca="1">+$W1104-XOffset</f>
        <v>30.000006832286932</v>
      </c>
    </row>
    <row r="1105" spans="19:29" ht="8.4" customHeight="1">
      <c r="S1105" s="307"/>
      <c r="T1105" s="226">
        <f t="shared" si="63"/>
        <v>1102</v>
      </c>
      <c r="U1105" s="224">
        <f t="shared" si="64"/>
        <v>1</v>
      </c>
      <c r="V1105" s="225">
        <f t="shared" si="65"/>
        <v>3</v>
      </c>
      <c r="W1105" s="239">
        <f ca="1">$U1105*EWSpacingFt+XOffset+(PanArrayWidthHighEndFt-PanArrayWidthLowEndFt)/2</f>
        <v>30.000006832286932</v>
      </c>
      <c r="X1105" s="243">
        <f ca="1">$V1105*NSSpacingFt+YOffset+0</f>
        <v>53.999999999999972</v>
      </c>
      <c r="Y1105" s="247">
        <f ca="1">+$V1105*NSGradeFt+PedHeight+0</f>
        <v>7.401410761154855</v>
      </c>
      <c r="Z1105" s="214">
        <f ca="1">+$W1105</f>
        <v>30.000006832286932</v>
      </c>
      <c r="AA1105" s="214">
        <f ca="1">+$Y1105</f>
        <v>7.401410761154855</v>
      </c>
      <c r="AB1105" s="214">
        <f ca="1">+$X1105</f>
        <v>53.999999999999972</v>
      </c>
      <c r="AC1105" s="214">
        <f ca="1">+$W1105-XOffset</f>
        <v>30.000006832286932</v>
      </c>
    </row>
    <row r="1106" spans="19:29" ht="8.4" customHeight="1">
      <c r="S1106" s="307"/>
      <c r="T1106" s="226">
        <f t="shared" si="63"/>
        <v>1103</v>
      </c>
      <c r="U1106" s="224">
        <f t="shared" si="64"/>
        <v>1</v>
      </c>
      <c r="V1106" s="225">
        <f t="shared" si="65"/>
        <v>3</v>
      </c>
      <c r="W1106" s="217"/>
      <c r="X1106" s="217"/>
      <c r="Y1106" s="217"/>
      <c r="Z1106" s="214"/>
      <c r="AA1106" s="214"/>
      <c r="AB1106" s="214"/>
      <c r="AC1106" s="214"/>
    </row>
    <row r="1107" spans="19:29" ht="8.4" customHeight="1">
      <c r="S1107" s="307">
        <f>INT((T1107-0)/6)+1</f>
        <v>185</v>
      </c>
      <c r="T1107" s="226">
        <f t="shared" si="63"/>
        <v>1104</v>
      </c>
      <c r="U1107" s="224">
        <f t="shared" si="64"/>
        <v>0</v>
      </c>
      <c r="V1107" s="225">
        <f t="shared" si="65"/>
        <v>0</v>
      </c>
      <c r="W1107" s="233">
        <f ca="1">$U1107*EWSpacingFt+XOffset+(PanArrayWidthHighEndFt-PanArrayWidthLowEndFt)/2</f>
        <v>0</v>
      </c>
      <c r="X1107" s="234">
        <f ca="1">$V1107*NSSpacingFt+YOffset+0</f>
        <v>0</v>
      </c>
      <c r="Y1107" s="235">
        <f ca="1">+$V1107*NSGradeFt+PedHeight+0</f>
        <v>7.401410761154855</v>
      </c>
      <c r="Z1107" s="214">
        <f ca="1">+$W1107</f>
        <v>0</v>
      </c>
      <c r="AA1107" s="214">
        <f ca="1">+$Y1107</f>
        <v>7.401410761154855</v>
      </c>
      <c r="AB1107" s="214">
        <f ca="1">+$X1107</f>
        <v>0</v>
      </c>
      <c r="AC1107" s="214">
        <f ca="1">+$W1107-XOffset</f>
        <v>0</v>
      </c>
    </row>
    <row r="1108" spans="19:29" ht="8.4" customHeight="1">
      <c r="S1108" s="307"/>
      <c r="T1108" s="226">
        <f t="shared" si="63"/>
        <v>1105</v>
      </c>
      <c r="U1108" s="224">
        <f t="shared" si="64"/>
        <v>0</v>
      </c>
      <c r="V1108" s="225">
        <f t="shared" si="65"/>
        <v>0</v>
      </c>
      <c r="W1108" s="236">
        <f ca="1">+$U1108*EWSpacingFt+XOffset+PanArrayWidthHighEndFt-(PanArrayWidthHighEndFt-PanArrayWidthLowEndFt)/2</f>
        <v>10.80282152230971</v>
      </c>
      <c r="X1108" s="240">
        <f ca="1">$V1108*NSSpacingFt+YOffset+0</f>
        <v>0</v>
      </c>
      <c r="Y1108" s="244">
        <f ca="1">+$V1108*NSGradeFt+PedHeight+0</f>
        <v>7.401410761154855</v>
      </c>
      <c r="Z1108" s="214">
        <f ca="1">+$W1108</f>
        <v>10.80282152230971</v>
      </c>
      <c r="AA1108" s="214">
        <f ca="1">+$Y1108</f>
        <v>7.401410761154855</v>
      </c>
      <c r="AB1108" s="214">
        <f ca="1">+$X1108</f>
        <v>0</v>
      </c>
      <c r="AC1108" s="214">
        <f ca="1">+$W1108-XOffset</f>
        <v>10.80282152230971</v>
      </c>
    </row>
    <row r="1109" spans="19:29" ht="8.4" customHeight="1">
      <c r="S1109" s="307"/>
      <c r="T1109" s="226">
        <f t="shared" ref="T1109:T1172" si="66">+T1108+1</f>
        <v>1106</v>
      </c>
      <c r="U1109" s="224">
        <f t="shared" si="64"/>
        <v>0</v>
      </c>
      <c r="V1109" s="225">
        <f t="shared" si="65"/>
        <v>0</v>
      </c>
      <c r="W1109" s="237">
        <f ca="1">$U1109*EWSpacingFt+XOffset+PanArrayWidthHighEndFt</f>
        <v>10.80282152230971</v>
      </c>
      <c r="X1109" s="241">
        <f ca="1">$V1109*NSSpacingFt+YOffset+PanArrayLenFt*COS(RADIANS(Latitude+DecAng))</f>
        <v>16.439632545931762</v>
      </c>
      <c r="Y1109" s="245">
        <f ca="1">+$V1109*NSGradeFt+PedHeight+PanArrayLenFt*SIN(RADIANS(Latitude+DecAng))</f>
        <v>7.401410761154855</v>
      </c>
      <c r="Z1109" s="214">
        <f ca="1">+$W1109</f>
        <v>10.80282152230971</v>
      </c>
      <c r="AA1109" s="214">
        <f ca="1">+$Y1109</f>
        <v>7.401410761154855</v>
      </c>
      <c r="AB1109" s="214">
        <f ca="1">+$X1109</f>
        <v>16.439632545931762</v>
      </c>
      <c r="AC1109" s="214">
        <f ca="1">+$W1109-XOffset</f>
        <v>10.80282152230971</v>
      </c>
    </row>
    <row r="1110" spans="19:29" ht="8.4" customHeight="1">
      <c r="S1110" s="307"/>
      <c r="T1110" s="226">
        <f t="shared" si="66"/>
        <v>1107</v>
      </c>
      <c r="U1110" s="224">
        <f t="shared" si="64"/>
        <v>0</v>
      </c>
      <c r="V1110" s="225">
        <f t="shared" si="65"/>
        <v>0</v>
      </c>
      <c r="W1110" s="238">
        <f ca="1">$U1110*EWSpacingFt+XOffset+0</f>
        <v>0</v>
      </c>
      <c r="X1110" s="242">
        <f ca="1">$V1110*NSSpacingFt+YOffset+PanArrayLenFt*COS(RADIANS(Latitude+DecAng))</f>
        <v>16.439632545931762</v>
      </c>
      <c r="Y1110" s="246">
        <f ca="1">+$V1110*NSGradeFt+PedHeight+PanArrayLenFt*SIN(RADIANS(Latitude+DecAng))</f>
        <v>7.401410761154855</v>
      </c>
      <c r="Z1110" s="214">
        <f ca="1">+$W1110</f>
        <v>0</v>
      </c>
      <c r="AA1110" s="214">
        <f ca="1">+$Y1110</f>
        <v>7.401410761154855</v>
      </c>
      <c r="AB1110" s="214">
        <f ca="1">+$X1110</f>
        <v>16.439632545931762</v>
      </c>
      <c r="AC1110" s="214">
        <f ca="1">+$W1110-XOffset</f>
        <v>0</v>
      </c>
    </row>
    <row r="1111" spans="19:29" ht="8.4" customHeight="1">
      <c r="S1111" s="307"/>
      <c r="T1111" s="226">
        <f t="shared" si="66"/>
        <v>1108</v>
      </c>
      <c r="U1111" s="224">
        <f t="shared" si="64"/>
        <v>0</v>
      </c>
      <c r="V1111" s="225">
        <f t="shared" si="65"/>
        <v>0</v>
      </c>
      <c r="W1111" s="239">
        <f ca="1">$U1111*EWSpacingFt+XOffset+(PanArrayWidthHighEndFt-PanArrayWidthLowEndFt)/2</f>
        <v>0</v>
      </c>
      <c r="X1111" s="243">
        <f ca="1">$V1111*NSSpacingFt+YOffset+0</f>
        <v>0</v>
      </c>
      <c r="Y1111" s="247">
        <f ca="1">+$V1111*NSGradeFt+PedHeight+0</f>
        <v>7.401410761154855</v>
      </c>
      <c r="Z1111" s="214">
        <f ca="1">+$W1111</f>
        <v>0</v>
      </c>
      <c r="AA1111" s="214">
        <f ca="1">+$Y1111</f>
        <v>7.401410761154855</v>
      </c>
      <c r="AB1111" s="214">
        <f ca="1">+$X1111</f>
        <v>0</v>
      </c>
      <c r="AC1111" s="214">
        <f ca="1">+$W1111-XOffset</f>
        <v>0</v>
      </c>
    </row>
    <row r="1112" spans="19:29" ht="8.4" customHeight="1">
      <c r="S1112" s="307"/>
      <c r="T1112" s="226">
        <f t="shared" si="66"/>
        <v>1109</v>
      </c>
      <c r="U1112" s="224">
        <f t="shared" si="64"/>
        <v>0</v>
      </c>
      <c r="V1112" s="225">
        <f t="shared" si="65"/>
        <v>0</v>
      </c>
      <c r="W1112" s="217"/>
      <c r="X1112" s="217"/>
      <c r="Y1112" s="217"/>
      <c r="Z1112" s="214"/>
      <c r="AA1112" s="214"/>
      <c r="AB1112" s="214"/>
      <c r="AC1112" s="214"/>
    </row>
    <row r="1113" spans="19:29" ht="8.4" customHeight="1">
      <c r="S1113" s="307">
        <f>INT((T1113-0)/6)+1</f>
        <v>186</v>
      </c>
      <c r="T1113" s="226">
        <f t="shared" si="66"/>
        <v>1110</v>
      </c>
      <c r="U1113" s="224">
        <f t="shared" si="64"/>
        <v>1</v>
      </c>
      <c r="V1113" s="225">
        <f t="shared" si="65"/>
        <v>0</v>
      </c>
      <c r="W1113" s="233">
        <f ca="1">$U1113*EWSpacingFt+XOffset+(PanArrayWidthHighEndFt-PanArrayWidthLowEndFt)/2</f>
        <v>30.000006832286932</v>
      </c>
      <c r="X1113" s="234">
        <f ca="1">$V1113*NSSpacingFt+YOffset+0</f>
        <v>0</v>
      </c>
      <c r="Y1113" s="235">
        <f ca="1">+$V1113*NSGradeFt+PedHeight+0</f>
        <v>7.401410761154855</v>
      </c>
      <c r="Z1113" s="214">
        <f ca="1">+$W1113</f>
        <v>30.000006832286932</v>
      </c>
      <c r="AA1113" s="214">
        <f ca="1">+$Y1113</f>
        <v>7.401410761154855</v>
      </c>
      <c r="AB1113" s="214">
        <f ca="1">+$X1113</f>
        <v>0</v>
      </c>
      <c r="AC1113" s="214">
        <f ca="1">+$W1113-XOffset</f>
        <v>30.000006832286932</v>
      </c>
    </row>
    <row r="1114" spans="19:29" ht="8.4" customHeight="1">
      <c r="S1114" s="307"/>
      <c r="T1114" s="226">
        <f t="shared" si="66"/>
        <v>1111</v>
      </c>
      <c r="U1114" s="224">
        <f t="shared" si="64"/>
        <v>1</v>
      </c>
      <c r="V1114" s="225">
        <f t="shared" si="65"/>
        <v>0</v>
      </c>
      <c r="W1114" s="236">
        <f ca="1">+$U1114*EWSpacingFt+XOffset+PanArrayWidthHighEndFt-(PanArrayWidthHighEndFt-PanArrayWidthLowEndFt)/2</f>
        <v>40.802828354596642</v>
      </c>
      <c r="X1114" s="240">
        <f ca="1">$V1114*NSSpacingFt+YOffset+0</f>
        <v>0</v>
      </c>
      <c r="Y1114" s="244">
        <f ca="1">+$V1114*NSGradeFt+PedHeight+0</f>
        <v>7.401410761154855</v>
      </c>
      <c r="Z1114" s="214">
        <f ca="1">+$W1114</f>
        <v>40.802828354596642</v>
      </c>
      <c r="AA1114" s="214">
        <f ca="1">+$Y1114</f>
        <v>7.401410761154855</v>
      </c>
      <c r="AB1114" s="214">
        <f ca="1">+$X1114</f>
        <v>0</v>
      </c>
      <c r="AC1114" s="214">
        <f ca="1">+$W1114-XOffset</f>
        <v>40.802828354596642</v>
      </c>
    </row>
    <row r="1115" spans="19:29" ht="8.4" customHeight="1">
      <c r="S1115" s="307"/>
      <c r="T1115" s="226">
        <f t="shared" si="66"/>
        <v>1112</v>
      </c>
      <c r="U1115" s="224">
        <f t="shared" si="64"/>
        <v>1</v>
      </c>
      <c r="V1115" s="225">
        <f t="shared" si="65"/>
        <v>0</v>
      </c>
      <c r="W1115" s="237">
        <f ca="1">$U1115*EWSpacingFt+XOffset+PanArrayWidthHighEndFt</f>
        <v>40.802828354596642</v>
      </c>
      <c r="X1115" s="241">
        <f ca="1">$V1115*NSSpacingFt+YOffset+PanArrayLenFt*COS(RADIANS(Latitude+DecAng))</f>
        <v>16.439632545931762</v>
      </c>
      <c r="Y1115" s="245">
        <f ca="1">+$V1115*NSGradeFt+PedHeight+PanArrayLenFt*SIN(RADIANS(Latitude+DecAng))</f>
        <v>7.401410761154855</v>
      </c>
      <c r="Z1115" s="214">
        <f ca="1">+$W1115</f>
        <v>40.802828354596642</v>
      </c>
      <c r="AA1115" s="214">
        <f ca="1">+$Y1115</f>
        <v>7.401410761154855</v>
      </c>
      <c r="AB1115" s="214">
        <f ca="1">+$X1115</f>
        <v>16.439632545931762</v>
      </c>
      <c r="AC1115" s="214">
        <f ca="1">+$W1115-XOffset</f>
        <v>40.802828354596642</v>
      </c>
    </row>
    <row r="1116" spans="19:29" ht="8.4" customHeight="1">
      <c r="S1116" s="307"/>
      <c r="T1116" s="226">
        <f t="shared" si="66"/>
        <v>1113</v>
      </c>
      <c r="U1116" s="224">
        <f t="shared" si="64"/>
        <v>1</v>
      </c>
      <c r="V1116" s="225">
        <f t="shared" si="65"/>
        <v>0</v>
      </c>
      <c r="W1116" s="238">
        <f ca="1">$U1116*EWSpacingFt+XOffset+0</f>
        <v>30.000006832286932</v>
      </c>
      <c r="X1116" s="242">
        <f ca="1">$V1116*NSSpacingFt+YOffset+PanArrayLenFt*COS(RADIANS(Latitude+DecAng))</f>
        <v>16.439632545931762</v>
      </c>
      <c r="Y1116" s="246">
        <f ca="1">+$V1116*NSGradeFt+PedHeight+PanArrayLenFt*SIN(RADIANS(Latitude+DecAng))</f>
        <v>7.401410761154855</v>
      </c>
      <c r="Z1116" s="214">
        <f ca="1">+$W1116</f>
        <v>30.000006832286932</v>
      </c>
      <c r="AA1116" s="214">
        <f ca="1">+$Y1116</f>
        <v>7.401410761154855</v>
      </c>
      <c r="AB1116" s="214">
        <f ca="1">+$X1116</f>
        <v>16.439632545931762</v>
      </c>
      <c r="AC1116" s="214">
        <f ca="1">+$W1116-XOffset</f>
        <v>30.000006832286932</v>
      </c>
    </row>
    <row r="1117" spans="19:29" ht="8.4" customHeight="1">
      <c r="S1117" s="307"/>
      <c r="T1117" s="226">
        <f t="shared" si="66"/>
        <v>1114</v>
      </c>
      <c r="U1117" s="224">
        <f t="shared" si="64"/>
        <v>1</v>
      </c>
      <c r="V1117" s="225">
        <f t="shared" si="65"/>
        <v>0</v>
      </c>
      <c r="W1117" s="239">
        <f ca="1">$U1117*EWSpacingFt+XOffset+(PanArrayWidthHighEndFt-PanArrayWidthLowEndFt)/2</f>
        <v>30.000006832286932</v>
      </c>
      <c r="X1117" s="243">
        <f ca="1">$V1117*NSSpacingFt+YOffset+0</f>
        <v>0</v>
      </c>
      <c r="Y1117" s="247">
        <f ca="1">+$V1117*NSGradeFt+PedHeight+0</f>
        <v>7.401410761154855</v>
      </c>
      <c r="Z1117" s="214">
        <f ca="1">+$W1117</f>
        <v>30.000006832286932</v>
      </c>
      <c r="AA1117" s="214">
        <f ca="1">+$Y1117</f>
        <v>7.401410761154855</v>
      </c>
      <c r="AB1117" s="214">
        <f ca="1">+$X1117</f>
        <v>0</v>
      </c>
      <c r="AC1117" s="214">
        <f ca="1">+$W1117-XOffset</f>
        <v>30.000006832286932</v>
      </c>
    </row>
    <row r="1118" spans="19:29" ht="8.4" customHeight="1">
      <c r="S1118" s="307"/>
      <c r="T1118" s="226">
        <f t="shared" si="66"/>
        <v>1115</v>
      </c>
      <c r="U1118" s="224">
        <f t="shared" si="64"/>
        <v>1</v>
      </c>
      <c r="V1118" s="225">
        <f t="shared" si="65"/>
        <v>0</v>
      </c>
      <c r="W1118" s="217"/>
      <c r="X1118" s="217"/>
      <c r="Y1118" s="217"/>
      <c r="Z1118" s="214"/>
      <c r="AA1118" s="214"/>
      <c r="AB1118" s="214"/>
      <c r="AC1118" s="214"/>
    </row>
    <row r="1119" spans="19:29" ht="8.4" customHeight="1">
      <c r="S1119" s="307">
        <f>INT((T1119-0)/6)+1</f>
        <v>187</v>
      </c>
      <c r="T1119" s="226">
        <f t="shared" si="66"/>
        <v>1116</v>
      </c>
      <c r="U1119" s="224">
        <f t="shared" si="64"/>
        <v>0</v>
      </c>
      <c r="V1119" s="225">
        <f t="shared" si="65"/>
        <v>1</v>
      </c>
      <c r="W1119" s="233">
        <f ca="1">$U1119*EWSpacingFt+XOffset+(PanArrayWidthHighEndFt-PanArrayWidthLowEndFt)/2</f>
        <v>0</v>
      </c>
      <c r="X1119" s="234">
        <f ca="1">$V1119*NSSpacingFt+YOffset+0</f>
        <v>17.999999999999989</v>
      </c>
      <c r="Y1119" s="235">
        <f ca="1">+$V1119*NSGradeFt+PedHeight+0</f>
        <v>7.401410761154855</v>
      </c>
      <c r="Z1119" s="214">
        <f ca="1">+$W1119</f>
        <v>0</v>
      </c>
      <c r="AA1119" s="214">
        <f ca="1">+$Y1119</f>
        <v>7.401410761154855</v>
      </c>
      <c r="AB1119" s="214">
        <f ca="1">+$X1119</f>
        <v>17.999999999999989</v>
      </c>
      <c r="AC1119" s="214">
        <f ca="1">+$W1119-XOffset</f>
        <v>0</v>
      </c>
    </row>
    <row r="1120" spans="19:29" ht="8.4" customHeight="1">
      <c r="S1120" s="307"/>
      <c r="T1120" s="226">
        <f t="shared" si="66"/>
        <v>1117</v>
      </c>
      <c r="U1120" s="224">
        <f t="shared" si="64"/>
        <v>0</v>
      </c>
      <c r="V1120" s="225">
        <f t="shared" si="65"/>
        <v>1</v>
      </c>
      <c r="W1120" s="236">
        <f ca="1">+$U1120*EWSpacingFt+XOffset+PanArrayWidthHighEndFt-(PanArrayWidthHighEndFt-PanArrayWidthLowEndFt)/2</f>
        <v>10.80282152230971</v>
      </c>
      <c r="X1120" s="240">
        <f ca="1">$V1120*NSSpacingFt+YOffset+0</f>
        <v>17.999999999999989</v>
      </c>
      <c r="Y1120" s="244">
        <f ca="1">+$V1120*NSGradeFt+PedHeight+0</f>
        <v>7.401410761154855</v>
      </c>
      <c r="Z1120" s="214">
        <f ca="1">+$W1120</f>
        <v>10.80282152230971</v>
      </c>
      <c r="AA1120" s="214">
        <f ca="1">+$Y1120</f>
        <v>7.401410761154855</v>
      </c>
      <c r="AB1120" s="214">
        <f ca="1">+$X1120</f>
        <v>17.999999999999989</v>
      </c>
      <c r="AC1120" s="214">
        <f ca="1">+$W1120-XOffset</f>
        <v>10.80282152230971</v>
      </c>
    </row>
    <row r="1121" spans="19:29" ht="8.4" customHeight="1">
      <c r="S1121" s="307"/>
      <c r="T1121" s="226">
        <f t="shared" si="66"/>
        <v>1118</v>
      </c>
      <c r="U1121" s="224">
        <f t="shared" si="64"/>
        <v>0</v>
      </c>
      <c r="V1121" s="225">
        <f t="shared" si="65"/>
        <v>1</v>
      </c>
      <c r="W1121" s="237">
        <f ca="1">$U1121*EWSpacingFt+XOffset+PanArrayWidthHighEndFt</f>
        <v>10.80282152230971</v>
      </c>
      <c r="X1121" s="241">
        <f ca="1">$V1121*NSSpacingFt+YOffset+PanArrayLenFt*COS(RADIANS(Latitude+DecAng))</f>
        <v>34.439632545931751</v>
      </c>
      <c r="Y1121" s="245">
        <f ca="1">+$V1121*NSGradeFt+PedHeight+PanArrayLenFt*SIN(RADIANS(Latitude+DecAng))</f>
        <v>7.401410761154855</v>
      </c>
      <c r="Z1121" s="214">
        <f ca="1">+$W1121</f>
        <v>10.80282152230971</v>
      </c>
      <c r="AA1121" s="214">
        <f ca="1">+$Y1121</f>
        <v>7.401410761154855</v>
      </c>
      <c r="AB1121" s="214">
        <f ca="1">+$X1121</f>
        <v>34.439632545931751</v>
      </c>
      <c r="AC1121" s="214">
        <f ca="1">+$W1121-XOffset</f>
        <v>10.80282152230971</v>
      </c>
    </row>
    <row r="1122" spans="19:29" ht="8.4" customHeight="1">
      <c r="S1122" s="307"/>
      <c r="T1122" s="226">
        <f t="shared" si="66"/>
        <v>1119</v>
      </c>
      <c r="U1122" s="224">
        <f t="shared" si="64"/>
        <v>0</v>
      </c>
      <c r="V1122" s="225">
        <f t="shared" si="65"/>
        <v>1</v>
      </c>
      <c r="W1122" s="238">
        <f ca="1">$U1122*EWSpacingFt+XOffset+0</f>
        <v>0</v>
      </c>
      <c r="X1122" s="242">
        <f ca="1">$V1122*NSSpacingFt+YOffset+PanArrayLenFt*COS(RADIANS(Latitude+DecAng))</f>
        <v>34.439632545931751</v>
      </c>
      <c r="Y1122" s="246">
        <f ca="1">+$V1122*NSGradeFt+PedHeight+PanArrayLenFt*SIN(RADIANS(Latitude+DecAng))</f>
        <v>7.401410761154855</v>
      </c>
      <c r="Z1122" s="214">
        <f ca="1">+$W1122</f>
        <v>0</v>
      </c>
      <c r="AA1122" s="214">
        <f ca="1">+$Y1122</f>
        <v>7.401410761154855</v>
      </c>
      <c r="AB1122" s="214">
        <f ca="1">+$X1122</f>
        <v>34.439632545931751</v>
      </c>
      <c r="AC1122" s="214">
        <f ca="1">+$W1122-XOffset</f>
        <v>0</v>
      </c>
    </row>
    <row r="1123" spans="19:29" ht="8.4" customHeight="1">
      <c r="S1123" s="307"/>
      <c r="T1123" s="226">
        <f t="shared" si="66"/>
        <v>1120</v>
      </c>
      <c r="U1123" s="224">
        <f t="shared" si="64"/>
        <v>0</v>
      </c>
      <c r="V1123" s="225">
        <f t="shared" si="65"/>
        <v>1</v>
      </c>
      <c r="W1123" s="239">
        <f ca="1">$U1123*EWSpacingFt+XOffset+(PanArrayWidthHighEndFt-PanArrayWidthLowEndFt)/2</f>
        <v>0</v>
      </c>
      <c r="X1123" s="243">
        <f ca="1">$V1123*NSSpacingFt+YOffset+0</f>
        <v>17.999999999999989</v>
      </c>
      <c r="Y1123" s="247">
        <f ca="1">+$V1123*NSGradeFt+PedHeight+0</f>
        <v>7.401410761154855</v>
      </c>
      <c r="Z1123" s="214">
        <f ca="1">+$W1123</f>
        <v>0</v>
      </c>
      <c r="AA1123" s="214">
        <f ca="1">+$Y1123</f>
        <v>7.401410761154855</v>
      </c>
      <c r="AB1123" s="214">
        <f ca="1">+$X1123</f>
        <v>17.999999999999989</v>
      </c>
      <c r="AC1123" s="214">
        <f ca="1">+$W1123-XOffset</f>
        <v>0</v>
      </c>
    </row>
    <row r="1124" spans="19:29" ht="8.4" customHeight="1">
      <c r="S1124" s="307"/>
      <c r="T1124" s="226">
        <f t="shared" si="66"/>
        <v>1121</v>
      </c>
      <c r="U1124" s="224">
        <f t="shared" si="64"/>
        <v>0</v>
      </c>
      <c r="V1124" s="225">
        <f t="shared" si="65"/>
        <v>1</v>
      </c>
      <c r="W1124" s="217"/>
      <c r="X1124" s="217"/>
      <c r="Y1124" s="217"/>
      <c r="Z1124" s="214"/>
      <c r="AA1124" s="214"/>
      <c r="AB1124" s="214"/>
      <c r="AC1124" s="214"/>
    </row>
    <row r="1125" spans="19:29" ht="8.4" customHeight="1">
      <c r="S1125" s="307">
        <f>INT((T1125-0)/6)+1</f>
        <v>188</v>
      </c>
      <c r="T1125" s="226">
        <f t="shared" si="66"/>
        <v>1122</v>
      </c>
      <c r="U1125" s="224">
        <f t="shared" si="64"/>
        <v>1</v>
      </c>
      <c r="V1125" s="225">
        <f t="shared" si="65"/>
        <v>1</v>
      </c>
      <c r="W1125" s="233">
        <f ca="1">$U1125*EWSpacingFt+XOffset+(PanArrayWidthHighEndFt-PanArrayWidthLowEndFt)/2</f>
        <v>30.000006832286932</v>
      </c>
      <c r="X1125" s="234">
        <f ca="1">$V1125*NSSpacingFt+YOffset+0</f>
        <v>17.999999999999989</v>
      </c>
      <c r="Y1125" s="235">
        <f ca="1">+$V1125*NSGradeFt+PedHeight+0</f>
        <v>7.401410761154855</v>
      </c>
      <c r="Z1125" s="214">
        <f ca="1">+$W1125</f>
        <v>30.000006832286932</v>
      </c>
      <c r="AA1125" s="214">
        <f ca="1">+$Y1125</f>
        <v>7.401410761154855</v>
      </c>
      <c r="AB1125" s="214">
        <f ca="1">+$X1125</f>
        <v>17.999999999999989</v>
      </c>
      <c r="AC1125" s="214">
        <f ca="1">+$W1125-XOffset</f>
        <v>30.000006832286932</v>
      </c>
    </row>
    <row r="1126" spans="19:29" ht="8.4" customHeight="1">
      <c r="S1126" s="307"/>
      <c r="T1126" s="226">
        <f t="shared" si="66"/>
        <v>1123</v>
      </c>
      <c r="U1126" s="224">
        <f t="shared" si="64"/>
        <v>1</v>
      </c>
      <c r="V1126" s="225">
        <f t="shared" si="65"/>
        <v>1</v>
      </c>
      <c r="W1126" s="236">
        <f ca="1">+$U1126*EWSpacingFt+XOffset+PanArrayWidthHighEndFt-(PanArrayWidthHighEndFt-PanArrayWidthLowEndFt)/2</f>
        <v>40.802828354596642</v>
      </c>
      <c r="X1126" s="240">
        <f ca="1">$V1126*NSSpacingFt+YOffset+0</f>
        <v>17.999999999999989</v>
      </c>
      <c r="Y1126" s="244">
        <f ca="1">+$V1126*NSGradeFt+PedHeight+0</f>
        <v>7.401410761154855</v>
      </c>
      <c r="Z1126" s="214">
        <f ca="1">+$W1126</f>
        <v>40.802828354596642</v>
      </c>
      <c r="AA1126" s="214">
        <f ca="1">+$Y1126</f>
        <v>7.401410761154855</v>
      </c>
      <c r="AB1126" s="214">
        <f ca="1">+$X1126</f>
        <v>17.999999999999989</v>
      </c>
      <c r="AC1126" s="214">
        <f ca="1">+$W1126-XOffset</f>
        <v>40.802828354596642</v>
      </c>
    </row>
    <row r="1127" spans="19:29" ht="8.4" customHeight="1">
      <c r="S1127" s="307"/>
      <c r="T1127" s="226">
        <f t="shared" si="66"/>
        <v>1124</v>
      </c>
      <c r="U1127" s="224">
        <f t="shared" si="64"/>
        <v>1</v>
      </c>
      <c r="V1127" s="225">
        <f t="shared" si="65"/>
        <v>1</v>
      </c>
      <c r="W1127" s="237">
        <f ca="1">$U1127*EWSpacingFt+XOffset+PanArrayWidthHighEndFt</f>
        <v>40.802828354596642</v>
      </c>
      <c r="X1127" s="241">
        <f ca="1">$V1127*NSSpacingFt+YOffset+PanArrayLenFt*COS(RADIANS(Latitude+DecAng))</f>
        <v>34.439632545931751</v>
      </c>
      <c r="Y1127" s="245">
        <f ca="1">+$V1127*NSGradeFt+PedHeight+PanArrayLenFt*SIN(RADIANS(Latitude+DecAng))</f>
        <v>7.401410761154855</v>
      </c>
      <c r="Z1127" s="214">
        <f ca="1">+$W1127</f>
        <v>40.802828354596642</v>
      </c>
      <c r="AA1127" s="214">
        <f ca="1">+$Y1127</f>
        <v>7.401410761154855</v>
      </c>
      <c r="AB1127" s="214">
        <f ca="1">+$X1127</f>
        <v>34.439632545931751</v>
      </c>
      <c r="AC1127" s="214">
        <f ca="1">+$W1127-XOffset</f>
        <v>40.802828354596642</v>
      </c>
    </row>
    <row r="1128" spans="19:29" ht="8.4" customHeight="1">
      <c r="S1128" s="307"/>
      <c r="T1128" s="226">
        <f t="shared" si="66"/>
        <v>1125</v>
      </c>
      <c r="U1128" s="224">
        <f t="shared" si="64"/>
        <v>1</v>
      </c>
      <c r="V1128" s="225">
        <f t="shared" si="65"/>
        <v>1</v>
      </c>
      <c r="W1128" s="238">
        <f ca="1">$U1128*EWSpacingFt+XOffset+0</f>
        <v>30.000006832286932</v>
      </c>
      <c r="X1128" s="242">
        <f ca="1">$V1128*NSSpacingFt+YOffset+PanArrayLenFt*COS(RADIANS(Latitude+DecAng))</f>
        <v>34.439632545931751</v>
      </c>
      <c r="Y1128" s="246">
        <f ca="1">+$V1128*NSGradeFt+PedHeight+PanArrayLenFt*SIN(RADIANS(Latitude+DecAng))</f>
        <v>7.401410761154855</v>
      </c>
      <c r="Z1128" s="214">
        <f ca="1">+$W1128</f>
        <v>30.000006832286932</v>
      </c>
      <c r="AA1128" s="214">
        <f ca="1">+$Y1128</f>
        <v>7.401410761154855</v>
      </c>
      <c r="AB1128" s="214">
        <f ca="1">+$X1128</f>
        <v>34.439632545931751</v>
      </c>
      <c r="AC1128" s="214">
        <f ca="1">+$W1128-XOffset</f>
        <v>30.000006832286932</v>
      </c>
    </row>
    <row r="1129" spans="19:29" ht="8.4" customHeight="1">
      <c r="S1129" s="307"/>
      <c r="T1129" s="226">
        <f t="shared" si="66"/>
        <v>1126</v>
      </c>
      <c r="U1129" s="224">
        <f t="shared" si="64"/>
        <v>1</v>
      </c>
      <c r="V1129" s="225">
        <f t="shared" si="65"/>
        <v>1</v>
      </c>
      <c r="W1129" s="239">
        <f ca="1">$U1129*EWSpacingFt+XOffset+(PanArrayWidthHighEndFt-PanArrayWidthLowEndFt)/2</f>
        <v>30.000006832286932</v>
      </c>
      <c r="X1129" s="243">
        <f ca="1">$V1129*NSSpacingFt+YOffset+0</f>
        <v>17.999999999999989</v>
      </c>
      <c r="Y1129" s="247">
        <f ca="1">+$V1129*NSGradeFt+PedHeight+0</f>
        <v>7.401410761154855</v>
      </c>
      <c r="Z1129" s="214">
        <f ca="1">+$W1129</f>
        <v>30.000006832286932</v>
      </c>
      <c r="AA1129" s="214">
        <f ca="1">+$Y1129</f>
        <v>7.401410761154855</v>
      </c>
      <c r="AB1129" s="214">
        <f ca="1">+$X1129</f>
        <v>17.999999999999989</v>
      </c>
      <c r="AC1129" s="214">
        <f ca="1">+$W1129-XOffset</f>
        <v>30.000006832286932</v>
      </c>
    </row>
    <row r="1130" spans="19:29" ht="8.4" customHeight="1">
      <c r="S1130" s="307"/>
      <c r="T1130" s="226">
        <f t="shared" si="66"/>
        <v>1127</v>
      </c>
      <c r="U1130" s="224">
        <f t="shared" si="64"/>
        <v>1</v>
      </c>
      <c r="V1130" s="225">
        <f t="shared" si="65"/>
        <v>1</v>
      </c>
      <c r="W1130" s="217"/>
      <c r="X1130" s="217"/>
      <c r="Y1130" s="217"/>
      <c r="Z1130" s="214"/>
      <c r="AA1130" s="214"/>
      <c r="AB1130" s="214"/>
      <c r="AC1130" s="214"/>
    </row>
    <row r="1131" spans="19:29" ht="8.4" customHeight="1">
      <c r="S1131" s="307">
        <f>INT((T1131-0)/6)+1</f>
        <v>189</v>
      </c>
      <c r="T1131" s="226">
        <f t="shared" si="66"/>
        <v>1128</v>
      </c>
      <c r="U1131" s="224">
        <f t="shared" si="64"/>
        <v>0</v>
      </c>
      <c r="V1131" s="225">
        <f t="shared" si="65"/>
        <v>2</v>
      </c>
      <c r="W1131" s="233">
        <f ca="1">$U1131*EWSpacingFt+XOffset+(PanArrayWidthHighEndFt-PanArrayWidthLowEndFt)/2</f>
        <v>0</v>
      </c>
      <c r="X1131" s="234">
        <f ca="1">$V1131*NSSpacingFt+YOffset+0</f>
        <v>35.999999999999979</v>
      </c>
      <c r="Y1131" s="235">
        <f ca="1">+$V1131*NSGradeFt+PedHeight+0</f>
        <v>7.401410761154855</v>
      </c>
      <c r="Z1131" s="214">
        <f ca="1">+$W1131</f>
        <v>0</v>
      </c>
      <c r="AA1131" s="214">
        <f ca="1">+$Y1131</f>
        <v>7.401410761154855</v>
      </c>
      <c r="AB1131" s="214">
        <f ca="1">+$X1131</f>
        <v>35.999999999999979</v>
      </c>
      <c r="AC1131" s="214">
        <f ca="1">+$W1131-XOffset</f>
        <v>0</v>
      </c>
    </row>
    <row r="1132" spans="19:29" ht="8.4" customHeight="1">
      <c r="S1132" s="307"/>
      <c r="T1132" s="226">
        <f t="shared" si="66"/>
        <v>1129</v>
      </c>
      <c r="U1132" s="224">
        <f t="shared" si="64"/>
        <v>0</v>
      </c>
      <c r="V1132" s="225">
        <f t="shared" si="65"/>
        <v>2</v>
      </c>
      <c r="W1132" s="236">
        <f ca="1">+$U1132*EWSpacingFt+XOffset+PanArrayWidthHighEndFt-(PanArrayWidthHighEndFt-PanArrayWidthLowEndFt)/2</f>
        <v>10.80282152230971</v>
      </c>
      <c r="X1132" s="240">
        <f ca="1">$V1132*NSSpacingFt+YOffset+0</f>
        <v>35.999999999999979</v>
      </c>
      <c r="Y1132" s="244">
        <f ca="1">+$V1132*NSGradeFt+PedHeight+0</f>
        <v>7.401410761154855</v>
      </c>
      <c r="Z1132" s="214">
        <f ca="1">+$W1132</f>
        <v>10.80282152230971</v>
      </c>
      <c r="AA1132" s="214">
        <f ca="1">+$Y1132</f>
        <v>7.401410761154855</v>
      </c>
      <c r="AB1132" s="214">
        <f ca="1">+$X1132</f>
        <v>35.999999999999979</v>
      </c>
      <c r="AC1132" s="214">
        <f ca="1">+$W1132-XOffset</f>
        <v>10.80282152230971</v>
      </c>
    </row>
    <row r="1133" spans="19:29" ht="8.4" customHeight="1">
      <c r="S1133" s="307"/>
      <c r="T1133" s="226">
        <f t="shared" si="66"/>
        <v>1130</v>
      </c>
      <c r="U1133" s="224">
        <f t="shared" si="64"/>
        <v>0</v>
      </c>
      <c r="V1133" s="225">
        <f t="shared" si="65"/>
        <v>2</v>
      </c>
      <c r="W1133" s="237">
        <f ca="1">$U1133*EWSpacingFt+XOffset+PanArrayWidthHighEndFt</f>
        <v>10.80282152230971</v>
      </c>
      <c r="X1133" s="241">
        <f ca="1">$V1133*NSSpacingFt+YOffset+PanArrayLenFt*COS(RADIANS(Latitude+DecAng))</f>
        <v>52.439632545931744</v>
      </c>
      <c r="Y1133" s="245">
        <f ca="1">+$V1133*NSGradeFt+PedHeight+PanArrayLenFt*SIN(RADIANS(Latitude+DecAng))</f>
        <v>7.401410761154855</v>
      </c>
      <c r="Z1133" s="214">
        <f ca="1">+$W1133</f>
        <v>10.80282152230971</v>
      </c>
      <c r="AA1133" s="214">
        <f ca="1">+$Y1133</f>
        <v>7.401410761154855</v>
      </c>
      <c r="AB1133" s="214">
        <f ca="1">+$X1133</f>
        <v>52.439632545931744</v>
      </c>
      <c r="AC1133" s="214">
        <f ca="1">+$W1133-XOffset</f>
        <v>10.80282152230971</v>
      </c>
    </row>
    <row r="1134" spans="19:29" ht="8.4" customHeight="1">
      <c r="S1134" s="307"/>
      <c r="T1134" s="226">
        <f t="shared" si="66"/>
        <v>1131</v>
      </c>
      <c r="U1134" s="224">
        <f t="shared" si="64"/>
        <v>0</v>
      </c>
      <c r="V1134" s="225">
        <f t="shared" si="65"/>
        <v>2</v>
      </c>
      <c r="W1134" s="238">
        <f ca="1">$U1134*EWSpacingFt+XOffset+0</f>
        <v>0</v>
      </c>
      <c r="X1134" s="242">
        <f ca="1">$V1134*NSSpacingFt+YOffset+PanArrayLenFt*COS(RADIANS(Latitude+DecAng))</f>
        <v>52.439632545931744</v>
      </c>
      <c r="Y1134" s="246">
        <f ca="1">+$V1134*NSGradeFt+PedHeight+PanArrayLenFt*SIN(RADIANS(Latitude+DecAng))</f>
        <v>7.401410761154855</v>
      </c>
      <c r="Z1134" s="214">
        <f ca="1">+$W1134</f>
        <v>0</v>
      </c>
      <c r="AA1134" s="214">
        <f ca="1">+$Y1134</f>
        <v>7.401410761154855</v>
      </c>
      <c r="AB1134" s="214">
        <f ca="1">+$X1134</f>
        <v>52.439632545931744</v>
      </c>
      <c r="AC1134" s="214">
        <f ca="1">+$W1134-XOffset</f>
        <v>0</v>
      </c>
    </row>
    <row r="1135" spans="19:29" ht="8.4" customHeight="1">
      <c r="S1135" s="307"/>
      <c r="T1135" s="226">
        <f t="shared" si="66"/>
        <v>1132</v>
      </c>
      <c r="U1135" s="224">
        <f t="shared" si="64"/>
        <v>0</v>
      </c>
      <c r="V1135" s="225">
        <f t="shared" si="65"/>
        <v>2</v>
      </c>
      <c r="W1135" s="239">
        <f ca="1">$U1135*EWSpacingFt+XOffset+(PanArrayWidthHighEndFt-PanArrayWidthLowEndFt)/2</f>
        <v>0</v>
      </c>
      <c r="X1135" s="243">
        <f ca="1">$V1135*NSSpacingFt+YOffset+0</f>
        <v>35.999999999999979</v>
      </c>
      <c r="Y1135" s="247">
        <f ca="1">+$V1135*NSGradeFt+PedHeight+0</f>
        <v>7.401410761154855</v>
      </c>
      <c r="Z1135" s="214">
        <f ca="1">+$W1135</f>
        <v>0</v>
      </c>
      <c r="AA1135" s="214">
        <f ca="1">+$Y1135</f>
        <v>7.401410761154855</v>
      </c>
      <c r="AB1135" s="214">
        <f ca="1">+$X1135</f>
        <v>35.999999999999979</v>
      </c>
      <c r="AC1135" s="214">
        <f ca="1">+$W1135-XOffset</f>
        <v>0</v>
      </c>
    </row>
    <row r="1136" spans="19:29" ht="8.4" customHeight="1">
      <c r="S1136" s="307"/>
      <c r="T1136" s="226">
        <f t="shared" si="66"/>
        <v>1133</v>
      </c>
      <c r="U1136" s="224">
        <f t="shared" si="64"/>
        <v>0</v>
      </c>
      <c r="V1136" s="225">
        <f t="shared" si="65"/>
        <v>2</v>
      </c>
      <c r="W1136" s="217"/>
      <c r="X1136" s="217"/>
      <c r="Y1136" s="217"/>
      <c r="Z1136" s="214"/>
      <c r="AA1136" s="214"/>
      <c r="AB1136" s="214"/>
      <c r="AC1136" s="214"/>
    </row>
    <row r="1137" spans="19:29" ht="8.4" customHeight="1">
      <c r="S1137" s="307">
        <f>INT((T1137-0)/6)+1</f>
        <v>190</v>
      </c>
      <c r="T1137" s="226">
        <f t="shared" si="66"/>
        <v>1134</v>
      </c>
      <c r="U1137" s="224">
        <f t="shared" si="64"/>
        <v>1</v>
      </c>
      <c r="V1137" s="225">
        <f t="shared" si="65"/>
        <v>2</v>
      </c>
      <c r="W1137" s="233">
        <f ca="1">$U1137*EWSpacingFt+XOffset+(PanArrayWidthHighEndFt-PanArrayWidthLowEndFt)/2</f>
        <v>30.000006832286932</v>
      </c>
      <c r="X1137" s="234">
        <f ca="1">$V1137*NSSpacingFt+YOffset+0</f>
        <v>35.999999999999979</v>
      </c>
      <c r="Y1137" s="235">
        <f ca="1">+$V1137*NSGradeFt+PedHeight+0</f>
        <v>7.401410761154855</v>
      </c>
      <c r="Z1137" s="214">
        <f ca="1">+$W1137</f>
        <v>30.000006832286932</v>
      </c>
      <c r="AA1137" s="214">
        <f ca="1">+$Y1137</f>
        <v>7.401410761154855</v>
      </c>
      <c r="AB1137" s="214">
        <f ca="1">+$X1137</f>
        <v>35.999999999999979</v>
      </c>
      <c r="AC1137" s="214">
        <f ca="1">+$W1137-XOffset</f>
        <v>30.000006832286932</v>
      </c>
    </row>
    <row r="1138" spans="19:29" ht="8.4" customHeight="1">
      <c r="S1138" s="307"/>
      <c r="T1138" s="226">
        <f t="shared" si="66"/>
        <v>1135</v>
      </c>
      <c r="U1138" s="224">
        <f t="shared" si="64"/>
        <v>1</v>
      </c>
      <c r="V1138" s="225">
        <f t="shared" si="65"/>
        <v>2</v>
      </c>
      <c r="W1138" s="236">
        <f ca="1">+$U1138*EWSpacingFt+XOffset+PanArrayWidthHighEndFt-(PanArrayWidthHighEndFt-PanArrayWidthLowEndFt)/2</f>
        <v>40.802828354596642</v>
      </c>
      <c r="X1138" s="240">
        <f ca="1">$V1138*NSSpacingFt+YOffset+0</f>
        <v>35.999999999999979</v>
      </c>
      <c r="Y1138" s="244">
        <f ca="1">+$V1138*NSGradeFt+PedHeight+0</f>
        <v>7.401410761154855</v>
      </c>
      <c r="Z1138" s="214">
        <f ca="1">+$W1138</f>
        <v>40.802828354596642</v>
      </c>
      <c r="AA1138" s="214">
        <f ca="1">+$Y1138</f>
        <v>7.401410761154855</v>
      </c>
      <c r="AB1138" s="214">
        <f ca="1">+$X1138</f>
        <v>35.999999999999979</v>
      </c>
      <c r="AC1138" s="214">
        <f ca="1">+$W1138-XOffset</f>
        <v>40.802828354596642</v>
      </c>
    </row>
    <row r="1139" spans="19:29" ht="8.4" customHeight="1">
      <c r="S1139" s="307"/>
      <c r="T1139" s="226">
        <f t="shared" si="66"/>
        <v>1136</v>
      </c>
      <c r="U1139" s="224">
        <f t="shared" si="64"/>
        <v>1</v>
      </c>
      <c r="V1139" s="225">
        <f t="shared" si="65"/>
        <v>2</v>
      </c>
      <c r="W1139" s="237">
        <f ca="1">$U1139*EWSpacingFt+XOffset+PanArrayWidthHighEndFt</f>
        <v>40.802828354596642</v>
      </c>
      <c r="X1139" s="241">
        <f ca="1">$V1139*NSSpacingFt+YOffset+PanArrayLenFt*COS(RADIANS(Latitude+DecAng))</f>
        <v>52.439632545931744</v>
      </c>
      <c r="Y1139" s="245">
        <f ca="1">+$V1139*NSGradeFt+PedHeight+PanArrayLenFt*SIN(RADIANS(Latitude+DecAng))</f>
        <v>7.401410761154855</v>
      </c>
      <c r="Z1139" s="214">
        <f ca="1">+$W1139</f>
        <v>40.802828354596642</v>
      </c>
      <c r="AA1139" s="214">
        <f ca="1">+$Y1139</f>
        <v>7.401410761154855</v>
      </c>
      <c r="AB1139" s="214">
        <f ca="1">+$X1139</f>
        <v>52.439632545931744</v>
      </c>
      <c r="AC1139" s="214">
        <f ca="1">+$W1139-XOffset</f>
        <v>40.802828354596642</v>
      </c>
    </row>
    <row r="1140" spans="19:29" ht="8.4" customHeight="1">
      <c r="S1140" s="307"/>
      <c r="T1140" s="226">
        <f t="shared" si="66"/>
        <v>1137</v>
      </c>
      <c r="U1140" s="224">
        <f t="shared" si="64"/>
        <v>1</v>
      </c>
      <c r="V1140" s="225">
        <f t="shared" si="65"/>
        <v>2</v>
      </c>
      <c r="W1140" s="238">
        <f ca="1">$U1140*EWSpacingFt+XOffset+0</f>
        <v>30.000006832286932</v>
      </c>
      <c r="X1140" s="242">
        <f ca="1">$V1140*NSSpacingFt+YOffset+PanArrayLenFt*COS(RADIANS(Latitude+DecAng))</f>
        <v>52.439632545931744</v>
      </c>
      <c r="Y1140" s="246">
        <f ca="1">+$V1140*NSGradeFt+PedHeight+PanArrayLenFt*SIN(RADIANS(Latitude+DecAng))</f>
        <v>7.401410761154855</v>
      </c>
      <c r="Z1140" s="214">
        <f ca="1">+$W1140</f>
        <v>30.000006832286932</v>
      </c>
      <c r="AA1140" s="214">
        <f ca="1">+$Y1140</f>
        <v>7.401410761154855</v>
      </c>
      <c r="AB1140" s="214">
        <f ca="1">+$X1140</f>
        <v>52.439632545931744</v>
      </c>
      <c r="AC1140" s="214">
        <f ca="1">+$W1140-XOffset</f>
        <v>30.000006832286932</v>
      </c>
    </row>
    <row r="1141" spans="19:29" ht="8.4" customHeight="1">
      <c r="S1141" s="307"/>
      <c r="T1141" s="226">
        <f t="shared" si="66"/>
        <v>1138</v>
      </c>
      <c r="U1141" s="224">
        <f t="shared" si="64"/>
        <v>1</v>
      </c>
      <c r="V1141" s="225">
        <f t="shared" si="65"/>
        <v>2</v>
      </c>
      <c r="W1141" s="239">
        <f ca="1">$U1141*EWSpacingFt+XOffset+(PanArrayWidthHighEndFt-PanArrayWidthLowEndFt)/2</f>
        <v>30.000006832286932</v>
      </c>
      <c r="X1141" s="243">
        <f ca="1">$V1141*NSSpacingFt+YOffset+0</f>
        <v>35.999999999999979</v>
      </c>
      <c r="Y1141" s="247">
        <f ca="1">+$V1141*NSGradeFt+PedHeight+0</f>
        <v>7.401410761154855</v>
      </c>
      <c r="Z1141" s="214">
        <f ca="1">+$W1141</f>
        <v>30.000006832286932</v>
      </c>
      <c r="AA1141" s="214">
        <f ca="1">+$Y1141</f>
        <v>7.401410761154855</v>
      </c>
      <c r="AB1141" s="214">
        <f ca="1">+$X1141</f>
        <v>35.999999999999979</v>
      </c>
      <c r="AC1141" s="214">
        <f ca="1">+$W1141-XOffset</f>
        <v>30.000006832286932</v>
      </c>
    </row>
    <row r="1142" spans="19:29" ht="8.4" customHeight="1">
      <c r="S1142" s="307"/>
      <c r="T1142" s="226">
        <f t="shared" si="66"/>
        <v>1139</v>
      </c>
      <c r="U1142" s="224">
        <f t="shared" si="64"/>
        <v>1</v>
      </c>
      <c r="V1142" s="225">
        <f t="shared" si="65"/>
        <v>2</v>
      </c>
      <c r="W1142" s="217"/>
      <c r="X1142" s="217"/>
      <c r="Y1142" s="217"/>
      <c r="Z1142" s="214"/>
      <c r="AA1142" s="214"/>
      <c r="AB1142" s="214"/>
      <c r="AC1142" s="214"/>
    </row>
    <row r="1143" spans="19:29" ht="8.4" customHeight="1">
      <c r="S1143" s="307">
        <f>INT((T1143-0)/6)+1</f>
        <v>191</v>
      </c>
      <c r="T1143" s="226">
        <f t="shared" si="66"/>
        <v>1140</v>
      </c>
      <c r="U1143" s="224">
        <f t="shared" si="64"/>
        <v>0</v>
      </c>
      <c r="V1143" s="225">
        <f t="shared" si="65"/>
        <v>3</v>
      </c>
      <c r="W1143" s="233">
        <f ca="1">$U1143*EWSpacingFt+XOffset+(PanArrayWidthHighEndFt-PanArrayWidthLowEndFt)/2</f>
        <v>0</v>
      </c>
      <c r="X1143" s="234">
        <f ca="1">$V1143*NSSpacingFt+YOffset+0</f>
        <v>53.999999999999972</v>
      </c>
      <c r="Y1143" s="235">
        <f ca="1">+$V1143*NSGradeFt+PedHeight+0</f>
        <v>7.401410761154855</v>
      </c>
      <c r="Z1143" s="214">
        <f ca="1">+$W1143</f>
        <v>0</v>
      </c>
      <c r="AA1143" s="214">
        <f ca="1">+$Y1143</f>
        <v>7.401410761154855</v>
      </c>
      <c r="AB1143" s="214">
        <f ca="1">+$X1143</f>
        <v>53.999999999999972</v>
      </c>
      <c r="AC1143" s="214">
        <f ca="1">+$W1143-XOffset</f>
        <v>0</v>
      </c>
    </row>
    <row r="1144" spans="19:29" ht="8.4" customHeight="1">
      <c r="S1144" s="307"/>
      <c r="T1144" s="226">
        <f t="shared" si="66"/>
        <v>1141</v>
      </c>
      <c r="U1144" s="224">
        <f t="shared" si="64"/>
        <v>0</v>
      </c>
      <c r="V1144" s="225">
        <f t="shared" si="65"/>
        <v>3</v>
      </c>
      <c r="W1144" s="236">
        <f ca="1">+$U1144*EWSpacingFt+XOffset+PanArrayWidthHighEndFt-(PanArrayWidthHighEndFt-PanArrayWidthLowEndFt)/2</f>
        <v>10.80282152230971</v>
      </c>
      <c r="X1144" s="240">
        <f ca="1">$V1144*NSSpacingFt+YOffset+0</f>
        <v>53.999999999999972</v>
      </c>
      <c r="Y1144" s="244">
        <f ca="1">+$V1144*NSGradeFt+PedHeight+0</f>
        <v>7.401410761154855</v>
      </c>
      <c r="Z1144" s="214">
        <f ca="1">+$W1144</f>
        <v>10.80282152230971</v>
      </c>
      <c r="AA1144" s="214">
        <f ca="1">+$Y1144</f>
        <v>7.401410761154855</v>
      </c>
      <c r="AB1144" s="214">
        <f ca="1">+$X1144</f>
        <v>53.999999999999972</v>
      </c>
      <c r="AC1144" s="214">
        <f ca="1">+$W1144-XOffset</f>
        <v>10.80282152230971</v>
      </c>
    </row>
    <row r="1145" spans="19:29" ht="8.4" customHeight="1">
      <c r="S1145" s="307"/>
      <c r="T1145" s="226">
        <f t="shared" si="66"/>
        <v>1142</v>
      </c>
      <c r="U1145" s="224">
        <f t="shared" si="64"/>
        <v>0</v>
      </c>
      <c r="V1145" s="225">
        <f t="shared" si="65"/>
        <v>3</v>
      </c>
      <c r="W1145" s="237">
        <f ca="1">$U1145*EWSpacingFt+XOffset+PanArrayWidthHighEndFt</f>
        <v>10.80282152230971</v>
      </c>
      <c r="X1145" s="241">
        <f ca="1">$V1145*NSSpacingFt+YOffset+PanArrayLenFt*COS(RADIANS(Latitude+DecAng))</f>
        <v>70.43963254593173</v>
      </c>
      <c r="Y1145" s="245">
        <f ca="1">+$V1145*NSGradeFt+PedHeight+PanArrayLenFt*SIN(RADIANS(Latitude+DecAng))</f>
        <v>7.401410761154855</v>
      </c>
      <c r="Z1145" s="214">
        <f ca="1">+$W1145</f>
        <v>10.80282152230971</v>
      </c>
      <c r="AA1145" s="214">
        <f ca="1">+$Y1145</f>
        <v>7.401410761154855</v>
      </c>
      <c r="AB1145" s="214">
        <f ca="1">+$X1145</f>
        <v>70.43963254593173</v>
      </c>
      <c r="AC1145" s="214">
        <f ca="1">+$W1145-XOffset</f>
        <v>10.80282152230971</v>
      </c>
    </row>
    <row r="1146" spans="19:29" ht="8.4" customHeight="1">
      <c r="S1146" s="307"/>
      <c r="T1146" s="226">
        <f t="shared" si="66"/>
        <v>1143</v>
      </c>
      <c r="U1146" s="224">
        <f t="shared" si="64"/>
        <v>0</v>
      </c>
      <c r="V1146" s="225">
        <f t="shared" si="65"/>
        <v>3</v>
      </c>
      <c r="W1146" s="238">
        <f ca="1">$U1146*EWSpacingFt+XOffset+0</f>
        <v>0</v>
      </c>
      <c r="X1146" s="242">
        <f ca="1">$V1146*NSSpacingFt+YOffset+PanArrayLenFt*COS(RADIANS(Latitude+DecAng))</f>
        <v>70.43963254593173</v>
      </c>
      <c r="Y1146" s="246">
        <f ca="1">+$V1146*NSGradeFt+PedHeight+PanArrayLenFt*SIN(RADIANS(Latitude+DecAng))</f>
        <v>7.401410761154855</v>
      </c>
      <c r="Z1146" s="214">
        <f ca="1">+$W1146</f>
        <v>0</v>
      </c>
      <c r="AA1146" s="214">
        <f ca="1">+$Y1146</f>
        <v>7.401410761154855</v>
      </c>
      <c r="AB1146" s="214">
        <f ca="1">+$X1146</f>
        <v>70.43963254593173</v>
      </c>
      <c r="AC1146" s="214">
        <f ca="1">+$W1146-XOffset</f>
        <v>0</v>
      </c>
    </row>
    <row r="1147" spans="19:29" ht="8.4" customHeight="1">
      <c r="S1147" s="307"/>
      <c r="T1147" s="226">
        <f t="shared" si="66"/>
        <v>1144</v>
      </c>
      <c r="U1147" s="224">
        <f t="shared" si="64"/>
        <v>0</v>
      </c>
      <c r="V1147" s="225">
        <f t="shared" si="65"/>
        <v>3</v>
      </c>
      <c r="W1147" s="239">
        <f ca="1">$U1147*EWSpacingFt+XOffset+(PanArrayWidthHighEndFt-PanArrayWidthLowEndFt)/2</f>
        <v>0</v>
      </c>
      <c r="X1147" s="243">
        <f ca="1">$V1147*NSSpacingFt+YOffset+0</f>
        <v>53.999999999999972</v>
      </c>
      <c r="Y1147" s="247">
        <f ca="1">+$V1147*NSGradeFt+PedHeight+0</f>
        <v>7.401410761154855</v>
      </c>
      <c r="Z1147" s="214">
        <f ca="1">+$W1147</f>
        <v>0</v>
      </c>
      <c r="AA1147" s="214">
        <f ca="1">+$Y1147</f>
        <v>7.401410761154855</v>
      </c>
      <c r="AB1147" s="214">
        <f ca="1">+$X1147</f>
        <v>53.999999999999972</v>
      </c>
      <c r="AC1147" s="214">
        <f ca="1">+$W1147-XOffset</f>
        <v>0</v>
      </c>
    </row>
    <row r="1148" spans="19:29" ht="8.4" customHeight="1">
      <c r="S1148" s="307"/>
      <c r="T1148" s="226">
        <f t="shared" si="66"/>
        <v>1145</v>
      </c>
      <c r="U1148" s="224">
        <f t="shared" si="64"/>
        <v>0</v>
      </c>
      <c r="V1148" s="225">
        <f t="shared" si="65"/>
        <v>3</v>
      </c>
      <c r="W1148" s="217"/>
      <c r="X1148" s="217"/>
      <c r="Y1148" s="217"/>
      <c r="Z1148" s="214"/>
      <c r="AA1148" s="214"/>
      <c r="AB1148" s="214"/>
      <c r="AC1148" s="214"/>
    </row>
    <row r="1149" spans="19:29" ht="8.4" customHeight="1">
      <c r="S1149" s="307">
        <f>INT((T1149-0)/6)+1</f>
        <v>192</v>
      </c>
      <c r="T1149" s="226">
        <f t="shared" si="66"/>
        <v>1146</v>
      </c>
      <c r="U1149" s="224">
        <f t="shared" si="64"/>
        <v>1</v>
      </c>
      <c r="V1149" s="225">
        <f t="shared" si="65"/>
        <v>3</v>
      </c>
      <c r="W1149" s="233">
        <f ca="1">$U1149*EWSpacingFt+XOffset+(PanArrayWidthHighEndFt-PanArrayWidthLowEndFt)/2</f>
        <v>30.000006832286932</v>
      </c>
      <c r="X1149" s="234">
        <f ca="1">$V1149*NSSpacingFt+YOffset+0</f>
        <v>53.999999999999972</v>
      </c>
      <c r="Y1149" s="235">
        <f ca="1">+$V1149*NSGradeFt+PedHeight+0</f>
        <v>7.401410761154855</v>
      </c>
      <c r="Z1149" s="214">
        <f ca="1">+$W1149</f>
        <v>30.000006832286932</v>
      </c>
      <c r="AA1149" s="214">
        <f ca="1">+$Y1149</f>
        <v>7.401410761154855</v>
      </c>
      <c r="AB1149" s="214">
        <f ca="1">+$X1149</f>
        <v>53.999999999999972</v>
      </c>
      <c r="AC1149" s="214">
        <f ca="1">+$W1149-XOffset</f>
        <v>30.000006832286932</v>
      </c>
    </row>
    <row r="1150" spans="19:29" ht="8.4" customHeight="1">
      <c r="S1150" s="307"/>
      <c r="T1150" s="226">
        <f t="shared" si="66"/>
        <v>1147</v>
      </c>
      <c r="U1150" s="224">
        <f t="shared" si="64"/>
        <v>1</v>
      </c>
      <c r="V1150" s="225">
        <f t="shared" si="65"/>
        <v>3</v>
      </c>
      <c r="W1150" s="236">
        <f ca="1">+$U1150*EWSpacingFt+XOffset+PanArrayWidthHighEndFt-(PanArrayWidthHighEndFt-PanArrayWidthLowEndFt)/2</f>
        <v>40.802828354596642</v>
      </c>
      <c r="X1150" s="240">
        <f ca="1">$V1150*NSSpacingFt+YOffset+0</f>
        <v>53.999999999999972</v>
      </c>
      <c r="Y1150" s="244">
        <f ca="1">+$V1150*NSGradeFt+PedHeight+0</f>
        <v>7.401410761154855</v>
      </c>
      <c r="Z1150" s="214">
        <f ca="1">+$W1150</f>
        <v>40.802828354596642</v>
      </c>
      <c r="AA1150" s="214">
        <f ca="1">+$Y1150</f>
        <v>7.401410761154855</v>
      </c>
      <c r="AB1150" s="214">
        <f ca="1">+$X1150</f>
        <v>53.999999999999972</v>
      </c>
      <c r="AC1150" s="214">
        <f ca="1">+$W1150-XOffset</f>
        <v>40.802828354596642</v>
      </c>
    </row>
    <row r="1151" spans="19:29" ht="8.4" customHeight="1">
      <c r="S1151" s="307"/>
      <c r="T1151" s="226">
        <f t="shared" si="66"/>
        <v>1148</v>
      </c>
      <c r="U1151" s="224">
        <f t="shared" si="64"/>
        <v>1</v>
      </c>
      <c r="V1151" s="225">
        <f t="shared" si="65"/>
        <v>3</v>
      </c>
      <c r="W1151" s="237">
        <f ca="1">$U1151*EWSpacingFt+XOffset+PanArrayWidthHighEndFt</f>
        <v>40.802828354596642</v>
      </c>
      <c r="X1151" s="241">
        <f ca="1">$V1151*NSSpacingFt+YOffset+PanArrayLenFt*COS(RADIANS(Latitude+DecAng))</f>
        <v>70.43963254593173</v>
      </c>
      <c r="Y1151" s="245">
        <f ca="1">+$V1151*NSGradeFt+PedHeight+PanArrayLenFt*SIN(RADIANS(Latitude+DecAng))</f>
        <v>7.401410761154855</v>
      </c>
      <c r="Z1151" s="214">
        <f ca="1">+$W1151</f>
        <v>40.802828354596642</v>
      </c>
      <c r="AA1151" s="214">
        <f ca="1">+$Y1151</f>
        <v>7.401410761154855</v>
      </c>
      <c r="AB1151" s="214">
        <f ca="1">+$X1151</f>
        <v>70.43963254593173</v>
      </c>
      <c r="AC1151" s="214">
        <f ca="1">+$W1151-XOffset</f>
        <v>40.802828354596642</v>
      </c>
    </row>
    <row r="1152" spans="19:29" ht="8.4" customHeight="1">
      <c r="S1152" s="307"/>
      <c r="T1152" s="226">
        <f t="shared" si="66"/>
        <v>1149</v>
      </c>
      <c r="U1152" s="224">
        <f t="shared" si="64"/>
        <v>1</v>
      </c>
      <c r="V1152" s="225">
        <f t="shared" si="65"/>
        <v>3</v>
      </c>
      <c r="W1152" s="238">
        <f ca="1">$U1152*EWSpacingFt+XOffset+0</f>
        <v>30.000006832286932</v>
      </c>
      <c r="X1152" s="242">
        <f ca="1">$V1152*NSSpacingFt+YOffset+PanArrayLenFt*COS(RADIANS(Latitude+DecAng))</f>
        <v>70.43963254593173</v>
      </c>
      <c r="Y1152" s="246">
        <f ca="1">+$V1152*NSGradeFt+PedHeight+PanArrayLenFt*SIN(RADIANS(Latitude+DecAng))</f>
        <v>7.401410761154855</v>
      </c>
      <c r="Z1152" s="214">
        <f ca="1">+$W1152</f>
        <v>30.000006832286932</v>
      </c>
      <c r="AA1152" s="214">
        <f ca="1">+$Y1152</f>
        <v>7.401410761154855</v>
      </c>
      <c r="AB1152" s="214">
        <f ca="1">+$X1152</f>
        <v>70.43963254593173</v>
      </c>
      <c r="AC1152" s="214">
        <f ca="1">+$W1152-XOffset</f>
        <v>30.000006832286932</v>
      </c>
    </row>
    <row r="1153" spans="19:29" ht="8.4" customHeight="1">
      <c r="S1153" s="307"/>
      <c r="T1153" s="226">
        <f t="shared" si="66"/>
        <v>1150</v>
      </c>
      <c r="U1153" s="224">
        <f t="shared" si="64"/>
        <v>1</v>
      </c>
      <c r="V1153" s="225">
        <f t="shared" si="65"/>
        <v>3</v>
      </c>
      <c r="W1153" s="239">
        <f ca="1">$U1153*EWSpacingFt+XOffset+(PanArrayWidthHighEndFt-PanArrayWidthLowEndFt)/2</f>
        <v>30.000006832286932</v>
      </c>
      <c r="X1153" s="243">
        <f ca="1">$V1153*NSSpacingFt+YOffset+0</f>
        <v>53.999999999999972</v>
      </c>
      <c r="Y1153" s="247">
        <f ca="1">+$V1153*NSGradeFt+PedHeight+0</f>
        <v>7.401410761154855</v>
      </c>
      <c r="Z1153" s="214">
        <f ca="1">+$W1153</f>
        <v>30.000006832286932</v>
      </c>
      <c r="AA1153" s="214">
        <f ca="1">+$Y1153</f>
        <v>7.401410761154855</v>
      </c>
      <c r="AB1153" s="214">
        <f ca="1">+$X1153</f>
        <v>53.999999999999972</v>
      </c>
      <c r="AC1153" s="214">
        <f ca="1">+$W1153-XOffset</f>
        <v>30.000006832286932</v>
      </c>
    </row>
    <row r="1154" spans="19:29" ht="8.4" customHeight="1">
      <c r="S1154" s="307"/>
      <c r="T1154" s="226">
        <f t="shared" si="66"/>
        <v>1151</v>
      </c>
      <c r="U1154" s="224">
        <f t="shared" si="64"/>
        <v>1</v>
      </c>
      <c r="V1154" s="225">
        <f t="shared" si="65"/>
        <v>3</v>
      </c>
      <c r="W1154" s="217"/>
      <c r="X1154" s="217"/>
      <c r="Y1154" s="217"/>
      <c r="Z1154" s="214"/>
      <c r="AA1154" s="214"/>
      <c r="AB1154" s="214"/>
      <c r="AC1154" s="214"/>
    </row>
    <row r="1155" spans="19:29" ht="8.4" customHeight="1">
      <c r="S1155" s="307">
        <f>INT((T1155-0)/6)+1</f>
        <v>193</v>
      </c>
      <c r="T1155" s="226">
        <f t="shared" si="66"/>
        <v>1152</v>
      </c>
      <c r="U1155" s="224">
        <f t="shared" ref="U1155:U1218" si="67">+MOD(INT(T1155/6),ColumnsOfMounts)</f>
        <v>0</v>
      </c>
      <c r="V1155" s="225">
        <f t="shared" ref="V1155:V1218" si="68">+MOD(INT(T1155/6/ColumnsOfMounts),RowsOfMounts)</f>
        <v>0</v>
      </c>
      <c r="W1155" s="233">
        <f ca="1">$U1155*EWSpacingFt+XOffset+(PanArrayWidthHighEndFt-PanArrayWidthLowEndFt)/2</f>
        <v>0</v>
      </c>
      <c r="X1155" s="234">
        <f ca="1">$V1155*NSSpacingFt+YOffset+0</f>
        <v>0</v>
      </c>
      <c r="Y1155" s="235">
        <f ca="1">+$V1155*NSGradeFt+PedHeight+0</f>
        <v>7.401410761154855</v>
      </c>
      <c r="Z1155" s="214">
        <f ca="1">+$W1155</f>
        <v>0</v>
      </c>
      <c r="AA1155" s="214">
        <f ca="1">+$Y1155</f>
        <v>7.401410761154855</v>
      </c>
      <c r="AB1155" s="214">
        <f ca="1">+$X1155</f>
        <v>0</v>
      </c>
      <c r="AC1155" s="214">
        <f ca="1">+$W1155-XOffset</f>
        <v>0</v>
      </c>
    </row>
    <row r="1156" spans="19:29" ht="8.4" customHeight="1">
      <c r="S1156" s="307"/>
      <c r="T1156" s="226">
        <f t="shared" si="66"/>
        <v>1153</v>
      </c>
      <c r="U1156" s="224">
        <f t="shared" si="67"/>
        <v>0</v>
      </c>
      <c r="V1156" s="225">
        <f t="shared" si="68"/>
        <v>0</v>
      </c>
      <c r="W1156" s="236">
        <f ca="1">+$U1156*EWSpacingFt+XOffset+PanArrayWidthHighEndFt-(PanArrayWidthHighEndFt-PanArrayWidthLowEndFt)/2</f>
        <v>10.80282152230971</v>
      </c>
      <c r="X1156" s="240">
        <f ca="1">$V1156*NSSpacingFt+YOffset+0</f>
        <v>0</v>
      </c>
      <c r="Y1156" s="244">
        <f ca="1">+$V1156*NSGradeFt+PedHeight+0</f>
        <v>7.401410761154855</v>
      </c>
      <c r="Z1156" s="214">
        <f ca="1">+$W1156</f>
        <v>10.80282152230971</v>
      </c>
      <c r="AA1156" s="214">
        <f ca="1">+$Y1156</f>
        <v>7.401410761154855</v>
      </c>
      <c r="AB1156" s="214">
        <f ca="1">+$X1156</f>
        <v>0</v>
      </c>
      <c r="AC1156" s="214">
        <f ca="1">+$W1156-XOffset</f>
        <v>10.80282152230971</v>
      </c>
    </row>
    <row r="1157" spans="19:29" ht="8.4" customHeight="1">
      <c r="S1157" s="307"/>
      <c r="T1157" s="226">
        <f t="shared" si="66"/>
        <v>1154</v>
      </c>
      <c r="U1157" s="224">
        <f t="shared" si="67"/>
        <v>0</v>
      </c>
      <c r="V1157" s="225">
        <f t="shared" si="68"/>
        <v>0</v>
      </c>
      <c r="W1157" s="237">
        <f ca="1">$U1157*EWSpacingFt+XOffset+PanArrayWidthHighEndFt</f>
        <v>10.80282152230971</v>
      </c>
      <c r="X1157" s="241">
        <f ca="1">$V1157*NSSpacingFt+YOffset+PanArrayLenFt*COS(RADIANS(Latitude+DecAng))</f>
        <v>16.439632545931762</v>
      </c>
      <c r="Y1157" s="245">
        <f ca="1">+$V1157*NSGradeFt+PedHeight+PanArrayLenFt*SIN(RADIANS(Latitude+DecAng))</f>
        <v>7.401410761154855</v>
      </c>
      <c r="Z1157" s="214">
        <f ca="1">+$W1157</f>
        <v>10.80282152230971</v>
      </c>
      <c r="AA1157" s="214">
        <f ca="1">+$Y1157</f>
        <v>7.401410761154855</v>
      </c>
      <c r="AB1157" s="214">
        <f ca="1">+$X1157</f>
        <v>16.439632545931762</v>
      </c>
      <c r="AC1157" s="214">
        <f ca="1">+$W1157-XOffset</f>
        <v>10.80282152230971</v>
      </c>
    </row>
    <row r="1158" spans="19:29" ht="8.4" customHeight="1">
      <c r="S1158" s="307"/>
      <c r="T1158" s="226">
        <f t="shared" si="66"/>
        <v>1155</v>
      </c>
      <c r="U1158" s="224">
        <f t="shared" si="67"/>
        <v>0</v>
      </c>
      <c r="V1158" s="225">
        <f t="shared" si="68"/>
        <v>0</v>
      </c>
      <c r="W1158" s="238">
        <f ca="1">$U1158*EWSpacingFt+XOffset+0</f>
        <v>0</v>
      </c>
      <c r="X1158" s="242">
        <f ca="1">$V1158*NSSpacingFt+YOffset+PanArrayLenFt*COS(RADIANS(Latitude+DecAng))</f>
        <v>16.439632545931762</v>
      </c>
      <c r="Y1158" s="246">
        <f ca="1">+$V1158*NSGradeFt+PedHeight+PanArrayLenFt*SIN(RADIANS(Latitude+DecAng))</f>
        <v>7.401410761154855</v>
      </c>
      <c r="Z1158" s="214">
        <f ca="1">+$W1158</f>
        <v>0</v>
      </c>
      <c r="AA1158" s="214">
        <f ca="1">+$Y1158</f>
        <v>7.401410761154855</v>
      </c>
      <c r="AB1158" s="214">
        <f ca="1">+$X1158</f>
        <v>16.439632545931762</v>
      </c>
      <c r="AC1158" s="214">
        <f ca="1">+$W1158-XOffset</f>
        <v>0</v>
      </c>
    </row>
    <row r="1159" spans="19:29" ht="8.4" customHeight="1">
      <c r="S1159" s="307"/>
      <c r="T1159" s="226">
        <f t="shared" si="66"/>
        <v>1156</v>
      </c>
      <c r="U1159" s="224">
        <f t="shared" si="67"/>
        <v>0</v>
      </c>
      <c r="V1159" s="225">
        <f t="shared" si="68"/>
        <v>0</v>
      </c>
      <c r="W1159" s="239">
        <f ca="1">$U1159*EWSpacingFt+XOffset+(PanArrayWidthHighEndFt-PanArrayWidthLowEndFt)/2</f>
        <v>0</v>
      </c>
      <c r="X1159" s="243">
        <f ca="1">$V1159*NSSpacingFt+YOffset+0</f>
        <v>0</v>
      </c>
      <c r="Y1159" s="247">
        <f ca="1">+$V1159*NSGradeFt+PedHeight+0</f>
        <v>7.401410761154855</v>
      </c>
      <c r="Z1159" s="214">
        <f ca="1">+$W1159</f>
        <v>0</v>
      </c>
      <c r="AA1159" s="214">
        <f ca="1">+$Y1159</f>
        <v>7.401410761154855</v>
      </c>
      <c r="AB1159" s="214">
        <f ca="1">+$X1159</f>
        <v>0</v>
      </c>
      <c r="AC1159" s="214">
        <f ca="1">+$W1159-XOffset</f>
        <v>0</v>
      </c>
    </row>
    <row r="1160" spans="19:29" ht="8.4" customHeight="1">
      <c r="S1160" s="307"/>
      <c r="T1160" s="226">
        <f t="shared" si="66"/>
        <v>1157</v>
      </c>
      <c r="U1160" s="224">
        <f t="shared" si="67"/>
        <v>0</v>
      </c>
      <c r="V1160" s="225">
        <f t="shared" si="68"/>
        <v>0</v>
      </c>
      <c r="W1160" s="217"/>
      <c r="X1160" s="217"/>
      <c r="Y1160" s="217"/>
      <c r="Z1160" s="214"/>
      <c r="AA1160" s="214"/>
      <c r="AB1160" s="214"/>
      <c r="AC1160" s="214"/>
    </row>
    <row r="1161" spans="19:29" ht="8.4" customHeight="1">
      <c r="S1161" s="307">
        <f>INT((T1161-0)/6)+1</f>
        <v>194</v>
      </c>
      <c r="T1161" s="226">
        <f t="shared" si="66"/>
        <v>1158</v>
      </c>
      <c r="U1161" s="224">
        <f t="shared" si="67"/>
        <v>1</v>
      </c>
      <c r="V1161" s="225">
        <f t="shared" si="68"/>
        <v>0</v>
      </c>
      <c r="W1161" s="233">
        <f ca="1">$U1161*EWSpacingFt+XOffset+(PanArrayWidthHighEndFt-PanArrayWidthLowEndFt)/2</f>
        <v>30.000006832286932</v>
      </c>
      <c r="X1161" s="234">
        <f ca="1">$V1161*NSSpacingFt+YOffset+0</f>
        <v>0</v>
      </c>
      <c r="Y1161" s="235">
        <f ca="1">+$V1161*NSGradeFt+PedHeight+0</f>
        <v>7.401410761154855</v>
      </c>
      <c r="Z1161" s="214">
        <f ca="1">+$W1161</f>
        <v>30.000006832286932</v>
      </c>
      <c r="AA1161" s="214">
        <f ca="1">+$Y1161</f>
        <v>7.401410761154855</v>
      </c>
      <c r="AB1161" s="214">
        <f ca="1">+$X1161</f>
        <v>0</v>
      </c>
      <c r="AC1161" s="214">
        <f ca="1">+$W1161-XOffset</f>
        <v>30.000006832286932</v>
      </c>
    </row>
    <row r="1162" spans="19:29" ht="8.4" customHeight="1">
      <c r="S1162" s="307"/>
      <c r="T1162" s="226">
        <f t="shared" si="66"/>
        <v>1159</v>
      </c>
      <c r="U1162" s="224">
        <f t="shared" si="67"/>
        <v>1</v>
      </c>
      <c r="V1162" s="225">
        <f t="shared" si="68"/>
        <v>0</v>
      </c>
      <c r="W1162" s="236">
        <f ca="1">+$U1162*EWSpacingFt+XOffset+PanArrayWidthHighEndFt-(PanArrayWidthHighEndFt-PanArrayWidthLowEndFt)/2</f>
        <v>40.802828354596642</v>
      </c>
      <c r="X1162" s="240">
        <f ca="1">$V1162*NSSpacingFt+YOffset+0</f>
        <v>0</v>
      </c>
      <c r="Y1162" s="244">
        <f ca="1">+$V1162*NSGradeFt+PedHeight+0</f>
        <v>7.401410761154855</v>
      </c>
      <c r="Z1162" s="214">
        <f ca="1">+$W1162</f>
        <v>40.802828354596642</v>
      </c>
      <c r="AA1162" s="214">
        <f ca="1">+$Y1162</f>
        <v>7.401410761154855</v>
      </c>
      <c r="AB1162" s="214">
        <f ca="1">+$X1162</f>
        <v>0</v>
      </c>
      <c r="AC1162" s="214">
        <f ca="1">+$W1162-XOffset</f>
        <v>40.802828354596642</v>
      </c>
    </row>
    <row r="1163" spans="19:29" ht="8.4" customHeight="1">
      <c r="S1163" s="307"/>
      <c r="T1163" s="226">
        <f t="shared" si="66"/>
        <v>1160</v>
      </c>
      <c r="U1163" s="224">
        <f t="shared" si="67"/>
        <v>1</v>
      </c>
      <c r="V1163" s="225">
        <f t="shared" si="68"/>
        <v>0</v>
      </c>
      <c r="W1163" s="237">
        <f ca="1">$U1163*EWSpacingFt+XOffset+PanArrayWidthHighEndFt</f>
        <v>40.802828354596642</v>
      </c>
      <c r="X1163" s="241">
        <f ca="1">$V1163*NSSpacingFt+YOffset+PanArrayLenFt*COS(RADIANS(Latitude+DecAng))</f>
        <v>16.439632545931762</v>
      </c>
      <c r="Y1163" s="245">
        <f ca="1">+$V1163*NSGradeFt+PedHeight+PanArrayLenFt*SIN(RADIANS(Latitude+DecAng))</f>
        <v>7.401410761154855</v>
      </c>
      <c r="Z1163" s="214">
        <f ca="1">+$W1163</f>
        <v>40.802828354596642</v>
      </c>
      <c r="AA1163" s="214">
        <f ca="1">+$Y1163</f>
        <v>7.401410761154855</v>
      </c>
      <c r="AB1163" s="214">
        <f ca="1">+$X1163</f>
        <v>16.439632545931762</v>
      </c>
      <c r="AC1163" s="214">
        <f ca="1">+$W1163-XOffset</f>
        <v>40.802828354596642</v>
      </c>
    </row>
    <row r="1164" spans="19:29" ht="8.4" customHeight="1">
      <c r="S1164" s="307"/>
      <c r="T1164" s="226">
        <f t="shared" si="66"/>
        <v>1161</v>
      </c>
      <c r="U1164" s="224">
        <f t="shared" si="67"/>
        <v>1</v>
      </c>
      <c r="V1164" s="225">
        <f t="shared" si="68"/>
        <v>0</v>
      </c>
      <c r="W1164" s="238">
        <f ca="1">$U1164*EWSpacingFt+XOffset+0</f>
        <v>30.000006832286932</v>
      </c>
      <c r="X1164" s="242">
        <f ca="1">$V1164*NSSpacingFt+YOffset+PanArrayLenFt*COS(RADIANS(Latitude+DecAng))</f>
        <v>16.439632545931762</v>
      </c>
      <c r="Y1164" s="246">
        <f ca="1">+$V1164*NSGradeFt+PedHeight+PanArrayLenFt*SIN(RADIANS(Latitude+DecAng))</f>
        <v>7.401410761154855</v>
      </c>
      <c r="Z1164" s="214">
        <f ca="1">+$W1164</f>
        <v>30.000006832286932</v>
      </c>
      <c r="AA1164" s="214">
        <f ca="1">+$Y1164</f>
        <v>7.401410761154855</v>
      </c>
      <c r="AB1164" s="214">
        <f ca="1">+$X1164</f>
        <v>16.439632545931762</v>
      </c>
      <c r="AC1164" s="214">
        <f ca="1">+$W1164-XOffset</f>
        <v>30.000006832286932</v>
      </c>
    </row>
    <row r="1165" spans="19:29" ht="8.4" customHeight="1">
      <c r="S1165" s="307"/>
      <c r="T1165" s="226">
        <f t="shared" si="66"/>
        <v>1162</v>
      </c>
      <c r="U1165" s="224">
        <f t="shared" si="67"/>
        <v>1</v>
      </c>
      <c r="V1165" s="225">
        <f t="shared" si="68"/>
        <v>0</v>
      </c>
      <c r="W1165" s="239">
        <f ca="1">$U1165*EWSpacingFt+XOffset+(PanArrayWidthHighEndFt-PanArrayWidthLowEndFt)/2</f>
        <v>30.000006832286932</v>
      </c>
      <c r="X1165" s="243">
        <f ca="1">$V1165*NSSpacingFt+YOffset+0</f>
        <v>0</v>
      </c>
      <c r="Y1165" s="247">
        <f ca="1">+$V1165*NSGradeFt+PedHeight+0</f>
        <v>7.401410761154855</v>
      </c>
      <c r="Z1165" s="214">
        <f ca="1">+$W1165</f>
        <v>30.000006832286932</v>
      </c>
      <c r="AA1165" s="214">
        <f ca="1">+$Y1165</f>
        <v>7.401410761154855</v>
      </c>
      <c r="AB1165" s="214">
        <f ca="1">+$X1165</f>
        <v>0</v>
      </c>
      <c r="AC1165" s="214">
        <f ca="1">+$W1165-XOffset</f>
        <v>30.000006832286932</v>
      </c>
    </row>
    <row r="1166" spans="19:29" ht="8.4" customHeight="1">
      <c r="S1166" s="307"/>
      <c r="T1166" s="226">
        <f t="shared" si="66"/>
        <v>1163</v>
      </c>
      <c r="U1166" s="224">
        <f t="shared" si="67"/>
        <v>1</v>
      </c>
      <c r="V1166" s="225">
        <f t="shared" si="68"/>
        <v>0</v>
      </c>
      <c r="W1166" s="217"/>
      <c r="X1166" s="217"/>
      <c r="Y1166" s="217"/>
      <c r="Z1166" s="214"/>
      <c r="AA1166" s="214"/>
      <c r="AB1166" s="214"/>
      <c r="AC1166" s="214"/>
    </row>
    <row r="1167" spans="19:29" ht="8.4" customHeight="1">
      <c r="S1167" s="307">
        <f>INT((T1167-0)/6)+1</f>
        <v>195</v>
      </c>
      <c r="T1167" s="226">
        <f t="shared" si="66"/>
        <v>1164</v>
      </c>
      <c r="U1167" s="224">
        <f t="shared" si="67"/>
        <v>0</v>
      </c>
      <c r="V1167" s="225">
        <f t="shared" si="68"/>
        <v>1</v>
      </c>
      <c r="W1167" s="233">
        <f ca="1">$U1167*EWSpacingFt+XOffset+(PanArrayWidthHighEndFt-PanArrayWidthLowEndFt)/2</f>
        <v>0</v>
      </c>
      <c r="X1167" s="234">
        <f ca="1">$V1167*NSSpacingFt+YOffset+0</f>
        <v>17.999999999999989</v>
      </c>
      <c r="Y1167" s="235">
        <f ca="1">+$V1167*NSGradeFt+PedHeight+0</f>
        <v>7.401410761154855</v>
      </c>
      <c r="Z1167" s="214">
        <f ca="1">+$W1167</f>
        <v>0</v>
      </c>
      <c r="AA1167" s="214">
        <f ca="1">+$Y1167</f>
        <v>7.401410761154855</v>
      </c>
      <c r="AB1167" s="214">
        <f ca="1">+$X1167</f>
        <v>17.999999999999989</v>
      </c>
      <c r="AC1167" s="214">
        <f ca="1">+$W1167-XOffset</f>
        <v>0</v>
      </c>
    </row>
    <row r="1168" spans="19:29" ht="8.4" customHeight="1">
      <c r="S1168" s="307"/>
      <c r="T1168" s="226">
        <f t="shared" si="66"/>
        <v>1165</v>
      </c>
      <c r="U1168" s="224">
        <f t="shared" si="67"/>
        <v>0</v>
      </c>
      <c r="V1168" s="225">
        <f t="shared" si="68"/>
        <v>1</v>
      </c>
      <c r="W1168" s="236">
        <f ca="1">+$U1168*EWSpacingFt+XOffset+PanArrayWidthHighEndFt-(PanArrayWidthHighEndFt-PanArrayWidthLowEndFt)/2</f>
        <v>10.80282152230971</v>
      </c>
      <c r="X1168" s="240">
        <f ca="1">$V1168*NSSpacingFt+YOffset+0</f>
        <v>17.999999999999989</v>
      </c>
      <c r="Y1168" s="244">
        <f ca="1">+$V1168*NSGradeFt+PedHeight+0</f>
        <v>7.401410761154855</v>
      </c>
      <c r="Z1168" s="214">
        <f ca="1">+$W1168</f>
        <v>10.80282152230971</v>
      </c>
      <c r="AA1168" s="214">
        <f ca="1">+$Y1168</f>
        <v>7.401410761154855</v>
      </c>
      <c r="AB1168" s="214">
        <f ca="1">+$X1168</f>
        <v>17.999999999999989</v>
      </c>
      <c r="AC1168" s="214">
        <f ca="1">+$W1168-XOffset</f>
        <v>10.80282152230971</v>
      </c>
    </row>
    <row r="1169" spans="19:29" ht="8.4" customHeight="1">
      <c r="S1169" s="307"/>
      <c r="T1169" s="226">
        <f t="shared" si="66"/>
        <v>1166</v>
      </c>
      <c r="U1169" s="224">
        <f t="shared" si="67"/>
        <v>0</v>
      </c>
      <c r="V1169" s="225">
        <f t="shared" si="68"/>
        <v>1</v>
      </c>
      <c r="W1169" s="237">
        <f ca="1">$U1169*EWSpacingFt+XOffset+PanArrayWidthHighEndFt</f>
        <v>10.80282152230971</v>
      </c>
      <c r="X1169" s="241">
        <f ca="1">$V1169*NSSpacingFt+YOffset+PanArrayLenFt*COS(RADIANS(Latitude+DecAng))</f>
        <v>34.439632545931751</v>
      </c>
      <c r="Y1169" s="245">
        <f ca="1">+$V1169*NSGradeFt+PedHeight+PanArrayLenFt*SIN(RADIANS(Latitude+DecAng))</f>
        <v>7.401410761154855</v>
      </c>
      <c r="Z1169" s="214">
        <f ca="1">+$W1169</f>
        <v>10.80282152230971</v>
      </c>
      <c r="AA1169" s="214">
        <f ca="1">+$Y1169</f>
        <v>7.401410761154855</v>
      </c>
      <c r="AB1169" s="214">
        <f ca="1">+$X1169</f>
        <v>34.439632545931751</v>
      </c>
      <c r="AC1169" s="214">
        <f ca="1">+$W1169-XOffset</f>
        <v>10.80282152230971</v>
      </c>
    </row>
    <row r="1170" spans="19:29" ht="8.4" customHeight="1">
      <c r="S1170" s="307"/>
      <c r="T1170" s="226">
        <f t="shared" si="66"/>
        <v>1167</v>
      </c>
      <c r="U1170" s="224">
        <f t="shared" si="67"/>
        <v>0</v>
      </c>
      <c r="V1170" s="225">
        <f t="shared" si="68"/>
        <v>1</v>
      </c>
      <c r="W1170" s="238">
        <f ca="1">$U1170*EWSpacingFt+XOffset+0</f>
        <v>0</v>
      </c>
      <c r="X1170" s="242">
        <f ca="1">$V1170*NSSpacingFt+YOffset+PanArrayLenFt*COS(RADIANS(Latitude+DecAng))</f>
        <v>34.439632545931751</v>
      </c>
      <c r="Y1170" s="246">
        <f ca="1">+$V1170*NSGradeFt+PedHeight+PanArrayLenFt*SIN(RADIANS(Latitude+DecAng))</f>
        <v>7.401410761154855</v>
      </c>
      <c r="Z1170" s="214">
        <f ca="1">+$W1170</f>
        <v>0</v>
      </c>
      <c r="AA1170" s="214">
        <f ca="1">+$Y1170</f>
        <v>7.401410761154855</v>
      </c>
      <c r="AB1170" s="214">
        <f ca="1">+$X1170</f>
        <v>34.439632545931751</v>
      </c>
      <c r="AC1170" s="214">
        <f ca="1">+$W1170-XOffset</f>
        <v>0</v>
      </c>
    </row>
    <row r="1171" spans="19:29" ht="8.4" customHeight="1">
      <c r="S1171" s="307"/>
      <c r="T1171" s="226">
        <f t="shared" si="66"/>
        <v>1168</v>
      </c>
      <c r="U1171" s="224">
        <f t="shared" si="67"/>
        <v>0</v>
      </c>
      <c r="V1171" s="225">
        <f t="shared" si="68"/>
        <v>1</v>
      </c>
      <c r="W1171" s="239">
        <f ca="1">$U1171*EWSpacingFt+XOffset+(PanArrayWidthHighEndFt-PanArrayWidthLowEndFt)/2</f>
        <v>0</v>
      </c>
      <c r="X1171" s="243">
        <f ca="1">$V1171*NSSpacingFt+YOffset+0</f>
        <v>17.999999999999989</v>
      </c>
      <c r="Y1171" s="247">
        <f ca="1">+$V1171*NSGradeFt+PedHeight+0</f>
        <v>7.401410761154855</v>
      </c>
      <c r="Z1171" s="214">
        <f ca="1">+$W1171</f>
        <v>0</v>
      </c>
      <c r="AA1171" s="214">
        <f ca="1">+$Y1171</f>
        <v>7.401410761154855</v>
      </c>
      <c r="AB1171" s="214">
        <f ca="1">+$X1171</f>
        <v>17.999999999999989</v>
      </c>
      <c r="AC1171" s="214">
        <f ca="1">+$W1171-XOffset</f>
        <v>0</v>
      </c>
    </row>
    <row r="1172" spans="19:29" ht="8.4" customHeight="1">
      <c r="S1172" s="307"/>
      <c r="T1172" s="226">
        <f t="shared" si="66"/>
        <v>1169</v>
      </c>
      <c r="U1172" s="224">
        <f t="shared" si="67"/>
        <v>0</v>
      </c>
      <c r="V1172" s="225">
        <f t="shared" si="68"/>
        <v>1</v>
      </c>
      <c r="W1172" s="217"/>
      <c r="X1172" s="217"/>
      <c r="Y1172" s="217"/>
      <c r="Z1172" s="214"/>
      <c r="AA1172" s="214"/>
      <c r="AB1172" s="214"/>
      <c r="AC1172" s="214"/>
    </row>
    <row r="1173" spans="19:29" ht="8.4" customHeight="1">
      <c r="S1173" s="307">
        <f>INT((T1173-0)/6)+1</f>
        <v>196</v>
      </c>
      <c r="T1173" s="226">
        <f t="shared" ref="T1173:T1236" si="69">+T1172+1</f>
        <v>1170</v>
      </c>
      <c r="U1173" s="224">
        <f t="shared" si="67"/>
        <v>1</v>
      </c>
      <c r="V1173" s="225">
        <f t="shared" si="68"/>
        <v>1</v>
      </c>
      <c r="W1173" s="233">
        <f ca="1">$U1173*EWSpacingFt+XOffset+(PanArrayWidthHighEndFt-PanArrayWidthLowEndFt)/2</f>
        <v>30.000006832286932</v>
      </c>
      <c r="X1173" s="234">
        <f ca="1">$V1173*NSSpacingFt+YOffset+0</f>
        <v>17.999999999999989</v>
      </c>
      <c r="Y1173" s="235">
        <f ca="1">+$V1173*NSGradeFt+PedHeight+0</f>
        <v>7.401410761154855</v>
      </c>
      <c r="Z1173" s="214">
        <f ca="1">+$W1173</f>
        <v>30.000006832286932</v>
      </c>
      <c r="AA1173" s="214">
        <f ca="1">+$Y1173</f>
        <v>7.401410761154855</v>
      </c>
      <c r="AB1173" s="214">
        <f ca="1">+$X1173</f>
        <v>17.999999999999989</v>
      </c>
      <c r="AC1173" s="214">
        <f ca="1">+$W1173-XOffset</f>
        <v>30.000006832286932</v>
      </c>
    </row>
    <row r="1174" spans="19:29" ht="8.4" customHeight="1">
      <c r="S1174" s="307"/>
      <c r="T1174" s="226">
        <f t="shared" si="69"/>
        <v>1171</v>
      </c>
      <c r="U1174" s="224">
        <f t="shared" si="67"/>
        <v>1</v>
      </c>
      <c r="V1174" s="225">
        <f t="shared" si="68"/>
        <v>1</v>
      </c>
      <c r="W1174" s="236">
        <f ca="1">+$U1174*EWSpacingFt+XOffset+PanArrayWidthHighEndFt-(PanArrayWidthHighEndFt-PanArrayWidthLowEndFt)/2</f>
        <v>40.802828354596642</v>
      </c>
      <c r="X1174" s="240">
        <f ca="1">$V1174*NSSpacingFt+YOffset+0</f>
        <v>17.999999999999989</v>
      </c>
      <c r="Y1174" s="244">
        <f ca="1">+$V1174*NSGradeFt+PedHeight+0</f>
        <v>7.401410761154855</v>
      </c>
      <c r="Z1174" s="214">
        <f ca="1">+$W1174</f>
        <v>40.802828354596642</v>
      </c>
      <c r="AA1174" s="214">
        <f ca="1">+$Y1174</f>
        <v>7.401410761154855</v>
      </c>
      <c r="AB1174" s="214">
        <f ca="1">+$X1174</f>
        <v>17.999999999999989</v>
      </c>
      <c r="AC1174" s="214">
        <f ca="1">+$W1174-XOffset</f>
        <v>40.802828354596642</v>
      </c>
    </row>
    <row r="1175" spans="19:29" ht="8.4" customHeight="1">
      <c r="S1175" s="307"/>
      <c r="T1175" s="226">
        <f t="shared" si="69"/>
        <v>1172</v>
      </c>
      <c r="U1175" s="224">
        <f t="shared" si="67"/>
        <v>1</v>
      </c>
      <c r="V1175" s="225">
        <f t="shared" si="68"/>
        <v>1</v>
      </c>
      <c r="W1175" s="237">
        <f ca="1">$U1175*EWSpacingFt+XOffset+PanArrayWidthHighEndFt</f>
        <v>40.802828354596642</v>
      </c>
      <c r="X1175" s="241">
        <f ca="1">$V1175*NSSpacingFt+YOffset+PanArrayLenFt*COS(RADIANS(Latitude+DecAng))</f>
        <v>34.439632545931751</v>
      </c>
      <c r="Y1175" s="245">
        <f ca="1">+$V1175*NSGradeFt+PedHeight+PanArrayLenFt*SIN(RADIANS(Latitude+DecAng))</f>
        <v>7.401410761154855</v>
      </c>
      <c r="Z1175" s="214">
        <f ca="1">+$W1175</f>
        <v>40.802828354596642</v>
      </c>
      <c r="AA1175" s="214">
        <f ca="1">+$Y1175</f>
        <v>7.401410761154855</v>
      </c>
      <c r="AB1175" s="214">
        <f ca="1">+$X1175</f>
        <v>34.439632545931751</v>
      </c>
      <c r="AC1175" s="214">
        <f ca="1">+$W1175-XOffset</f>
        <v>40.802828354596642</v>
      </c>
    </row>
    <row r="1176" spans="19:29" ht="8.4" customHeight="1">
      <c r="S1176" s="307"/>
      <c r="T1176" s="226">
        <f t="shared" si="69"/>
        <v>1173</v>
      </c>
      <c r="U1176" s="224">
        <f t="shared" si="67"/>
        <v>1</v>
      </c>
      <c r="V1176" s="225">
        <f t="shared" si="68"/>
        <v>1</v>
      </c>
      <c r="W1176" s="238">
        <f ca="1">$U1176*EWSpacingFt+XOffset+0</f>
        <v>30.000006832286932</v>
      </c>
      <c r="X1176" s="242">
        <f ca="1">$V1176*NSSpacingFt+YOffset+PanArrayLenFt*COS(RADIANS(Latitude+DecAng))</f>
        <v>34.439632545931751</v>
      </c>
      <c r="Y1176" s="246">
        <f ca="1">+$V1176*NSGradeFt+PedHeight+PanArrayLenFt*SIN(RADIANS(Latitude+DecAng))</f>
        <v>7.401410761154855</v>
      </c>
      <c r="Z1176" s="214">
        <f ca="1">+$W1176</f>
        <v>30.000006832286932</v>
      </c>
      <c r="AA1176" s="214">
        <f ca="1">+$Y1176</f>
        <v>7.401410761154855</v>
      </c>
      <c r="AB1176" s="214">
        <f ca="1">+$X1176</f>
        <v>34.439632545931751</v>
      </c>
      <c r="AC1176" s="214">
        <f ca="1">+$W1176-XOffset</f>
        <v>30.000006832286932</v>
      </c>
    </row>
    <row r="1177" spans="19:29" ht="8.4" customHeight="1">
      <c r="S1177" s="307"/>
      <c r="T1177" s="226">
        <f t="shared" si="69"/>
        <v>1174</v>
      </c>
      <c r="U1177" s="224">
        <f t="shared" si="67"/>
        <v>1</v>
      </c>
      <c r="V1177" s="225">
        <f t="shared" si="68"/>
        <v>1</v>
      </c>
      <c r="W1177" s="239">
        <f ca="1">$U1177*EWSpacingFt+XOffset+(PanArrayWidthHighEndFt-PanArrayWidthLowEndFt)/2</f>
        <v>30.000006832286932</v>
      </c>
      <c r="X1177" s="243">
        <f ca="1">$V1177*NSSpacingFt+YOffset+0</f>
        <v>17.999999999999989</v>
      </c>
      <c r="Y1177" s="247">
        <f ca="1">+$V1177*NSGradeFt+PedHeight+0</f>
        <v>7.401410761154855</v>
      </c>
      <c r="Z1177" s="214">
        <f ca="1">+$W1177</f>
        <v>30.000006832286932</v>
      </c>
      <c r="AA1177" s="214">
        <f ca="1">+$Y1177</f>
        <v>7.401410761154855</v>
      </c>
      <c r="AB1177" s="214">
        <f ca="1">+$X1177</f>
        <v>17.999999999999989</v>
      </c>
      <c r="AC1177" s="214">
        <f ca="1">+$W1177-XOffset</f>
        <v>30.000006832286932</v>
      </c>
    </row>
    <row r="1178" spans="19:29" ht="8.4" customHeight="1">
      <c r="S1178" s="307"/>
      <c r="T1178" s="226">
        <f t="shared" si="69"/>
        <v>1175</v>
      </c>
      <c r="U1178" s="224">
        <f t="shared" si="67"/>
        <v>1</v>
      </c>
      <c r="V1178" s="225">
        <f t="shared" si="68"/>
        <v>1</v>
      </c>
      <c r="W1178" s="217"/>
      <c r="X1178" s="217"/>
      <c r="Y1178" s="217"/>
      <c r="Z1178" s="214"/>
      <c r="AA1178" s="214"/>
      <c r="AB1178" s="214"/>
      <c r="AC1178" s="214"/>
    </row>
    <row r="1179" spans="19:29" ht="8.4" customHeight="1">
      <c r="S1179" s="307">
        <f>INT((T1179-0)/6)+1</f>
        <v>197</v>
      </c>
      <c r="T1179" s="226">
        <f t="shared" si="69"/>
        <v>1176</v>
      </c>
      <c r="U1179" s="224">
        <f t="shared" si="67"/>
        <v>0</v>
      </c>
      <c r="V1179" s="225">
        <f t="shared" si="68"/>
        <v>2</v>
      </c>
      <c r="W1179" s="233">
        <f ca="1">$U1179*EWSpacingFt+XOffset+(PanArrayWidthHighEndFt-PanArrayWidthLowEndFt)/2</f>
        <v>0</v>
      </c>
      <c r="X1179" s="234">
        <f ca="1">$V1179*NSSpacingFt+YOffset+0</f>
        <v>35.999999999999979</v>
      </c>
      <c r="Y1179" s="235">
        <f ca="1">+$V1179*NSGradeFt+PedHeight+0</f>
        <v>7.401410761154855</v>
      </c>
      <c r="Z1179" s="214">
        <f ca="1">+$W1179</f>
        <v>0</v>
      </c>
      <c r="AA1179" s="214">
        <f ca="1">+$Y1179</f>
        <v>7.401410761154855</v>
      </c>
      <c r="AB1179" s="214">
        <f ca="1">+$X1179</f>
        <v>35.999999999999979</v>
      </c>
      <c r="AC1179" s="214">
        <f ca="1">+$W1179-XOffset</f>
        <v>0</v>
      </c>
    </row>
    <row r="1180" spans="19:29" ht="8.4" customHeight="1">
      <c r="S1180" s="307"/>
      <c r="T1180" s="226">
        <f t="shared" si="69"/>
        <v>1177</v>
      </c>
      <c r="U1180" s="224">
        <f t="shared" si="67"/>
        <v>0</v>
      </c>
      <c r="V1180" s="225">
        <f t="shared" si="68"/>
        <v>2</v>
      </c>
      <c r="W1180" s="236">
        <f ca="1">+$U1180*EWSpacingFt+XOffset+PanArrayWidthHighEndFt-(PanArrayWidthHighEndFt-PanArrayWidthLowEndFt)/2</f>
        <v>10.80282152230971</v>
      </c>
      <c r="X1180" s="240">
        <f ca="1">$V1180*NSSpacingFt+YOffset+0</f>
        <v>35.999999999999979</v>
      </c>
      <c r="Y1180" s="244">
        <f ca="1">+$V1180*NSGradeFt+PedHeight+0</f>
        <v>7.401410761154855</v>
      </c>
      <c r="Z1180" s="214">
        <f ca="1">+$W1180</f>
        <v>10.80282152230971</v>
      </c>
      <c r="AA1180" s="214">
        <f ca="1">+$Y1180</f>
        <v>7.401410761154855</v>
      </c>
      <c r="AB1180" s="214">
        <f ca="1">+$X1180</f>
        <v>35.999999999999979</v>
      </c>
      <c r="AC1180" s="214">
        <f ca="1">+$W1180-XOffset</f>
        <v>10.80282152230971</v>
      </c>
    </row>
    <row r="1181" spans="19:29" ht="8.4" customHeight="1">
      <c r="S1181" s="307"/>
      <c r="T1181" s="226">
        <f t="shared" si="69"/>
        <v>1178</v>
      </c>
      <c r="U1181" s="224">
        <f t="shared" si="67"/>
        <v>0</v>
      </c>
      <c r="V1181" s="225">
        <f t="shared" si="68"/>
        <v>2</v>
      </c>
      <c r="W1181" s="237">
        <f ca="1">$U1181*EWSpacingFt+XOffset+PanArrayWidthHighEndFt</f>
        <v>10.80282152230971</v>
      </c>
      <c r="X1181" s="241">
        <f ca="1">$V1181*NSSpacingFt+YOffset+PanArrayLenFt*COS(RADIANS(Latitude+DecAng))</f>
        <v>52.439632545931744</v>
      </c>
      <c r="Y1181" s="245">
        <f ca="1">+$V1181*NSGradeFt+PedHeight+PanArrayLenFt*SIN(RADIANS(Latitude+DecAng))</f>
        <v>7.401410761154855</v>
      </c>
      <c r="Z1181" s="214">
        <f ca="1">+$W1181</f>
        <v>10.80282152230971</v>
      </c>
      <c r="AA1181" s="214">
        <f ca="1">+$Y1181</f>
        <v>7.401410761154855</v>
      </c>
      <c r="AB1181" s="214">
        <f ca="1">+$X1181</f>
        <v>52.439632545931744</v>
      </c>
      <c r="AC1181" s="214">
        <f ca="1">+$W1181-XOffset</f>
        <v>10.80282152230971</v>
      </c>
    </row>
    <row r="1182" spans="19:29" ht="8.4" customHeight="1">
      <c r="S1182" s="307"/>
      <c r="T1182" s="226">
        <f t="shared" si="69"/>
        <v>1179</v>
      </c>
      <c r="U1182" s="224">
        <f t="shared" si="67"/>
        <v>0</v>
      </c>
      <c r="V1182" s="225">
        <f t="shared" si="68"/>
        <v>2</v>
      </c>
      <c r="W1182" s="238">
        <f ca="1">$U1182*EWSpacingFt+XOffset+0</f>
        <v>0</v>
      </c>
      <c r="X1182" s="242">
        <f ca="1">$V1182*NSSpacingFt+YOffset+PanArrayLenFt*COS(RADIANS(Latitude+DecAng))</f>
        <v>52.439632545931744</v>
      </c>
      <c r="Y1182" s="246">
        <f ca="1">+$V1182*NSGradeFt+PedHeight+PanArrayLenFt*SIN(RADIANS(Latitude+DecAng))</f>
        <v>7.401410761154855</v>
      </c>
      <c r="Z1182" s="214">
        <f ca="1">+$W1182</f>
        <v>0</v>
      </c>
      <c r="AA1182" s="214">
        <f ca="1">+$Y1182</f>
        <v>7.401410761154855</v>
      </c>
      <c r="AB1182" s="214">
        <f ca="1">+$X1182</f>
        <v>52.439632545931744</v>
      </c>
      <c r="AC1182" s="214">
        <f ca="1">+$W1182-XOffset</f>
        <v>0</v>
      </c>
    </row>
    <row r="1183" spans="19:29" ht="8.4" customHeight="1">
      <c r="S1183" s="307"/>
      <c r="T1183" s="226">
        <f t="shared" si="69"/>
        <v>1180</v>
      </c>
      <c r="U1183" s="224">
        <f t="shared" si="67"/>
        <v>0</v>
      </c>
      <c r="V1183" s="225">
        <f t="shared" si="68"/>
        <v>2</v>
      </c>
      <c r="W1183" s="239">
        <f ca="1">$U1183*EWSpacingFt+XOffset+(PanArrayWidthHighEndFt-PanArrayWidthLowEndFt)/2</f>
        <v>0</v>
      </c>
      <c r="X1183" s="243">
        <f ca="1">$V1183*NSSpacingFt+YOffset+0</f>
        <v>35.999999999999979</v>
      </c>
      <c r="Y1183" s="247">
        <f ca="1">+$V1183*NSGradeFt+PedHeight+0</f>
        <v>7.401410761154855</v>
      </c>
      <c r="Z1183" s="214">
        <f ca="1">+$W1183</f>
        <v>0</v>
      </c>
      <c r="AA1183" s="214">
        <f ca="1">+$Y1183</f>
        <v>7.401410761154855</v>
      </c>
      <c r="AB1183" s="214">
        <f ca="1">+$X1183</f>
        <v>35.999999999999979</v>
      </c>
      <c r="AC1183" s="214">
        <f ca="1">+$W1183-XOffset</f>
        <v>0</v>
      </c>
    </row>
    <row r="1184" spans="19:29" ht="8.4" customHeight="1">
      <c r="S1184" s="307"/>
      <c r="T1184" s="226">
        <f t="shared" si="69"/>
        <v>1181</v>
      </c>
      <c r="U1184" s="224">
        <f t="shared" si="67"/>
        <v>0</v>
      </c>
      <c r="V1184" s="225">
        <f t="shared" si="68"/>
        <v>2</v>
      </c>
      <c r="W1184" s="217"/>
      <c r="X1184" s="217"/>
      <c r="Y1184" s="217"/>
      <c r="Z1184" s="214"/>
      <c r="AA1184" s="214"/>
      <c r="AB1184" s="214"/>
      <c r="AC1184" s="214"/>
    </row>
    <row r="1185" spans="19:29" ht="8.4" customHeight="1">
      <c r="S1185" s="307">
        <f>INT((T1185-0)/6)+1</f>
        <v>198</v>
      </c>
      <c r="T1185" s="226">
        <f t="shared" si="69"/>
        <v>1182</v>
      </c>
      <c r="U1185" s="224">
        <f t="shared" si="67"/>
        <v>1</v>
      </c>
      <c r="V1185" s="225">
        <f t="shared" si="68"/>
        <v>2</v>
      </c>
      <c r="W1185" s="233">
        <f ca="1">$U1185*EWSpacingFt+XOffset+(PanArrayWidthHighEndFt-PanArrayWidthLowEndFt)/2</f>
        <v>30.000006832286932</v>
      </c>
      <c r="X1185" s="234">
        <f ca="1">$V1185*NSSpacingFt+YOffset+0</f>
        <v>35.999999999999979</v>
      </c>
      <c r="Y1185" s="235">
        <f ca="1">+$V1185*NSGradeFt+PedHeight+0</f>
        <v>7.401410761154855</v>
      </c>
      <c r="Z1185" s="214">
        <f ca="1">+$W1185</f>
        <v>30.000006832286932</v>
      </c>
      <c r="AA1185" s="214">
        <f ca="1">+$Y1185</f>
        <v>7.401410761154855</v>
      </c>
      <c r="AB1185" s="214">
        <f ca="1">+$X1185</f>
        <v>35.999999999999979</v>
      </c>
      <c r="AC1185" s="214">
        <f ca="1">+$W1185-XOffset</f>
        <v>30.000006832286932</v>
      </c>
    </row>
    <row r="1186" spans="19:29" ht="8.4" customHeight="1">
      <c r="S1186" s="307"/>
      <c r="T1186" s="226">
        <f t="shared" si="69"/>
        <v>1183</v>
      </c>
      <c r="U1186" s="224">
        <f t="shared" si="67"/>
        <v>1</v>
      </c>
      <c r="V1186" s="225">
        <f t="shared" si="68"/>
        <v>2</v>
      </c>
      <c r="W1186" s="236">
        <f ca="1">+$U1186*EWSpacingFt+XOffset+PanArrayWidthHighEndFt-(PanArrayWidthHighEndFt-PanArrayWidthLowEndFt)/2</f>
        <v>40.802828354596642</v>
      </c>
      <c r="X1186" s="240">
        <f ca="1">$V1186*NSSpacingFt+YOffset+0</f>
        <v>35.999999999999979</v>
      </c>
      <c r="Y1186" s="244">
        <f ca="1">+$V1186*NSGradeFt+PedHeight+0</f>
        <v>7.401410761154855</v>
      </c>
      <c r="Z1186" s="214">
        <f ca="1">+$W1186</f>
        <v>40.802828354596642</v>
      </c>
      <c r="AA1186" s="214">
        <f ca="1">+$Y1186</f>
        <v>7.401410761154855</v>
      </c>
      <c r="AB1186" s="214">
        <f ca="1">+$X1186</f>
        <v>35.999999999999979</v>
      </c>
      <c r="AC1186" s="214">
        <f ca="1">+$W1186-XOffset</f>
        <v>40.802828354596642</v>
      </c>
    </row>
    <row r="1187" spans="19:29" ht="8.4" customHeight="1">
      <c r="S1187" s="307"/>
      <c r="T1187" s="226">
        <f t="shared" si="69"/>
        <v>1184</v>
      </c>
      <c r="U1187" s="224">
        <f t="shared" si="67"/>
        <v>1</v>
      </c>
      <c r="V1187" s="225">
        <f t="shared" si="68"/>
        <v>2</v>
      </c>
      <c r="W1187" s="237">
        <f ca="1">$U1187*EWSpacingFt+XOffset+PanArrayWidthHighEndFt</f>
        <v>40.802828354596642</v>
      </c>
      <c r="X1187" s="241">
        <f ca="1">$V1187*NSSpacingFt+YOffset+PanArrayLenFt*COS(RADIANS(Latitude+DecAng))</f>
        <v>52.439632545931744</v>
      </c>
      <c r="Y1187" s="245">
        <f ca="1">+$V1187*NSGradeFt+PedHeight+PanArrayLenFt*SIN(RADIANS(Latitude+DecAng))</f>
        <v>7.401410761154855</v>
      </c>
      <c r="Z1187" s="214">
        <f ca="1">+$W1187</f>
        <v>40.802828354596642</v>
      </c>
      <c r="AA1187" s="214">
        <f ca="1">+$Y1187</f>
        <v>7.401410761154855</v>
      </c>
      <c r="AB1187" s="214">
        <f ca="1">+$X1187</f>
        <v>52.439632545931744</v>
      </c>
      <c r="AC1187" s="214">
        <f ca="1">+$W1187-XOffset</f>
        <v>40.802828354596642</v>
      </c>
    </row>
    <row r="1188" spans="19:29" ht="8.4" customHeight="1">
      <c r="S1188" s="307"/>
      <c r="T1188" s="226">
        <f t="shared" si="69"/>
        <v>1185</v>
      </c>
      <c r="U1188" s="224">
        <f t="shared" si="67"/>
        <v>1</v>
      </c>
      <c r="V1188" s="225">
        <f t="shared" si="68"/>
        <v>2</v>
      </c>
      <c r="W1188" s="238">
        <f ca="1">$U1188*EWSpacingFt+XOffset+0</f>
        <v>30.000006832286932</v>
      </c>
      <c r="X1188" s="242">
        <f ca="1">$V1188*NSSpacingFt+YOffset+PanArrayLenFt*COS(RADIANS(Latitude+DecAng))</f>
        <v>52.439632545931744</v>
      </c>
      <c r="Y1188" s="246">
        <f ca="1">+$V1188*NSGradeFt+PedHeight+PanArrayLenFt*SIN(RADIANS(Latitude+DecAng))</f>
        <v>7.401410761154855</v>
      </c>
      <c r="Z1188" s="214">
        <f ca="1">+$W1188</f>
        <v>30.000006832286932</v>
      </c>
      <c r="AA1188" s="214">
        <f ca="1">+$Y1188</f>
        <v>7.401410761154855</v>
      </c>
      <c r="AB1188" s="214">
        <f ca="1">+$X1188</f>
        <v>52.439632545931744</v>
      </c>
      <c r="AC1188" s="214">
        <f ca="1">+$W1188-XOffset</f>
        <v>30.000006832286932</v>
      </c>
    </row>
    <row r="1189" spans="19:29" ht="8.4" customHeight="1">
      <c r="S1189" s="307"/>
      <c r="T1189" s="226">
        <f t="shared" si="69"/>
        <v>1186</v>
      </c>
      <c r="U1189" s="224">
        <f t="shared" si="67"/>
        <v>1</v>
      </c>
      <c r="V1189" s="225">
        <f t="shared" si="68"/>
        <v>2</v>
      </c>
      <c r="W1189" s="239">
        <f ca="1">$U1189*EWSpacingFt+XOffset+(PanArrayWidthHighEndFt-PanArrayWidthLowEndFt)/2</f>
        <v>30.000006832286932</v>
      </c>
      <c r="X1189" s="243">
        <f ca="1">$V1189*NSSpacingFt+YOffset+0</f>
        <v>35.999999999999979</v>
      </c>
      <c r="Y1189" s="247">
        <f ca="1">+$V1189*NSGradeFt+PedHeight+0</f>
        <v>7.401410761154855</v>
      </c>
      <c r="Z1189" s="214">
        <f ca="1">+$W1189</f>
        <v>30.000006832286932</v>
      </c>
      <c r="AA1189" s="214">
        <f ca="1">+$Y1189</f>
        <v>7.401410761154855</v>
      </c>
      <c r="AB1189" s="214">
        <f ca="1">+$X1189</f>
        <v>35.999999999999979</v>
      </c>
      <c r="AC1189" s="214">
        <f ca="1">+$W1189-XOffset</f>
        <v>30.000006832286932</v>
      </c>
    </row>
    <row r="1190" spans="19:29" ht="8.4" customHeight="1">
      <c r="S1190" s="307"/>
      <c r="T1190" s="226">
        <f t="shared" si="69"/>
        <v>1187</v>
      </c>
      <c r="U1190" s="224">
        <f t="shared" si="67"/>
        <v>1</v>
      </c>
      <c r="V1190" s="225">
        <f t="shared" si="68"/>
        <v>2</v>
      </c>
      <c r="W1190" s="217"/>
      <c r="X1190" s="217"/>
      <c r="Y1190" s="217"/>
      <c r="Z1190" s="214"/>
      <c r="AA1190" s="214"/>
      <c r="AB1190" s="214"/>
      <c r="AC1190" s="214"/>
    </row>
    <row r="1191" spans="19:29" ht="8.4" customHeight="1">
      <c r="S1191" s="307">
        <f>INT((T1191-0)/6)+1</f>
        <v>199</v>
      </c>
      <c r="T1191" s="226">
        <f t="shared" si="69"/>
        <v>1188</v>
      </c>
      <c r="U1191" s="224">
        <f t="shared" si="67"/>
        <v>0</v>
      </c>
      <c r="V1191" s="225">
        <f t="shared" si="68"/>
        <v>3</v>
      </c>
      <c r="W1191" s="233">
        <f ca="1">$U1191*EWSpacingFt+XOffset+(PanArrayWidthHighEndFt-PanArrayWidthLowEndFt)/2</f>
        <v>0</v>
      </c>
      <c r="X1191" s="234">
        <f ca="1">$V1191*NSSpacingFt+YOffset+0</f>
        <v>53.999999999999972</v>
      </c>
      <c r="Y1191" s="235">
        <f ca="1">+$V1191*NSGradeFt+PedHeight+0</f>
        <v>7.401410761154855</v>
      </c>
      <c r="Z1191" s="214">
        <f ca="1">+$W1191</f>
        <v>0</v>
      </c>
      <c r="AA1191" s="214">
        <f ca="1">+$Y1191</f>
        <v>7.401410761154855</v>
      </c>
      <c r="AB1191" s="214">
        <f ca="1">+$X1191</f>
        <v>53.999999999999972</v>
      </c>
      <c r="AC1191" s="214">
        <f ca="1">+$W1191-XOffset</f>
        <v>0</v>
      </c>
    </row>
    <row r="1192" spans="19:29" ht="8.4" customHeight="1">
      <c r="S1192" s="307"/>
      <c r="T1192" s="226">
        <f t="shared" si="69"/>
        <v>1189</v>
      </c>
      <c r="U1192" s="224">
        <f t="shared" si="67"/>
        <v>0</v>
      </c>
      <c r="V1192" s="225">
        <f t="shared" si="68"/>
        <v>3</v>
      </c>
      <c r="W1192" s="236">
        <f ca="1">+$U1192*EWSpacingFt+XOffset+PanArrayWidthHighEndFt-(PanArrayWidthHighEndFt-PanArrayWidthLowEndFt)/2</f>
        <v>10.80282152230971</v>
      </c>
      <c r="X1192" s="240">
        <f ca="1">$V1192*NSSpacingFt+YOffset+0</f>
        <v>53.999999999999972</v>
      </c>
      <c r="Y1192" s="244">
        <f ca="1">+$V1192*NSGradeFt+PedHeight+0</f>
        <v>7.401410761154855</v>
      </c>
      <c r="Z1192" s="214">
        <f ca="1">+$W1192</f>
        <v>10.80282152230971</v>
      </c>
      <c r="AA1192" s="214">
        <f ca="1">+$Y1192</f>
        <v>7.401410761154855</v>
      </c>
      <c r="AB1192" s="214">
        <f ca="1">+$X1192</f>
        <v>53.999999999999972</v>
      </c>
      <c r="AC1192" s="214">
        <f ca="1">+$W1192-XOffset</f>
        <v>10.80282152230971</v>
      </c>
    </row>
    <row r="1193" spans="19:29" ht="8.4" customHeight="1">
      <c r="S1193" s="307"/>
      <c r="T1193" s="226">
        <f t="shared" si="69"/>
        <v>1190</v>
      </c>
      <c r="U1193" s="224">
        <f t="shared" si="67"/>
        <v>0</v>
      </c>
      <c r="V1193" s="225">
        <f t="shared" si="68"/>
        <v>3</v>
      </c>
      <c r="W1193" s="237">
        <f ca="1">$U1193*EWSpacingFt+XOffset+PanArrayWidthHighEndFt</f>
        <v>10.80282152230971</v>
      </c>
      <c r="X1193" s="241">
        <f ca="1">$V1193*NSSpacingFt+YOffset+PanArrayLenFt*COS(RADIANS(Latitude+DecAng))</f>
        <v>70.43963254593173</v>
      </c>
      <c r="Y1193" s="245">
        <f ca="1">+$V1193*NSGradeFt+PedHeight+PanArrayLenFt*SIN(RADIANS(Latitude+DecAng))</f>
        <v>7.401410761154855</v>
      </c>
      <c r="Z1193" s="214">
        <f ca="1">+$W1193</f>
        <v>10.80282152230971</v>
      </c>
      <c r="AA1193" s="214">
        <f ca="1">+$Y1193</f>
        <v>7.401410761154855</v>
      </c>
      <c r="AB1193" s="214">
        <f ca="1">+$X1193</f>
        <v>70.43963254593173</v>
      </c>
      <c r="AC1193" s="214">
        <f ca="1">+$W1193-XOffset</f>
        <v>10.80282152230971</v>
      </c>
    </row>
    <row r="1194" spans="19:29" ht="8.4" customHeight="1">
      <c r="S1194" s="307"/>
      <c r="T1194" s="226">
        <f t="shared" si="69"/>
        <v>1191</v>
      </c>
      <c r="U1194" s="224">
        <f t="shared" si="67"/>
        <v>0</v>
      </c>
      <c r="V1194" s="225">
        <f t="shared" si="68"/>
        <v>3</v>
      </c>
      <c r="W1194" s="238">
        <f ca="1">$U1194*EWSpacingFt+XOffset+0</f>
        <v>0</v>
      </c>
      <c r="X1194" s="242">
        <f ca="1">$V1194*NSSpacingFt+YOffset+PanArrayLenFt*COS(RADIANS(Latitude+DecAng))</f>
        <v>70.43963254593173</v>
      </c>
      <c r="Y1194" s="246">
        <f ca="1">+$V1194*NSGradeFt+PedHeight+PanArrayLenFt*SIN(RADIANS(Latitude+DecAng))</f>
        <v>7.401410761154855</v>
      </c>
      <c r="Z1194" s="214">
        <f ca="1">+$W1194</f>
        <v>0</v>
      </c>
      <c r="AA1194" s="214">
        <f ca="1">+$Y1194</f>
        <v>7.401410761154855</v>
      </c>
      <c r="AB1194" s="214">
        <f ca="1">+$X1194</f>
        <v>70.43963254593173</v>
      </c>
      <c r="AC1194" s="214">
        <f ca="1">+$W1194-XOffset</f>
        <v>0</v>
      </c>
    </row>
    <row r="1195" spans="19:29" ht="8.4" customHeight="1">
      <c r="S1195" s="307"/>
      <c r="T1195" s="226">
        <f t="shared" si="69"/>
        <v>1192</v>
      </c>
      <c r="U1195" s="224">
        <f t="shared" si="67"/>
        <v>0</v>
      </c>
      <c r="V1195" s="225">
        <f t="shared" si="68"/>
        <v>3</v>
      </c>
      <c r="W1195" s="239">
        <f ca="1">$U1195*EWSpacingFt+XOffset+(PanArrayWidthHighEndFt-PanArrayWidthLowEndFt)/2</f>
        <v>0</v>
      </c>
      <c r="X1195" s="243">
        <f ca="1">$V1195*NSSpacingFt+YOffset+0</f>
        <v>53.999999999999972</v>
      </c>
      <c r="Y1195" s="247">
        <f ca="1">+$V1195*NSGradeFt+PedHeight+0</f>
        <v>7.401410761154855</v>
      </c>
      <c r="Z1195" s="214">
        <f ca="1">+$W1195</f>
        <v>0</v>
      </c>
      <c r="AA1195" s="214">
        <f ca="1">+$Y1195</f>
        <v>7.401410761154855</v>
      </c>
      <c r="AB1195" s="214">
        <f ca="1">+$X1195</f>
        <v>53.999999999999972</v>
      </c>
      <c r="AC1195" s="214">
        <f ca="1">+$W1195-XOffset</f>
        <v>0</v>
      </c>
    </row>
    <row r="1196" spans="19:29" ht="8.4" customHeight="1">
      <c r="S1196" s="307"/>
      <c r="T1196" s="226">
        <f t="shared" si="69"/>
        <v>1193</v>
      </c>
      <c r="U1196" s="224">
        <f t="shared" si="67"/>
        <v>0</v>
      </c>
      <c r="V1196" s="225">
        <f t="shared" si="68"/>
        <v>3</v>
      </c>
      <c r="W1196" s="217"/>
      <c r="X1196" s="217"/>
      <c r="Y1196" s="217"/>
      <c r="Z1196" s="214"/>
      <c r="AA1196" s="214"/>
      <c r="AB1196" s="214"/>
      <c r="AC1196" s="214"/>
    </row>
    <row r="1197" spans="19:29" ht="8.4" customHeight="1">
      <c r="S1197" s="307">
        <f>INT((T1197-0)/6)+1</f>
        <v>200</v>
      </c>
      <c r="T1197" s="226">
        <f t="shared" si="69"/>
        <v>1194</v>
      </c>
      <c r="U1197" s="224">
        <f t="shared" si="67"/>
        <v>1</v>
      </c>
      <c r="V1197" s="225">
        <f t="shared" si="68"/>
        <v>3</v>
      </c>
      <c r="W1197" s="233">
        <f ca="1">$U1197*EWSpacingFt+XOffset+(PanArrayWidthHighEndFt-PanArrayWidthLowEndFt)/2</f>
        <v>30.000006832286932</v>
      </c>
      <c r="X1197" s="234">
        <f ca="1">$V1197*NSSpacingFt+YOffset+0</f>
        <v>53.999999999999972</v>
      </c>
      <c r="Y1197" s="235">
        <f ca="1">+$V1197*NSGradeFt+PedHeight+0</f>
        <v>7.401410761154855</v>
      </c>
      <c r="Z1197" s="214">
        <f ca="1">+$W1197</f>
        <v>30.000006832286932</v>
      </c>
      <c r="AA1197" s="214">
        <f ca="1">+$Y1197</f>
        <v>7.401410761154855</v>
      </c>
      <c r="AB1197" s="214">
        <f ca="1">+$X1197</f>
        <v>53.999999999999972</v>
      </c>
      <c r="AC1197" s="214">
        <f ca="1">+$W1197-XOffset</f>
        <v>30.000006832286932</v>
      </c>
    </row>
    <row r="1198" spans="19:29" ht="8.4" customHeight="1">
      <c r="S1198" s="307"/>
      <c r="T1198" s="226">
        <f t="shared" si="69"/>
        <v>1195</v>
      </c>
      <c r="U1198" s="224">
        <f t="shared" si="67"/>
        <v>1</v>
      </c>
      <c r="V1198" s="225">
        <f t="shared" si="68"/>
        <v>3</v>
      </c>
      <c r="W1198" s="236">
        <f ca="1">+$U1198*EWSpacingFt+XOffset+PanArrayWidthHighEndFt-(PanArrayWidthHighEndFt-PanArrayWidthLowEndFt)/2</f>
        <v>40.802828354596642</v>
      </c>
      <c r="X1198" s="240">
        <f ca="1">$V1198*NSSpacingFt+YOffset+0</f>
        <v>53.999999999999972</v>
      </c>
      <c r="Y1198" s="244">
        <f ca="1">+$V1198*NSGradeFt+PedHeight+0</f>
        <v>7.401410761154855</v>
      </c>
      <c r="Z1198" s="214">
        <f ca="1">+$W1198</f>
        <v>40.802828354596642</v>
      </c>
      <c r="AA1198" s="214">
        <f ca="1">+$Y1198</f>
        <v>7.401410761154855</v>
      </c>
      <c r="AB1198" s="214">
        <f ca="1">+$X1198</f>
        <v>53.999999999999972</v>
      </c>
      <c r="AC1198" s="214">
        <f ca="1">+$W1198-XOffset</f>
        <v>40.802828354596642</v>
      </c>
    </row>
    <row r="1199" spans="19:29" ht="8.4" customHeight="1">
      <c r="S1199" s="307"/>
      <c r="T1199" s="226">
        <f t="shared" si="69"/>
        <v>1196</v>
      </c>
      <c r="U1199" s="224">
        <f t="shared" si="67"/>
        <v>1</v>
      </c>
      <c r="V1199" s="225">
        <f t="shared" si="68"/>
        <v>3</v>
      </c>
      <c r="W1199" s="237">
        <f ca="1">$U1199*EWSpacingFt+XOffset+PanArrayWidthHighEndFt</f>
        <v>40.802828354596642</v>
      </c>
      <c r="X1199" s="241">
        <f ca="1">$V1199*NSSpacingFt+YOffset+PanArrayLenFt*COS(RADIANS(Latitude+DecAng))</f>
        <v>70.43963254593173</v>
      </c>
      <c r="Y1199" s="245">
        <f ca="1">+$V1199*NSGradeFt+PedHeight+PanArrayLenFt*SIN(RADIANS(Latitude+DecAng))</f>
        <v>7.401410761154855</v>
      </c>
      <c r="Z1199" s="214">
        <f ca="1">+$W1199</f>
        <v>40.802828354596642</v>
      </c>
      <c r="AA1199" s="214">
        <f ca="1">+$Y1199</f>
        <v>7.401410761154855</v>
      </c>
      <c r="AB1199" s="214">
        <f ca="1">+$X1199</f>
        <v>70.43963254593173</v>
      </c>
      <c r="AC1199" s="214">
        <f ca="1">+$W1199-XOffset</f>
        <v>40.802828354596642</v>
      </c>
    </row>
    <row r="1200" spans="19:29" ht="8.4" customHeight="1">
      <c r="S1200" s="307"/>
      <c r="T1200" s="226">
        <f t="shared" si="69"/>
        <v>1197</v>
      </c>
      <c r="U1200" s="224">
        <f t="shared" si="67"/>
        <v>1</v>
      </c>
      <c r="V1200" s="225">
        <f t="shared" si="68"/>
        <v>3</v>
      </c>
      <c r="W1200" s="238">
        <f ca="1">$U1200*EWSpacingFt+XOffset+0</f>
        <v>30.000006832286932</v>
      </c>
      <c r="X1200" s="242">
        <f ca="1">$V1200*NSSpacingFt+YOffset+PanArrayLenFt*COS(RADIANS(Latitude+DecAng))</f>
        <v>70.43963254593173</v>
      </c>
      <c r="Y1200" s="246">
        <f ca="1">+$V1200*NSGradeFt+PedHeight+PanArrayLenFt*SIN(RADIANS(Latitude+DecAng))</f>
        <v>7.401410761154855</v>
      </c>
      <c r="Z1200" s="214">
        <f ca="1">+$W1200</f>
        <v>30.000006832286932</v>
      </c>
      <c r="AA1200" s="214">
        <f ca="1">+$Y1200</f>
        <v>7.401410761154855</v>
      </c>
      <c r="AB1200" s="214">
        <f ca="1">+$X1200</f>
        <v>70.43963254593173</v>
      </c>
      <c r="AC1200" s="214">
        <f ca="1">+$W1200-XOffset</f>
        <v>30.000006832286932</v>
      </c>
    </row>
    <row r="1201" spans="19:29" ht="8.4" customHeight="1">
      <c r="S1201" s="307"/>
      <c r="T1201" s="226">
        <f t="shared" si="69"/>
        <v>1198</v>
      </c>
      <c r="U1201" s="224">
        <f t="shared" si="67"/>
        <v>1</v>
      </c>
      <c r="V1201" s="225">
        <f t="shared" si="68"/>
        <v>3</v>
      </c>
      <c r="W1201" s="239">
        <f ca="1">$U1201*EWSpacingFt+XOffset+(PanArrayWidthHighEndFt-PanArrayWidthLowEndFt)/2</f>
        <v>30.000006832286932</v>
      </c>
      <c r="X1201" s="243">
        <f ca="1">$V1201*NSSpacingFt+YOffset+0</f>
        <v>53.999999999999972</v>
      </c>
      <c r="Y1201" s="247">
        <f ca="1">+$V1201*NSGradeFt+PedHeight+0</f>
        <v>7.401410761154855</v>
      </c>
      <c r="Z1201" s="214">
        <f ca="1">+$W1201</f>
        <v>30.000006832286932</v>
      </c>
      <c r="AA1201" s="214">
        <f ca="1">+$Y1201</f>
        <v>7.401410761154855</v>
      </c>
      <c r="AB1201" s="214">
        <f ca="1">+$X1201</f>
        <v>53.999999999999972</v>
      </c>
      <c r="AC1201" s="214">
        <f ca="1">+$W1201-XOffset</f>
        <v>30.000006832286932</v>
      </c>
    </row>
    <row r="1202" spans="19:29" ht="8.4" customHeight="1">
      <c r="S1202" s="307"/>
      <c r="T1202" s="226">
        <f t="shared" si="69"/>
        <v>1199</v>
      </c>
      <c r="U1202" s="224">
        <f t="shared" si="67"/>
        <v>1</v>
      </c>
      <c r="V1202" s="225">
        <f t="shared" si="68"/>
        <v>3</v>
      </c>
      <c r="W1202" s="217"/>
      <c r="X1202" s="217"/>
      <c r="Y1202" s="217"/>
      <c r="Z1202" s="214"/>
      <c r="AA1202" s="214"/>
      <c r="AB1202" s="214"/>
      <c r="AC1202" s="214"/>
    </row>
    <row r="1203" spans="19:29" ht="8.4" customHeight="1">
      <c r="S1203" s="307">
        <f>INT((T1203-0)/6)+1</f>
        <v>201</v>
      </c>
      <c r="T1203" s="226">
        <f t="shared" si="69"/>
        <v>1200</v>
      </c>
      <c r="U1203" s="224">
        <f t="shared" si="67"/>
        <v>0</v>
      </c>
      <c r="V1203" s="225">
        <f t="shared" si="68"/>
        <v>0</v>
      </c>
      <c r="W1203" s="233">
        <f ca="1">$U1203*EWSpacingFt+XOffset+(PanArrayWidthHighEndFt-PanArrayWidthLowEndFt)/2</f>
        <v>0</v>
      </c>
      <c r="X1203" s="234">
        <f ca="1">$V1203*NSSpacingFt+YOffset+0</f>
        <v>0</v>
      </c>
      <c r="Y1203" s="235">
        <f ca="1">+$V1203*NSGradeFt+PedHeight+0</f>
        <v>7.401410761154855</v>
      </c>
      <c r="Z1203" s="214">
        <f ca="1">+$W1203</f>
        <v>0</v>
      </c>
      <c r="AA1203" s="214">
        <f ca="1">+$Y1203</f>
        <v>7.401410761154855</v>
      </c>
      <c r="AB1203" s="214">
        <f ca="1">+$X1203</f>
        <v>0</v>
      </c>
      <c r="AC1203" s="214">
        <f ca="1">+$W1203-XOffset</f>
        <v>0</v>
      </c>
    </row>
    <row r="1204" spans="19:29" ht="8.4" customHeight="1">
      <c r="S1204" s="307"/>
      <c r="T1204" s="226">
        <f t="shared" si="69"/>
        <v>1201</v>
      </c>
      <c r="U1204" s="224">
        <f t="shared" si="67"/>
        <v>0</v>
      </c>
      <c r="V1204" s="225">
        <f t="shared" si="68"/>
        <v>0</v>
      </c>
      <c r="W1204" s="236">
        <f ca="1">+$U1204*EWSpacingFt+XOffset+PanArrayWidthHighEndFt-(PanArrayWidthHighEndFt-PanArrayWidthLowEndFt)/2</f>
        <v>10.80282152230971</v>
      </c>
      <c r="X1204" s="240">
        <f ca="1">$V1204*NSSpacingFt+YOffset+0</f>
        <v>0</v>
      </c>
      <c r="Y1204" s="244">
        <f ca="1">+$V1204*NSGradeFt+PedHeight+0</f>
        <v>7.401410761154855</v>
      </c>
      <c r="Z1204" s="214">
        <f ca="1">+$W1204</f>
        <v>10.80282152230971</v>
      </c>
      <c r="AA1204" s="214">
        <f ca="1">+$Y1204</f>
        <v>7.401410761154855</v>
      </c>
      <c r="AB1204" s="214">
        <f ca="1">+$X1204</f>
        <v>0</v>
      </c>
      <c r="AC1204" s="214">
        <f ca="1">+$W1204-XOffset</f>
        <v>10.80282152230971</v>
      </c>
    </row>
    <row r="1205" spans="19:29" ht="8.4" customHeight="1">
      <c r="S1205" s="307"/>
      <c r="T1205" s="226">
        <f t="shared" si="69"/>
        <v>1202</v>
      </c>
      <c r="U1205" s="224">
        <f t="shared" si="67"/>
        <v>0</v>
      </c>
      <c r="V1205" s="225">
        <f t="shared" si="68"/>
        <v>0</v>
      </c>
      <c r="W1205" s="237">
        <f ca="1">$U1205*EWSpacingFt+XOffset+PanArrayWidthHighEndFt</f>
        <v>10.80282152230971</v>
      </c>
      <c r="X1205" s="241">
        <f ca="1">$V1205*NSSpacingFt+YOffset+PanArrayLenFt*COS(RADIANS(Latitude+DecAng))</f>
        <v>16.439632545931762</v>
      </c>
      <c r="Y1205" s="245">
        <f ca="1">+$V1205*NSGradeFt+PedHeight+PanArrayLenFt*SIN(RADIANS(Latitude+DecAng))</f>
        <v>7.401410761154855</v>
      </c>
      <c r="Z1205" s="214">
        <f ca="1">+$W1205</f>
        <v>10.80282152230971</v>
      </c>
      <c r="AA1205" s="214">
        <f ca="1">+$Y1205</f>
        <v>7.401410761154855</v>
      </c>
      <c r="AB1205" s="214">
        <f ca="1">+$X1205</f>
        <v>16.439632545931762</v>
      </c>
      <c r="AC1205" s="214">
        <f ca="1">+$W1205-XOffset</f>
        <v>10.80282152230971</v>
      </c>
    </row>
    <row r="1206" spans="19:29" ht="8.4" customHeight="1">
      <c r="S1206" s="307"/>
      <c r="T1206" s="226">
        <f t="shared" si="69"/>
        <v>1203</v>
      </c>
      <c r="U1206" s="224">
        <f t="shared" si="67"/>
        <v>0</v>
      </c>
      <c r="V1206" s="225">
        <f t="shared" si="68"/>
        <v>0</v>
      </c>
      <c r="W1206" s="238">
        <f ca="1">$U1206*EWSpacingFt+XOffset+0</f>
        <v>0</v>
      </c>
      <c r="X1206" s="242">
        <f ca="1">$V1206*NSSpacingFt+YOffset+PanArrayLenFt*COS(RADIANS(Latitude+DecAng))</f>
        <v>16.439632545931762</v>
      </c>
      <c r="Y1206" s="246">
        <f ca="1">+$V1206*NSGradeFt+PedHeight+PanArrayLenFt*SIN(RADIANS(Latitude+DecAng))</f>
        <v>7.401410761154855</v>
      </c>
      <c r="Z1206" s="214">
        <f ca="1">+$W1206</f>
        <v>0</v>
      </c>
      <c r="AA1206" s="214">
        <f ca="1">+$Y1206</f>
        <v>7.401410761154855</v>
      </c>
      <c r="AB1206" s="214">
        <f ca="1">+$X1206</f>
        <v>16.439632545931762</v>
      </c>
      <c r="AC1206" s="214">
        <f ca="1">+$W1206-XOffset</f>
        <v>0</v>
      </c>
    </row>
    <row r="1207" spans="19:29" ht="8.4" customHeight="1">
      <c r="S1207" s="307"/>
      <c r="T1207" s="226">
        <f t="shared" si="69"/>
        <v>1204</v>
      </c>
      <c r="U1207" s="224">
        <f t="shared" si="67"/>
        <v>0</v>
      </c>
      <c r="V1207" s="225">
        <f t="shared" si="68"/>
        <v>0</v>
      </c>
      <c r="W1207" s="239">
        <f ca="1">$U1207*EWSpacingFt+XOffset+(PanArrayWidthHighEndFt-PanArrayWidthLowEndFt)/2</f>
        <v>0</v>
      </c>
      <c r="X1207" s="243">
        <f ca="1">$V1207*NSSpacingFt+YOffset+0</f>
        <v>0</v>
      </c>
      <c r="Y1207" s="247">
        <f ca="1">+$V1207*NSGradeFt+PedHeight+0</f>
        <v>7.401410761154855</v>
      </c>
      <c r="Z1207" s="214">
        <f ca="1">+$W1207</f>
        <v>0</v>
      </c>
      <c r="AA1207" s="214">
        <f ca="1">+$Y1207</f>
        <v>7.401410761154855</v>
      </c>
      <c r="AB1207" s="214">
        <f ca="1">+$X1207</f>
        <v>0</v>
      </c>
      <c r="AC1207" s="214">
        <f ca="1">+$W1207-XOffset</f>
        <v>0</v>
      </c>
    </row>
    <row r="1208" spans="19:29" ht="8.4" customHeight="1">
      <c r="S1208" s="307"/>
      <c r="T1208" s="226">
        <f t="shared" si="69"/>
        <v>1205</v>
      </c>
      <c r="U1208" s="224">
        <f t="shared" si="67"/>
        <v>0</v>
      </c>
      <c r="V1208" s="225">
        <f t="shared" si="68"/>
        <v>0</v>
      </c>
      <c r="W1208" s="217"/>
      <c r="X1208" s="217"/>
      <c r="Y1208" s="217"/>
      <c r="Z1208" s="214"/>
      <c r="AA1208" s="214"/>
      <c r="AB1208" s="214"/>
      <c r="AC1208" s="214"/>
    </row>
    <row r="1209" spans="19:29" ht="8.4" customHeight="1">
      <c r="S1209" s="307">
        <f>INT((T1209-0)/6)+1</f>
        <v>202</v>
      </c>
      <c r="T1209" s="226">
        <f t="shared" si="69"/>
        <v>1206</v>
      </c>
      <c r="U1209" s="224">
        <f t="shared" si="67"/>
        <v>1</v>
      </c>
      <c r="V1209" s="225">
        <f t="shared" si="68"/>
        <v>0</v>
      </c>
      <c r="W1209" s="233">
        <f ca="1">$U1209*EWSpacingFt+XOffset+(PanArrayWidthHighEndFt-PanArrayWidthLowEndFt)/2</f>
        <v>30.000006832286932</v>
      </c>
      <c r="X1209" s="234">
        <f ca="1">$V1209*NSSpacingFt+YOffset+0</f>
        <v>0</v>
      </c>
      <c r="Y1209" s="235">
        <f ca="1">+$V1209*NSGradeFt+PedHeight+0</f>
        <v>7.401410761154855</v>
      </c>
      <c r="Z1209" s="214">
        <f ca="1">+$W1209</f>
        <v>30.000006832286932</v>
      </c>
      <c r="AA1209" s="214">
        <f ca="1">+$Y1209</f>
        <v>7.401410761154855</v>
      </c>
      <c r="AB1209" s="214">
        <f ca="1">+$X1209</f>
        <v>0</v>
      </c>
      <c r="AC1209" s="214">
        <f ca="1">+$W1209-XOffset</f>
        <v>30.000006832286932</v>
      </c>
    </row>
    <row r="1210" spans="19:29" ht="8.4" customHeight="1">
      <c r="S1210" s="307"/>
      <c r="T1210" s="226">
        <f t="shared" si="69"/>
        <v>1207</v>
      </c>
      <c r="U1210" s="224">
        <f t="shared" si="67"/>
        <v>1</v>
      </c>
      <c r="V1210" s="225">
        <f t="shared" si="68"/>
        <v>0</v>
      </c>
      <c r="W1210" s="236">
        <f ca="1">+$U1210*EWSpacingFt+XOffset+PanArrayWidthHighEndFt-(PanArrayWidthHighEndFt-PanArrayWidthLowEndFt)/2</f>
        <v>40.802828354596642</v>
      </c>
      <c r="X1210" s="240">
        <f ca="1">$V1210*NSSpacingFt+YOffset+0</f>
        <v>0</v>
      </c>
      <c r="Y1210" s="244">
        <f ca="1">+$V1210*NSGradeFt+PedHeight+0</f>
        <v>7.401410761154855</v>
      </c>
      <c r="Z1210" s="214">
        <f ca="1">+$W1210</f>
        <v>40.802828354596642</v>
      </c>
      <c r="AA1210" s="214">
        <f ca="1">+$Y1210</f>
        <v>7.401410761154855</v>
      </c>
      <c r="AB1210" s="214">
        <f ca="1">+$X1210</f>
        <v>0</v>
      </c>
      <c r="AC1210" s="214">
        <f ca="1">+$W1210-XOffset</f>
        <v>40.802828354596642</v>
      </c>
    </row>
    <row r="1211" spans="19:29" ht="8.4" customHeight="1">
      <c r="S1211" s="307"/>
      <c r="T1211" s="226">
        <f t="shared" si="69"/>
        <v>1208</v>
      </c>
      <c r="U1211" s="224">
        <f t="shared" si="67"/>
        <v>1</v>
      </c>
      <c r="V1211" s="225">
        <f t="shared" si="68"/>
        <v>0</v>
      </c>
      <c r="W1211" s="237">
        <f ca="1">$U1211*EWSpacingFt+XOffset+PanArrayWidthHighEndFt</f>
        <v>40.802828354596642</v>
      </c>
      <c r="X1211" s="241">
        <f ca="1">$V1211*NSSpacingFt+YOffset+PanArrayLenFt*COS(RADIANS(Latitude+DecAng))</f>
        <v>16.439632545931762</v>
      </c>
      <c r="Y1211" s="245">
        <f ca="1">+$V1211*NSGradeFt+PedHeight+PanArrayLenFt*SIN(RADIANS(Latitude+DecAng))</f>
        <v>7.401410761154855</v>
      </c>
      <c r="Z1211" s="214">
        <f ca="1">+$W1211</f>
        <v>40.802828354596642</v>
      </c>
      <c r="AA1211" s="214">
        <f ca="1">+$Y1211</f>
        <v>7.401410761154855</v>
      </c>
      <c r="AB1211" s="214">
        <f ca="1">+$X1211</f>
        <v>16.439632545931762</v>
      </c>
      <c r="AC1211" s="214">
        <f ca="1">+$W1211-XOffset</f>
        <v>40.802828354596642</v>
      </c>
    </row>
    <row r="1212" spans="19:29" ht="8.4" customHeight="1">
      <c r="S1212" s="307"/>
      <c r="T1212" s="226">
        <f t="shared" si="69"/>
        <v>1209</v>
      </c>
      <c r="U1212" s="224">
        <f t="shared" si="67"/>
        <v>1</v>
      </c>
      <c r="V1212" s="225">
        <f t="shared" si="68"/>
        <v>0</v>
      </c>
      <c r="W1212" s="238">
        <f ca="1">$U1212*EWSpacingFt+XOffset+0</f>
        <v>30.000006832286932</v>
      </c>
      <c r="X1212" s="242">
        <f ca="1">$V1212*NSSpacingFt+YOffset+PanArrayLenFt*COS(RADIANS(Latitude+DecAng))</f>
        <v>16.439632545931762</v>
      </c>
      <c r="Y1212" s="246">
        <f ca="1">+$V1212*NSGradeFt+PedHeight+PanArrayLenFt*SIN(RADIANS(Latitude+DecAng))</f>
        <v>7.401410761154855</v>
      </c>
      <c r="Z1212" s="214">
        <f ca="1">+$W1212</f>
        <v>30.000006832286932</v>
      </c>
      <c r="AA1212" s="214">
        <f ca="1">+$Y1212</f>
        <v>7.401410761154855</v>
      </c>
      <c r="AB1212" s="214">
        <f ca="1">+$X1212</f>
        <v>16.439632545931762</v>
      </c>
      <c r="AC1212" s="214">
        <f ca="1">+$W1212-XOffset</f>
        <v>30.000006832286932</v>
      </c>
    </row>
    <row r="1213" spans="19:29" ht="8.4" customHeight="1">
      <c r="S1213" s="307"/>
      <c r="T1213" s="226">
        <f t="shared" si="69"/>
        <v>1210</v>
      </c>
      <c r="U1213" s="224">
        <f t="shared" si="67"/>
        <v>1</v>
      </c>
      <c r="V1213" s="225">
        <f t="shared" si="68"/>
        <v>0</v>
      </c>
      <c r="W1213" s="239">
        <f ca="1">$U1213*EWSpacingFt+XOffset+(PanArrayWidthHighEndFt-PanArrayWidthLowEndFt)/2</f>
        <v>30.000006832286932</v>
      </c>
      <c r="X1213" s="243">
        <f ca="1">$V1213*NSSpacingFt+YOffset+0</f>
        <v>0</v>
      </c>
      <c r="Y1213" s="247">
        <f ca="1">+$V1213*NSGradeFt+PedHeight+0</f>
        <v>7.401410761154855</v>
      </c>
      <c r="Z1213" s="214">
        <f ca="1">+$W1213</f>
        <v>30.000006832286932</v>
      </c>
      <c r="AA1213" s="214">
        <f ca="1">+$Y1213</f>
        <v>7.401410761154855</v>
      </c>
      <c r="AB1213" s="214">
        <f ca="1">+$X1213</f>
        <v>0</v>
      </c>
      <c r="AC1213" s="214">
        <f ca="1">+$W1213-XOffset</f>
        <v>30.000006832286932</v>
      </c>
    </row>
    <row r="1214" spans="19:29" ht="8.4" customHeight="1">
      <c r="S1214" s="307"/>
      <c r="T1214" s="226">
        <f t="shared" si="69"/>
        <v>1211</v>
      </c>
      <c r="U1214" s="224">
        <f t="shared" si="67"/>
        <v>1</v>
      </c>
      <c r="V1214" s="225">
        <f t="shared" si="68"/>
        <v>0</v>
      </c>
      <c r="W1214" s="217"/>
      <c r="X1214" s="217"/>
      <c r="Y1214" s="217"/>
      <c r="Z1214" s="214"/>
      <c r="AA1214" s="214"/>
      <c r="AB1214" s="214"/>
      <c r="AC1214" s="214"/>
    </row>
    <row r="1215" spans="19:29" ht="8.4" customHeight="1">
      <c r="S1215" s="307">
        <f>INT((T1215-0)/6)+1</f>
        <v>203</v>
      </c>
      <c r="T1215" s="226">
        <f t="shared" si="69"/>
        <v>1212</v>
      </c>
      <c r="U1215" s="224">
        <f t="shared" si="67"/>
        <v>0</v>
      </c>
      <c r="V1215" s="225">
        <f t="shared" si="68"/>
        <v>1</v>
      </c>
      <c r="W1215" s="233">
        <f ca="1">$U1215*EWSpacingFt+XOffset+(PanArrayWidthHighEndFt-PanArrayWidthLowEndFt)/2</f>
        <v>0</v>
      </c>
      <c r="X1215" s="234">
        <f ca="1">$V1215*NSSpacingFt+YOffset+0</f>
        <v>17.999999999999989</v>
      </c>
      <c r="Y1215" s="235">
        <f ca="1">+$V1215*NSGradeFt+PedHeight+0</f>
        <v>7.401410761154855</v>
      </c>
      <c r="Z1215" s="214">
        <f ca="1">+$W1215</f>
        <v>0</v>
      </c>
      <c r="AA1215" s="214">
        <f ca="1">+$Y1215</f>
        <v>7.401410761154855</v>
      </c>
      <c r="AB1215" s="214">
        <f ca="1">+$X1215</f>
        <v>17.999999999999989</v>
      </c>
      <c r="AC1215" s="214">
        <f ca="1">+$W1215-XOffset</f>
        <v>0</v>
      </c>
    </row>
    <row r="1216" spans="19:29" ht="8.4" customHeight="1">
      <c r="S1216" s="307"/>
      <c r="T1216" s="226">
        <f t="shared" si="69"/>
        <v>1213</v>
      </c>
      <c r="U1216" s="224">
        <f t="shared" si="67"/>
        <v>0</v>
      </c>
      <c r="V1216" s="225">
        <f t="shared" si="68"/>
        <v>1</v>
      </c>
      <c r="W1216" s="236">
        <f ca="1">+$U1216*EWSpacingFt+XOffset+PanArrayWidthHighEndFt-(PanArrayWidthHighEndFt-PanArrayWidthLowEndFt)/2</f>
        <v>10.80282152230971</v>
      </c>
      <c r="X1216" s="240">
        <f ca="1">$V1216*NSSpacingFt+YOffset+0</f>
        <v>17.999999999999989</v>
      </c>
      <c r="Y1216" s="244">
        <f ca="1">+$V1216*NSGradeFt+PedHeight+0</f>
        <v>7.401410761154855</v>
      </c>
      <c r="Z1216" s="214">
        <f ca="1">+$W1216</f>
        <v>10.80282152230971</v>
      </c>
      <c r="AA1216" s="214">
        <f ca="1">+$Y1216</f>
        <v>7.401410761154855</v>
      </c>
      <c r="AB1216" s="214">
        <f ca="1">+$X1216</f>
        <v>17.999999999999989</v>
      </c>
      <c r="AC1216" s="214">
        <f ca="1">+$W1216-XOffset</f>
        <v>10.80282152230971</v>
      </c>
    </row>
    <row r="1217" spans="19:29" ht="8.4" customHeight="1">
      <c r="S1217" s="307"/>
      <c r="T1217" s="226">
        <f t="shared" si="69"/>
        <v>1214</v>
      </c>
      <c r="U1217" s="224">
        <f t="shared" si="67"/>
        <v>0</v>
      </c>
      <c r="V1217" s="225">
        <f t="shared" si="68"/>
        <v>1</v>
      </c>
      <c r="W1217" s="237">
        <f ca="1">$U1217*EWSpacingFt+XOffset+PanArrayWidthHighEndFt</f>
        <v>10.80282152230971</v>
      </c>
      <c r="X1217" s="241">
        <f ca="1">$V1217*NSSpacingFt+YOffset+PanArrayLenFt*COS(RADIANS(Latitude+DecAng))</f>
        <v>34.439632545931751</v>
      </c>
      <c r="Y1217" s="245">
        <f ca="1">+$V1217*NSGradeFt+PedHeight+PanArrayLenFt*SIN(RADIANS(Latitude+DecAng))</f>
        <v>7.401410761154855</v>
      </c>
      <c r="Z1217" s="214">
        <f ca="1">+$W1217</f>
        <v>10.80282152230971</v>
      </c>
      <c r="AA1217" s="214">
        <f ca="1">+$Y1217</f>
        <v>7.401410761154855</v>
      </c>
      <c r="AB1217" s="214">
        <f ca="1">+$X1217</f>
        <v>34.439632545931751</v>
      </c>
      <c r="AC1217" s="214">
        <f ca="1">+$W1217-XOffset</f>
        <v>10.80282152230971</v>
      </c>
    </row>
    <row r="1218" spans="19:29" ht="8.4" customHeight="1">
      <c r="S1218" s="307"/>
      <c r="T1218" s="226">
        <f t="shared" si="69"/>
        <v>1215</v>
      </c>
      <c r="U1218" s="224">
        <f t="shared" si="67"/>
        <v>0</v>
      </c>
      <c r="V1218" s="225">
        <f t="shared" si="68"/>
        <v>1</v>
      </c>
      <c r="W1218" s="238">
        <f ca="1">$U1218*EWSpacingFt+XOffset+0</f>
        <v>0</v>
      </c>
      <c r="X1218" s="242">
        <f ca="1">$V1218*NSSpacingFt+YOffset+PanArrayLenFt*COS(RADIANS(Latitude+DecAng))</f>
        <v>34.439632545931751</v>
      </c>
      <c r="Y1218" s="246">
        <f ca="1">+$V1218*NSGradeFt+PedHeight+PanArrayLenFt*SIN(RADIANS(Latitude+DecAng))</f>
        <v>7.401410761154855</v>
      </c>
      <c r="Z1218" s="214">
        <f ca="1">+$W1218</f>
        <v>0</v>
      </c>
      <c r="AA1218" s="214">
        <f ca="1">+$Y1218</f>
        <v>7.401410761154855</v>
      </c>
      <c r="AB1218" s="214">
        <f ca="1">+$X1218</f>
        <v>34.439632545931751</v>
      </c>
      <c r="AC1218" s="214">
        <f ca="1">+$W1218-XOffset</f>
        <v>0</v>
      </c>
    </row>
    <row r="1219" spans="19:29" ht="8.4" customHeight="1">
      <c r="S1219" s="307"/>
      <c r="T1219" s="226">
        <f t="shared" si="69"/>
        <v>1216</v>
      </c>
      <c r="U1219" s="224">
        <f t="shared" ref="U1219:U1282" si="70">+MOD(INT(T1219/6),ColumnsOfMounts)</f>
        <v>0</v>
      </c>
      <c r="V1219" s="225">
        <f t="shared" ref="V1219:V1282" si="71">+MOD(INT(T1219/6/ColumnsOfMounts),RowsOfMounts)</f>
        <v>1</v>
      </c>
      <c r="W1219" s="239">
        <f ca="1">$U1219*EWSpacingFt+XOffset+(PanArrayWidthHighEndFt-PanArrayWidthLowEndFt)/2</f>
        <v>0</v>
      </c>
      <c r="X1219" s="243">
        <f ca="1">$V1219*NSSpacingFt+YOffset+0</f>
        <v>17.999999999999989</v>
      </c>
      <c r="Y1219" s="247">
        <f ca="1">+$V1219*NSGradeFt+PedHeight+0</f>
        <v>7.401410761154855</v>
      </c>
      <c r="Z1219" s="214">
        <f ca="1">+$W1219</f>
        <v>0</v>
      </c>
      <c r="AA1219" s="214">
        <f ca="1">+$Y1219</f>
        <v>7.401410761154855</v>
      </c>
      <c r="AB1219" s="214">
        <f ca="1">+$X1219</f>
        <v>17.999999999999989</v>
      </c>
      <c r="AC1219" s="214">
        <f ca="1">+$W1219-XOffset</f>
        <v>0</v>
      </c>
    </row>
    <row r="1220" spans="19:29" ht="8.4" customHeight="1">
      <c r="S1220" s="307"/>
      <c r="T1220" s="226">
        <f t="shared" si="69"/>
        <v>1217</v>
      </c>
      <c r="U1220" s="224">
        <f t="shared" si="70"/>
        <v>0</v>
      </c>
      <c r="V1220" s="225">
        <f t="shared" si="71"/>
        <v>1</v>
      </c>
      <c r="W1220" s="217"/>
      <c r="X1220" s="217"/>
      <c r="Y1220" s="217"/>
      <c r="Z1220" s="214"/>
      <c r="AA1220" s="214"/>
      <c r="AB1220" s="214"/>
      <c r="AC1220" s="214"/>
    </row>
    <row r="1221" spans="19:29" ht="8.4" customHeight="1">
      <c r="S1221" s="307">
        <f>INT((T1221-0)/6)+1</f>
        <v>204</v>
      </c>
      <c r="T1221" s="226">
        <f t="shared" si="69"/>
        <v>1218</v>
      </c>
      <c r="U1221" s="224">
        <f t="shared" si="70"/>
        <v>1</v>
      </c>
      <c r="V1221" s="225">
        <f t="shared" si="71"/>
        <v>1</v>
      </c>
      <c r="W1221" s="233">
        <f ca="1">$U1221*EWSpacingFt+XOffset+(PanArrayWidthHighEndFt-PanArrayWidthLowEndFt)/2</f>
        <v>30.000006832286932</v>
      </c>
      <c r="X1221" s="234">
        <f ca="1">$V1221*NSSpacingFt+YOffset+0</f>
        <v>17.999999999999989</v>
      </c>
      <c r="Y1221" s="235">
        <f ca="1">+$V1221*NSGradeFt+PedHeight+0</f>
        <v>7.401410761154855</v>
      </c>
      <c r="Z1221" s="214">
        <f ca="1">+$W1221</f>
        <v>30.000006832286932</v>
      </c>
      <c r="AA1221" s="214">
        <f ca="1">+$Y1221</f>
        <v>7.401410761154855</v>
      </c>
      <c r="AB1221" s="214">
        <f ca="1">+$X1221</f>
        <v>17.999999999999989</v>
      </c>
      <c r="AC1221" s="214">
        <f ca="1">+$W1221-XOffset</f>
        <v>30.000006832286932</v>
      </c>
    </row>
    <row r="1222" spans="19:29" ht="8.4" customHeight="1">
      <c r="S1222" s="307"/>
      <c r="T1222" s="226">
        <f t="shared" si="69"/>
        <v>1219</v>
      </c>
      <c r="U1222" s="224">
        <f t="shared" si="70"/>
        <v>1</v>
      </c>
      <c r="V1222" s="225">
        <f t="shared" si="71"/>
        <v>1</v>
      </c>
      <c r="W1222" s="236">
        <f ca="1">+$U1222*EWSpacingFt+XOffset+PanArrayWidthHighEndFt-(PanArrayWidthHighEndFt-PanArrayWidthLowEndFt)/2</f>
        <v>40.802828354596642</v>
      </c>
      <c r="X1222" s="240">
        <f ca="1">$V1222*NSSpacingFt+YOffset+0</f>
        <v>17.999999999999989</v>
      </c>
      <c r="Y1222" s="244">
        <f ca="1">+$V1222*NSGradeFt+PedHeight+0</f>
        <v>7.401410761154855</v>
      </c>
      <c r="Z1222" s="214">
        <f ca="1">+$W1222</f>
        <v>40.802828354596642</v>
      </c>
      <c r="AA1222" s="214">
        <f ca="1">+$Y1222</f>
        <v>7.401410761154855</v>
      </c>
      <c r="AB1222" s="214">
        <f ca="1">+$X1222</f>
        <v>17.999999999999989</v>
      </c>
      <c r="AC1222" s="214">
        <f ca="1">+$W1222-XOffset</f>
        <v>40.802828354596642</v>
      </c>
    </row>
    <row r="1223" spans="19:29" ht="8.4" customHeight="1">
      <c r="S1223" s="307"/>
      <c r="T1223" s="226">
        <f t="shared" si="69"/>
        <v>1220</v>
      </c>
      <c r="U1223" s="224">
        <f t="shared" si="70"/>
        <v>1</v>
      </c>
      <c r="V1223" s="225">
        <f t="shared" si="71"/>
        <v>1</v>
      </c>
      <c r="W1223" s="237">
        <f ca="1">$U1223*EWSpacingFt+XOffset+PanArrayWidthHighEndFt</f>
        <v>40.802828354596642</v>
      </c>
      <c r="X1223" s="241">
        <f ca="1">$V1223*NSSpacingFt+YOffset+PanArrayLenFt*COS(RADIANS(Latitude+DecAng))</f>
        <v>34.439632545931751</v>
      </c>
      <c r="Y1223" s="245">
        <f ca="1">+$V1223*NSGradeFt+PedHeight+PanArrayLenFt*SIN(RADIANS(Latitude+DecAng))</f>
        <v>7.401410761154855</v>
      </c>
      <c r="Z1223" s="214">
        <f ca="1">+$W1223</f>
        <v>40.802828354596642</v>
      </c>
      <c r="AA1223" s="214">
        <f ca="1">+$Y1223</f>
        <v>7.401410761154855</v>
      </c>
      <c r="AB1223" s="214">
        <f ca="1">+$X1223</f>
        <v>34.439632545931751</v>
      </c>
      <c r="AC1223" s="214">
        <f ca="1">+$W1223-XOffset</f>
        <v>40.802828354596642</v>
      </c>
    </row>
    <row r="1224" spans="19:29" ht="8.4" customHeight="1">
      <c r="S1224" s="307"/>
      <c r="T1224" s="226">
        <f t="shared" si="69"/>
        <v>1221</v>
      </c>
      <c r="U1224" s="224">
        <f t="shared" si="70"/>
        <v>1</v>
      </c>
      <c r="V1224" s="225">
        <f t="shared" si="71"/>
        <v>1</v>
      </c>
      <c r="W1224" s="238">
        <f ca="1">$U1224*EWSpacingFt+XOffset+0</f>
        <v>30.000006832286932</v>
      </c>
      <c r="X1224" s="242">
        <f ca="1">$V1224*NSSpacingFt+YOffset+PanArrayLenFt*COS(RADIANS(Latitude+DecAng))</f>
        <v>34.439632545931751</v>
      </c>
      <c r="Y1224" s="246">
        <f ca="1">+$V1224*NSGradeFt+PedHeight+PanArrayLenFt*SIN(RADIANS(Latitude+DecAng))</f>
        <v>7.401410761154855</v>
      </c>
      <c r="Z1224" s="214">
        <f ca="1">+$W1224</f>
        <v>30.000006832286932</v>
      </c>
      <c r="AA1224" s="214">
        <f ca="1">+$Y1224</f>
        <v>7.401410761154855</v>
      </c>
      <c r="AB1224" s="214">
        <f ca="1">+$X1224</f>
        <v>34.439632545931751</v>
      </c>
      <c r="AC1224" s="214">
        <f ca="1">+$W1224-XOffset</f>
        <v>30.000006832286932</v>
      </c>
    </row>
    <row r="1225" spans="19:29" ht="8.4" customHeight="1">
      <c r="S1225" s="307"/>
      <c r="T1225" s="226">
        <f t="shared" si="69"/>
        <v>1222</v>
      </c>
      <c r="U1225" s="224">
        <f t="shared" si="70"/>
        <v>1</v>
      </c>
      <c r="V1225" s="225">
        <f t="shared" si="71"/>
        <v>1</v>
      </c>
      <c r="W1225" s="239">
        <f ca="1">$U1225*EWSpacingFt+XOffset+(PanArrayWidthHighEndFt-PanArrayWidthLowEndFt)/2</f>
        <v>30.000006832286932</v>
      </c>
      <c r="X1225" s="243">
        <f ca="1">$V1225*NSSpacingFt+YOffset+0</f>
        <v>17.999999999999989</v>
      </c>
      <c r="Y1225" s="247">
        <f ca="1">+$V1225*NSGradeFt+PedHeight+0</f>
        <v>7.401410761154855</v>
      </c>
      <c r="Z1225" s="214">
        <f ca="1">+$W1225</f>
        <v>30.000006832286932</v>
      </c>
      <c r="AA1225" s="214">
        <f ca="1">+$Y1225</f>
        <v>7.401410761154855</v>
      </c>
      <c r="AB1225" s="214">
        <f ca="1">+$X1225</f>
        <v>17.999999999999989</v>
      </c>
      <c r="AC1225" s="214">
        <f ca="1">+$W1225-XOffset</f>
        <v>30.000006832286932</v>
      </c>
    </row>
    <row r="1226" spans="19:29" ht="8.4" customHeight="1">
      <c r="S1226" s="307"/>
      <c r="T1226" s="226">
        <f t="shared" si="69"/>
        <v>1223</v>
      </c>
      <c r="U1226" s="224">
        <f t="shared" si="70"/>
        <v>1</v>
      </c>
      <c r="V1226" s="225">
        <f t="shared" si="71"/>
        <v>1</v>
      </c>
      <c r="W1226" s="217"/>
      <c r="X1226" s="217"/>
      <c r="Y1226" s="217"/>
      <c r="Z1226" s="214"/>
      <c r="AA1226" s="214"/>
      <c r="AB1226" s="214"/>
      <c r="AC1226" s="214"/>
    </row>
    <row r="1227" spans="19:29" ht="8.4" customHeight="1">
      <c r="S1227" s="307">
        <f>INT((T1227-0)/6)+1</f>
        <v>205</v>
      </c>
      <c r="T1227" s="226">
        <f t="shared" si="69"/>
        <v>1224</v>
      </c>
      <c r="U1227" s="224">
        <f t="shared" si="70"/>
        <v>0</v>
      </c>
      <c r="V1227" s="225">
        <f t="shared" si="71"/>
        <v>2</v>
      </c>
      <c r="W1227" s="233">
        <f ca="1">$U1227*EWSpacingFt+XOffset+(PanArrayWidthHighEndFt-PanArrayWidthLowEndFt)/2</f>
        <v>0</v>
      </c>
      <c r="X1227" s="234">
        <f ca="1">$V1227*NSSpacingFt+YOffset+0</f>
        <v>35.999999999999979</v>
      </c>
      <c r="Y1227" s="235">
        <f ca="1">+$V1227*NSGradeFt+PedHeight+0</f>
        <v>7.401410761154855</v>
      </c>
      <c r="Z1227" s="214">
        <f ca="1">+$W1227</f>
        <v>0</v>
      </c>
      <c r="AA1227" s="214">
        <f ca="1">+$Y1227</f>
        <v>7.401410761154855</v>
      </c>
      <c r="AB1227" s="214">
        <f ca="1">+$X1227</f>
        <v>35.999999999999979</v>
      </c>
      <c r="AC1227" s="214">
        <f ca="1">+$W1227-XOffset</f>
        <v>0</v>
      </c>
    </row>
    <row r="1228" spans="19:29" ht="8.4" customHeight="1">
      <c r="S1228" s="307"/>
      <c r="T1228" s="226">
        <f t="shared" si="69"/>
        <v>1225</v>
      </c>
      <c r="U1228" s="224">
        <f t="shared" si="70"/>
        <v>0</v>
      </c>
      <c r="V1228" s="225">
        <f t="shared" si="71"/>
        <v>2</v>
      </c>
      <c r="W1228" s="236">
        <f ca="1">+$U1228*EWSpacingFt+XOffset+PanArrayWidthHighEndFt-(PanArrayWidthHighEndFt-PanArrayWidthLowEndFt)/2</f>
        <v>10.80282152230971</v>
      </c>
      <c r="X1228" s="240">
        <f ca="1">$V1228*NSSpacingFt+YOffset+0</f>
        <v>35.999999999999979</v>
      </c>
      <c r="Y1228" s="244">
        <f ca="1">+$V1228*NSGradeFt+PedHeight+0</f>
        <v>7.401410761154855</v>
      </c>
      <c r="Z1228" s="214">
        <f ca="1">+$W1228</f>
        <v>10.80282152230971</v>
      </c>
      <c r="AA1228" s="214">
        <f ca="1">+$Y1228</f>
        <v>7.401410761154855</v>
      </c>
      <c r="AB1228" s="214">
        <f ca="1">+$X1228</f>
        <v>35.999999999999979</v>
      </c>
      <c r="AC1228" s="214">
        <f ca="1">+$W1228-XOffset</f>
        <v>10.80282152230971</v>
      </c>
    </row>
    <row r="1229" spans="19:29" ht="8.4" customHeight="1">
      <c r="S1229" s="307"/>
      <c r="T1229" s="226">
        <f t="shared" si="69"/>
        <v>1226</v>
      </c>
      <c r="U1229" s="224">
        <f t="shared" si="70"/>
        <v>0</v>
      </c>
      <c r="V1229" s="225">
        <f t="shared" si="71"/>
        <v>2</v>
      </c>
      <c r="W1229" s="237">
        <f ca="1">$U1229*EWSpacingFt+XOffset+PanArrayWidthHighEndFt</f>
        <v>10.80282152230971</v>
      </c>
      <c r="X1229" s="241">
        <f ca="1">$V1229*NSSpacingFt+YOffset+PanArrayLenFt*COS(RADIANS(Latitude+DecAng))</f>
        <v>52.439632545931744</v>
      </c>
      <c r="Y1229" s="245">
        <f ca="1">+$V1229*NSGradeFt+PedHeight+PanArrayLenFt*SIN(RADIANS(Latitude+DecAng))</f>
        <v>7.401410761154855</v>
      </c>
      <c r="Z1229" s="214">
        <f ca="1">+$W1229</f>
        <v>10.80282152230971</v>
      </c>
      <c r="AA1229" s="214">
        <f ca="1">+$Y1229</f>
        <v>7.401410761154855</v>
      </c>
      <c r="AB1229" s="214">
        <f ca="1">+$X1229</f>
        <v>52.439632545931744</v>
      </c>
      <c r="AC1229" s="214">
        <f ca="1">+$W1229-XOffset</f>
        <v>10.80282152230971</v>
      </c>
    </row>
    <row r="1230" spans="19:29" ht="8.4" customHeight="1">
      <c r="S1230" s="307"/>
      <c r="T1230" s="226">
        <f t="shared" si="69"/>
        <v>1227</v>
      </c>
      <c r="U1230" s="224">
        <f t="shared" si="70"/>
        <v>0</v>
      </c>
      <c r="V1230" s="225">
        <f t="shared" si="71"/>
        <v>2</v>
      </c>
      <c r="W1230" s="238">
        <f ca="1">$U1230*EWSpacingFt+XOffset+0</f>
        <v>0</v>
      </c>
      <c r="X1230" s="242">
        <f ca="1">$V1230*NSSpacingFt+YOffset+PanArrayLenFt*COS(RADIANS(Latitude+DecAng))</f>
        <v>52.439632545931744</v>
      </c>
      <c r="Y1230" s="246">
        <f ca="1">+$V1230*NSGradeFt+PedHeight+PanArrayLenFt*SIN(RADIANS(Latitude+DecAng))</f>
        <v>7.401410761154855</v>
      </c>
      <c r="Z1230" s="214">
        <f ca="1">+$W1230</f>
        <v>0</v>
      </c>
      <c r="AA1230" s="214">
        <f ca="1">+$Y1230</f>
        <v>7.401410761154855</v>
      </c>
      <c r="AB1230" s="214">
        <f ca="1">+$X1230</f>
        <v>52.439632545931744</v>
      </c>
      <c r="AC1230" s="214">
        <f ca="1">+$W1230-XOffset</f>
        <v>0</v>
      </c>
    </row>
    <row r="1231" spans="19:29" ht="8.4" customHeight="1">
      <c r="S1231" s="307"/>
      <c r="T1231" s="226">
        <f t="shared" si="69"/>
        <v>1228</v>
      </c>
      <c r="U1231" s="224">
        <f t="shared" si="70"/>
        <v>0</v>
      </c>
      <c r="V1231" s="225">
        <f t="shared" si="71"/>
        <v>2</v>
      </c>
      <c r="W1231" s="239">
        <f ca="1">$U1231*EWSpacingFt+XOffset+(PanArrayWidthHighEndFt-PanArrayWidthLowEndFt)/2</f>
        <v>0</v>
      </c>
      <c r="X1231" s="243">
        <f ca="1">$V1231*NSSpacingFt+YOffset+0</f>
        <v>35.999999999999979</v>
      </c>
      <c r="Y1231" s="247">
        <f ca="1">+$V1231*NSGradeFt+PedHeight+0</f>
        <v>7.401410761154855</v>
      </c>
      <c r="Z1231" s="214">
        <f ca="1">+$W1231</f>
        <v>0</v>
      </c>
      <c r="AA1231" s="214">
        <f ca="1">+$Y1231</f>
        <v>7.401410761154855</v>
      </c>
      <c r="AB1231" s="214">
        <f ca="1">+$X1231</f>
        <v>35.999999999999979</v>
      </c>
      <c r="AC1231" s="214">
        <f ca="1">+$W1231-XOffset</f>
        <v>0</v>
      </c>
    </row>
    <row r="1232" spans="19:29" ht="8.4" customHeight="1">
      <c r="S1232" s="307"/>
      <c r="T1232" s="226">
        <f t="shared" si="69"/>
        <v>1229</v>
      </c>
      <c r="U1232" s="224">
        <f t="shared" si="70"/>
        <v>0</v>
      </c>
      <c r="V1232" s="225">
        <f t="shared" si="71"/>
        <v>2</v>
      </c>
      <c r="W1232" s="217"/>
      <c r="X1232" s="217"/>
      <c r="Y1232" s="217"/>
      <c r="Z1232" s="214"/>
      <c r="AA1232" s="214"/>
      <c r="AB1232" s="214"/>
      <c r="AC1232" s="214"/>
    </row>
    <row r="1233" spans="19:29" ht="8.4" customHeight="1">
      <c r="S1233" s="307">
        <f>INT((T1233-0)/6)+1</f>
        <v>206</v>
      </c>
      <c r="T1233" s="226">
        <f t="shared" si="69"/>
        <v>1230</v>
      </c>
      <c r="U1233" s="224">
        <f t="shared" si="70"/>
        <v>1</v>
      </c>
      <c r="V1233" s="225">
        <f t="shared" si="71"/>
        <v>2</v>
      </c>
      <c r="W1233" s="233">
        <f ca="1">$U1233*EWSpacingFt+XOffset+(PanArrayWidthHighEndFt-PanArrayWidthLowEndFt)/2</f>
        <v>30.000006832286932</v>
      </c>
      <c r="X1233" s="234">
        <f ca="1">$V1233*NSSpacingFt+YOffset+0</f>
        <v>35.999999999999979</v>
      </c>
      <c r="Y1233" s="235">
        <f ca="1">+$V1233*NSGradeFt+PedHeight+0</f>
        <v>7.401410761154855</v>
      </c>
      <c r="Z1233" s="214">
        <f ca="1">+$W1233</f>
        <v>30.000006832286932</v>
      </c>
      <c r="AA1233" s="214">
        <f ca="1">+$Y1233</f>
        <v>7.401410761154855</v>
      </c>
      <c r="AB1233" s="214">
        <f ca="1">+$X1233</f>
        <v>35.999999999999979</v>
      </c>
      <c r="AC1233" s="214">
        <f ca="1">+$W1233-XOffset</f>
        <v>30.000006832286932</v>
      </c>
    </row>
    <row r="1234" spans="19:29" ht="8.4" customHeight="1">
      <c r="S1234" s="307"/>
      <c r="T1234" s="226">
        <f t="shared" si="69"/>
        <v>1231</v>
      </c>
      <c r="U1234" s="224">
        <f t="shared" si="70"/>
        <v>1</v>
      </c>
      <c r="V1234" s="225">
        <f t="shared" si="71"/>
        <v>2</v>
      </c>
      <c r="W1234" s="236">
        <f ca="1">+$U1234*EWSpacingFt+XOffset+PanArrayWidthHighEndFt-(PanArrayWidthHighEndFt-PanArrayWidthLowEndFt)/2</f>
        <v>40.802828354596642</v>
      </c>
      <c r="X1234" s="240">
        <f ca="1">$V1234*NSSpacingFt+YOffset+0</f>
        <v>35.999999999999979</v>
      </c>
      <c r="Y1234" s="244">
        <f ca="1">+$V1234*NSGradeFt+PedHeight+0</f>
        <v>7.401410761154855</v>
      </c>
      <c r="Z1234" s="214">
        <f ca="1">+$W1234</f>
        <v>40.802828354596642</v>
      </c>
      <c r="AA1234" s="214">
        <f ca="1">+$Y1234</f>
        <v>7.401410761154855</v>
      </c>
      <c r="AB1234" s="214">
        <f ca="1">+$X1234</f>
        <v>35.999999999999979</v>
      </c>
      <c r="AC1234" s="214">
        <f ca="1">+$W1234-XOffset</f>
        <v>40.802828354596642</v>
      </c>
    </row>
    <row r="1235" spans="19:29" ht="8.4" customHeight="1">
      <c r="S1235" s="307"/>
      <c r="T1235" s="226">
        <f t="shared" si="69"/>
        <v>1232</v>
      </c>
      <c r="U1235" s="224">
        <f t="shared" si="70"/>
        <v>1</v>
      </c>
      <c r="V1235" s="225">
        <f t="shared" si="71"/>
        <v>2</v>
      </c>
      <c r="W1235" s="237">
        <f ca="1">$U1235*EWSpacingFt+XOffset+PanArrayWidthHighEndFt</f>
        <v>40.802828354596642</v>
      </c>
      <c r="X1235" s="241">
        <f ca="1">$V1235*NSSpacingFt+YOffset+PanArrayLenFt*COS(RADIANS(Latitude+DecAng))</f>
        <v>52.439632545931744</v>
      </c>
      <c r="Y1235" s="245">
        <f ca="1">+$V1235*NSGradeFt+PedHeight+PanArrayLenFt*SIN(RADIANS(Latitude+DecAng))</f>
        <v>7.401410761154855</v>
      </c>
      <c r="Z1235" s="214">
        <f ca="1">+$W1235</f>
        <v>40.802828354596642</v>
      </c>
      <c r="AA1235" s="214">
        <f ca="1">+$Y1235</f>
        <v>7.401410761154855</v>
      </c>
      <c r="AB1235" s="214">
        <f ca="1">+$X1235</f>
        <v>52.439632545931744</v>
      </c>
      <c r="AC1235" s="214">
        <f ca="1">+$W1235-XOffset</f>
        <v>40.802828354596642</v>
      </c>
    </row>
    <row r="1236" spans="19:29" ht="8.4" customHeight="1">
      <c r="S1236" s="307"/>
      <c r="T1236" s="226">
        <f t="shared" si="69"/>
        <v>1233</v>
      </c>
      <c r="U1236" s="224">
        <f t="shared" si="70"/>
        <v>1</v>
      </c>
      <c r="V1236" s="225">
        <f t="shared" si="71"/>
        <v>2</v>
      </c>
      <c r="W1236" s="238">
        <f ca="1">$U1236*EWSpacingFt+XOffset+0</f>
        <v>30.000006832286932</v>
      </c>
      <c r="X1236" s="242">
        <f ca="1">$V1236*NSSpacingFt+YOffset+PanArrayLenFt*COS(RADIANS(Latitude+DecAng))</f>
        <v>52.439632545931744</v>
      </c>
      <c r="Y1236" s="246">
        <f ca="1">+$V1236*NSGradeFt+PedHeight+PanArrayLenFt*SIN(RADIANS(Latitude+DecAng))</f>
        <v>7.401410761154855</v>
      </c>
      <c r="Z1236" s="214">
        <f ca="1">+$W1236</f>
        <v>30.000006832286932</v>
      </c>
      <c r="AA1236" s="214">
        <f ca="1">+$Y1236</f>
        <v>7.401410761154855</v>
      </c>
      <c r="AB1236" s="214">
        <f ca="1">+$X1236</f>
        <v>52.439632545931744</v>
      </c>
      <c r="AC1236" s="214">
        <f ca="1">+$W1236-XOffset</f>
        <v>30.000006832286932</v>
      </c>
    </row>
    <row r="1237" spans="19:29" ht="8.4" customHeight="1">
      <c r="S1237" s="307"/>
      <c r="T1237" s="226">
        <f t="shared" ref="T1237:T1300" si="72">+T1236+1</f>
        <v>1234</v>
      </c>
      <c r="U1237" s="224">
        <f t="shared" si="70"/>
        <v>1</v>
      </c>
      <c r="V1237" s="225">
        <f t="shared" si="71"/>
        <v>2</v>
      </c>
      <c r="W1237" s="239">
        <f ca="1">$U1237*EWSpacingFt+XOffset+(PanArrayWidthHighEndFt-PanArrayWidthLowEndFt)/2</f>
        <v>30.000006832286932</v>
      </c>
      <c r="X1237" s="243">
        <f ca="1">$V1237*NSSpacingFt+YOffset+0</f>
        <v>35.999999999999979</v>
      </c>
      <c r="Y1237" s="247">
        <f ca="1">+$V1237*NSGradeFt+PedHeight+0</f>
        <v>7.401410761154855</v>
      </c>
      <c r="Z1237" s="214">
        <f ca="1">+$W1237</f>
        <v>30.000006832286932</v>
      </c>
      <c r="AA1237" s="214">
        <f ca="1">+$Y1237</f>
        <v>7.401410761154855</v>
      </c>
      <c r="AB1237" s="214">
        <f ca="1">+$X1237</f>
        <v>35.999999999999979</v>
      </c>
      <c r="AC1237" s="214">
        <f ca="1">+$W1237-XOffset</f>
        <v>30.000006832286932</v>
      </c>
    </row>
    <row r="1238" spans="19:29" ht="8.4" customHeight="1">
      <c r="S1238" s="307"/>
      <c r="T1238" s="226">
        <f t="shared" si="72"/>
        <v>1235</v>
      </c>
      <c r="U1238" s="224">
        <f t="shared" si="70"/>
        <v>1</v>
      </c>
      <c r="V1238" s="225">
        <f t="shared" si="71"/>
        <v>2</v>
      </c>
      <c r="W1238" s="217"/>
      <c r="X1238" s="217"/>
      <c r="Y1238" s="217"/>
      <c r="Z1238" s="214"/>
      <c r="AA1238" s="214"/>
      <c r="AB1238" s="214"/>
      <c r="AC1238" s="214"/>
    </row>
    <row r="1239" spans="19:29" ht="8.4" customHeight="1">
      <c r="S1239" s="307">
        <f>INT((T1239-0)/6)+1</f>
        <v>207</v>
      </c>
      <c r="T1239" s="226">
        <f t="shared" si="72"/>
        <v>1236</v>
      </c>
      <c r="U1239" s="224">
        <f t="shared" si="70"/>
        <v>0</v>
      </c>
      <c r="V1239" s="225">
        <f t="shared" si="71"/>
        <v>3</v>
      </c>
      <c r="W1239" s="233">
        <f ca="1">$U1239*EWSpacingFt+XOffset+(PanArrayWidthHighEndFt-PanArrayWidthLowEndFt)/2</f>
        <v>0</v>
      </c>
      <c r="X1239" s="234">
        <f ca="1">$V1239*NSSpacingFt+YOffset+0</f>
        <v>53.999999999999972</v>
      </c>
      <c r="Y1239" s="235">
        <f ca="1">+$V1239*NSGradeFt+PedHeight+0</f>
        <v>7.401410761154855</v>
      </c>
      <c r="Z1239" s="214">
        <f ca="1">+$W1239</f>
        <v>0</v>
      </c>
      <c r="AA1239" s="214">
        <f ca="1">+$Y1239</f>
        <v>7.401410761154855</v>
      </c>
      <c r="AB1239" s="214">
        <f ca="1">+$X1239</f>
        <v>53.999999999999972</v>
      </c>
      <c r="AC1239" s="214">
        <f ca="1">+$W1239-XOffset</f>
        <v>0</v>
      </c>
    </row>
    <row r="1240" spans="19:29" ht="8.4" customHeight="1">
      <c r="S1240" s="307"/>
      <c r="T1240" s="226">
        <f t="shared" si="72"/>
        <v>1237</v>
      </c>
      <c r="U1240" s="224">
        <f t="shared" si="70"/>
        <v>0</v>
      </c>
      <c r="V1240" s="225">
        <f t="shared" si="71"/>
        <v>3</v>
      </c>
      <c r="W1240" s="236">
        <f ca="1">+$U1240*EWSpacingFt+XOffset+PanArrayWidthHighEndFt-(PanArrayWidthHighEndFt-PanArrayWidthLowEndFt)/2</f>
        <v>10.80282152230971</v>
      </c>
      <c r="X1240" s="240">
        <f ca="1">$V1240*NSSpacingFt+YOffset+0</f>
        <v>53.999999999999972</v>
      </c>
      <c r="Y1240" s="244">
        <f ca="1">+$V1240*NSGradeFt+PedHeight+0</f>
        <v>7.401410761154855</v>
      </c>
      <c r="Z1240" s="214">
        <f ca="1">+$W1240</f>
        <v>10.80282152230971</v>
      </c>
      <c r="AA1240" s="214">
        <f ca="1">+$Y1240</f>
        <v>7.401410761154855</v>
      </c>
      <c r="AB1240" s="214">
        <f ca="1">+$X1240</f>
        <v>53.999999999999972</v>
      </c>
      <c r="AC1240" s="214">
        <f ca="1">+$W1240-XOffset</f>
        <v>10.80282152230971</v>
      </c>
    </row>
    <row r="1241" spans="19:29" ht="8.4" customHeight="1">
      <c r="S1241" s="307"/>
      <c r="T1241" s="226">
        <f t="shared" si="72"/>
        <v>1238</v>
      </c>
      <c r="U1241" s="224">
        <f t="shared" si="70"/>
        <v>0</v>
      </c>
      <c r="V1241" s="225">
        <f t="shared" si="71"/>
        <v>3</v>
      </c>
      <c r="W1241" s="237">
        <f ca="1">$U1241*EWSpacingFt+XOffset+PanArrayWidthHighEndFt</f>
        <v>10.80282152230971</v>
      </c>
      <c r="X1241" s="241">
        <f ca="1">$V1241*NSSpacingFt+YOffset+PanArrayLenFt*COS(RADIANS(Latitude+DecAng))</f>
        <v>70.43963254593173</v>
      </c>
      <c r="Y1241" s="245">
        <f ca="1">+$V1241*NSGradeFt+PedHeight+PanArrayLenFt*SIN(RADIANS(Latitude+DecAng))</f>
        <v>7.401410761154855</v>
      </c>
      <c r="Z1241" s="214">
        <f ca="1">+$W1241</f>
        <v>10.80282152230971</v>
      </c>
      <c r="AA1241" s="214">
        <f ca="1">+$Y1241</f>
        <v>7.401410761154855</v>
      </c>
      <c r="AB1241" s="214">
        <f ca="1">+$X1241</f>
        <v>70.43963254593173</v>
      </c>
      <c r="AC1241" s="214">
        <f ca="1">+$W1241-XOffset</f>
        <v>10.80282152230971</v>
      </c>
    </row>
    <row r="1242" spans="19:29" ht="8.4" customHeight="1">
      <c r="S1242" s="307"/>
      <c r="T1242" s="226">
        <f t="shared" si="72"/>
        <v>1239</v>
      </c>
      <c r="U1242" s="224">
        <f t="shared" si="70"/>
        <v>0</v>
      </c>
      <c r="V1242" s="225">
        <f t="shared" si="71"/>
        <v>3</v>
      </c>
      <c r="W1242" s="238">
        <f ca="1">$U1242*EWSpacingFt+XOffset+0</f>
        <v>0</v>
      </c>
      <c r="X1242" s="242">
        <f ca="1">$V1242*NSSpacingFt+YOffset+PanArrayLenFt*COS(RADIANS(Latitude+DecAng))</f>
        <v>70.43963254593173</v>
      </c>
      <c r="Y1242" s="246">
        <f ca="1">+$V1242*NSGradeFt+PedHeight+PanArrayLenFt*SIN(RADIANS(Latitude+DecAng))</f>
        <v>7.401410761154855</v>
      </c>
      <c r="Z1242" s="214">
        <f ca="1">+$W1242</f>
        <v>0</v>
      </c>
      <c r="AA1242" s="214">
        <f ca="1">+$Y1242</f>
        <v>7.401410761154855</v>
      </c>
      <c r="AB1242" s="214">
        <f ca="1">+$X1242</f>
        <v>70.43963254593173</v>
      </c>
      <c r="AC1242" s="214">
        <f ca="1">+$W1242-XOffset</f>
        <v>0</v>
      </c>
    </row>
    <row r="1243" spans="19:29" ht="8.4" customHeight="1">
      <c r="S1243" s="307"/>
      <c r="T1243" s="226">
        <f t="shared" si="72"/>
        <v>1240</v>
      </c>
      <c r="U1243" s="224">
        <f t="shared" si="70"/>
        <v>0</v>
      </c>
      <c r="V1243" s="225">
        <f t="shared" si="71"/>
        <v>3</v>
      </c>
      <c r="W1243" s="239">
        <f ca="1">$U1243*EWSpacingFt+XOffset+(PanArrayWidthHighEndFt-PanArrayWidthLowEndFt)/2</f>
        <v>0</v>
      </c>
      <c r="X1243" s="243">
        <f ca="1">$V1243*NSSpacingFt+YOffset+0</f>
        <v>53.999999999999972</v>
      </c>
      <c r="Y1243" s="247">
        <f ca="1">+$V1243*NSGradeFt+PedHeight+0</f>
        <v>7.401410761154855</v>
      </c>
      <c r="Z1243" s="214">
        <f ca="1">+$W1243</f>
        <v>0</v>
      </c>
      <c r="AA1243" s="214">
        <f ca="1">+$Y1243</f>
        <v>7.401410761154855</v>
      </c>
      <c r="AB1243" s="214">
        <f ca="1">+$X1243</f>
        <v>53.999999999999972</v>
      </c>
      <c r="AC1243" s="214">
        <f ca="1">+$W1243-XOffset</f>
        <v>0</v>
      </c>
    </row>
    <row r="1244" spans="19:29" ht="8.4" customHeight="1">
      <c r="S1244" s="307"/>
      <c r="T1244" s="226">
        <f t="shared" si="72"/>
        <v>1241</v>
      </c>
      <c r="U1244" s="224">
        <f t="shared" si="70"/>
        <v>0</v>
      </c>
      <c r="V1244" s="225">
        <f t="shared" si="71"/>
        <v>3</v>
      </c>
      <c r="W1244" s="217"/>
      <c r="X1244" s="217"/>
      <c r="Y1244" s="217"/>
      <c r="Z1244" s="214"/>
      <c r="AA1244" s="214"/>
      <c r="AB1244" s="214"/>
      <c r="AC1244" s="214"/>
    </row>
    <row r="1245" spans="19:29" ht="8.4" customHeight="1">
      <c r="S1245" s="307">
        <f>INT((T1245-0)/6)+1</f>
        <v>208</v>
      </c>
      <c r="T1245" s="226">
        <f t="shared" si="72"/>
        <v>1242</v>
      </c>
      <c r="U1245" s="224">
        <f t="shared" si="70"/>
        <v>1</v>
      </c>
      <c r="V1245" s="225">
        <f t="shared" si="71"/>
        <v>3</v>
      </c>
      <c r="W1245" s="233">
        <f ca="1">$U1245*EWSpacingFt+XOffset+(PanArrayWidthHighEndFt-PanArrayWidthLowEndFt)/2</f>
        <v>30.000006832286932</v>
      </c>
      <c r="X1245" s="234">
        <f ca="1">$V1245*NSSpacingFt+YOffset+0</f>
        <v>53.999999999999972</v>
      </c>
      <c r="Y1245" s="235">
        <f ca="1">+$V1245*NSGradeFt+PedHeight+0</f>
        <v>7.401410761154855</v>
      </c>
      <c r="Z1245" s="214">
        <f ca="1">+$W1245</f>
        <v>30.000006832286932</v>
      </c>
      <c r="AA1245" s="214">
        <f ca="1">+$Y1245</f>
        <v>7.401410761154855</v>
      </c>
      <c r="AB1245" s="214">
        <f ca="1">+$X1245</f>
        <v>53.999999999999972</v>
      </c>
      <c r="AC1245" s="214">
        <f ca="1">+$W1245-XOffset</f>
        <v>30.000006832286932</v>
      </c>
    </row>
    <row r="1246" spans="19:29" ht="8.4" customHeight="1">
      <c r="S1246" s="307"/>
      <c r="T1246" s="226">
        <f t="shared" si="72"/>
        <v>1243</v>
      </c>
      <c r="U1246" s="224">
        <f t="shared" si="70"/>
        <v>1</v>
      </c>
      <c r="V1246" s="225">
        <f t="shared" si="71"/>
        <v>3</v>
      </c>
      <c r="W1246" s="236">
        <f ca="1">+$U1246*EWSpacingFt+XOffset+PanArrayWidthHighEndFt-(PanArrayWidthHighEndFt-PanArrayWidthLowEndFt)/2</f>
        <v>40.802828354596642</v>
      </c>
      <c r="X1246" s="240">
        <f ca="1">$V1246*NSSpacingFt+YOffset+0</f>
        <v>53.999999999999972</v>
      </c>
      <c r="Y1246" s="244">
        <f ca="1">+$V1246*NSGradeFt+PedHeight+0</f>
        <v>7.401410761154855</v>
      </c>
      <c r="Z1246" s="214">
        <f ca="1">+$W1246</f>
        <v>40.802828354596642</v>
      </c>
      <c r="AA1246" s="214">
        <f ca="1">+$Y1246</f>
        <v>7.401410761154855</v>
      </c>
      <c r="AB1246" s="214">
        <f ca="1">+$X1246</f>
        <v>53.999999999999972</v>
      </c>
      <c r="AC1246" s="214">
        <f ca="1">+$W1246-XOffset</f>
        <v>40.802828354596642</v>
      </c>
    </row>
    <row r="1247" spans="19:29" ht="8.4" customHeight="1">
      <c r="S1247" s="307"/>
      <c r="T1247" s="226">
        <f t="shared" si="72"/>
        <v>1244</v>
      </c>
      <c r="U1247" s="224">
        <f t="shared" si="70"/>
        <v>1</v>
      </c>
      <c r="V1247" s="225">
        <f t="shared" si="71"/>
        <v>3</v>
      </c>
      <c r="W1247" s="237">
        <f ca="1">$U1247*EWSpacingFt+XOffset+PanArrayWidthHighEndFt</f>
        <v>40.802828354596642</v>
      </c>
      <c r="X1247" s="241">
        <f ca="1">$V1247*NSSpacingFt+YOffset+PanArrayLenFt*COS(RADIANS(Latitude+DecAng))</f>
        <v>70.43963254593173</v>
      </c>
      <c r="Y1247" s="245">
        <f ca="1">+$V1247*NSGradeFt+PedHeight+PanArrayLenFt*SIN(RADIANS(Latitude+DecAng))</f>
        <v>7.401410761154855</v>
      </c>
      <c r="Z1247" s="214">
        <f ca="1">+$W1247</f>
        <v>40.802828354596642</v>
      </c>
      <c r="AA1247" s="214">
        <f ca="1">+$Y1247</f>
        <v>7.401410761154855</v>
      </c>
      <c r="AB1247" s="214">
        <f ca="1">+$X1247</f>
        <v>70.43963254593173</v>
      </c>
      <c r="AC1247" s="214">
        <f ca="1">+$W1247-XOffset</f>
        <v>40.802828354596642</v>
      </c>
    </row>
    <row r="1248" spans="19:29" ht="8.4" customHeight="1">
      <c r="S1248" s="307"/>
      <c r="T1248" s="226">
        <f t="shared" si="72"/>
        <v>1245</v>
      </c>
      <c r="U1248" s="224">
        <f t="shared" si="70"/>
        <v>1</v>
      </c>
      <c r="V1248" s="225">
        <f t="shared" si="71"/>
        <v>3</v>
      </c>
      <c r="W1248" s="238">
        <f ca="1">$U1248*EWSpacingFt+XOffset+0</f>
        <v>30.000006832286932</v>
      </c>
      <c r="X1248" s="242">
        <f ca="1">$V1248*NSSpacingFt+YOffset+PanArrayLenFt*COS(RADIANS(Latitude+DecAng))</f>
        <v>70.43963254593173</v>
      </c>
      <c r="Y1248" s="246">
        <f ca="1">+$V1248*NSGradeFt+PedHeight+PanArrayLenFt*SIN(RADIANS(Latitude+DecAng))</f>
        <v>7.401410761154855</v>
      </c>
      <c r="Z1248" s="214">
        <f ca="1">+$W1248</f>
        <v>30.000006832286932</v>
      </c>
      <c r="AA1248" s="214">
        <f ca="1">+$Y1248</f>
        <v>7.401410761154855</v>
      </c>
      <c r="AB1248" s="214">
        <f ca="1">+$X1248</f>
        <v>70.43963254593173</v>
      </c>
      <c r="AC1248" s="214">
        <f ca="1">+$W1248-XOffset</f>
        <v>30.000006832286932</v>
      </c>
    </row>
    <row r="1249" spans="19:29" ht="8.4" customHeight="1">
      <c r="S1249" s="307"/>
      <c r="T1249" s="226">
        <f t="shared" si="72"/>
        <v>1246</v>
      </c>
      <c r="U1249" s="224">
        <f t="shared" si="70"/>
        <v>1</v>
      </c>
      <c r="V1249" s="225">
        <f t="shared" si="71"/>
        <v>3</v>
      </c>
      <c r="W1249" s="239">
        <f ca="1">$U1249*EWSpacingFt+XOffset+(PanArrayWidthHighEndFt-PanArrayWidthLowEndFt)/2</f>
        <v>30.000006832286932</v>
      </c>
      <c r="X1249" s="243">
        <f ca="1">$V1249*NSSpacingFt+YOffset+0</f>
        <v>53.999999999999972</v>
      </c>
      <c r="Y1249" s="247">
        <f ca="1">+$V1249*NSGradeFt+PedHeight+0</f>
        <v>7.401410761154855</v>
      </c>
      <c r="Z1249" s="214">
        <f ca="1">+$W1249</f>
        <v>30.000006832286932</v>
      </c>
      <c r="AA1249" s="214">
        <f ca="1">+$Y1249</f>
        <v>7.401410761154855</v>
      </c>
      <c r="AB1249" s="214">
        <f ca="1">+$X1249</f>
        <v>53.999999999999972</v>
      </c>
      <c r="AC1249" s="214">
        <f ca="1">+$W1249-XOffset</f>
        <v>30.000006832286932</v>
      </c>
    </row>
    <row r="1250" spans="19:29" ht="8.4" customHeight="1">
      <c r="S1250" s="307"/>
      <c r="T1250" s="226">
        <f t="shared" si="72"/>
        <v>1247</v>
      </c>
      <c r="U1250" s="224">
        <f t="shared" si="70"/>
        <v>1</v>
      </c>
      <c r="V1250" s="225">
        <f t="shared" si="71"/>
        <v>3</v>
      </c>
      <c r="W1250" s="217"/>
      <c r="X1250" s="217"/>
      <c r="Y1250" s="217"/>
      <c r="Z1250" s="214"/>
      <c r="AA1250" s="214"/>
      <c r="AB1250" s="214"/>
      <c r="AC1250" s="214"/>
    </row>
    <row r="1251" spans="19:29" ht="8.4" customHeight="1">
      <c r="S1251" s="307">
        <f>INT((T1251-0)/6)+1</f>
        <v>209</v>
      </c>
      <c r="T1251" s="226">
        <f t="shared" si="72"/>
        <v>1248</v>
      </c>
      <c r="U1251" s="224">
        <f t="shared" si="70"/>
        <v>0</v>
      </c>
      <c r="V1251" s="225">
        <f t="shared" si="71"/>
        <v>0</v>
      </c>
      <c r="W1251" s="233">
        <f ca="1">$U1251*EWSpacingFt+XOffset+(PanArrayWidthHighEndFt-PanArrayWidthLowEndFt)/2</f>
        <v>0</v>
      </c>
      <c r="X1251" s="234">
        <f ca="1">$V1251*NSSpacingFt+YOffset+0</f>
        <v>0</v>
      </c>
      <c r="Y1251" s="235">
        <f ca="1">+$V1251*NSGradeFt+PedHeight+0</f>
        <v>7.401410761154855</v>
      </c>
      <c r="Z1251" s="214">
        <f ca="1">+$W1251</f>
        <v>0</v>
      </c>
      <c r="AA1251" s="214">
        <f ca="1">+$Y1251</f>
        <v>7.401410761154855</v>
      </c>
      <c r="AB1251" s="214">
        <f ca="1">+$X1251</f>
        <v>0</v>
      </c>
      <c r="AC1251" s="214">
        <f ca="1">+$W1251-XOffset</f>
        <v>0</v>
      </c>
    </row>
    <row r="1252" spans="19:29" ht="8.4" customHeight="1">
      <c r="S1252" s="307"/>
      <c r="T1252" s="226">
        <f t="shared" si="72"/>
        <v>1249</v>
      </c>
      <c r="U1252" s="224">
        <f t="shared" si="70"/>
        <v>0</v>
      </c>
      <c r="V1252" s="225">
        <f t="shared" si="71"/>
        <v>0</v>
      </c>
      <c r="W1252" s="236">
        <f ca="1">+$U1252*EWSpacingFt+XOffset+PanArrayWidthHighEndFt-(PanArrayWidthHighEndFt-PanArrayWidthLowEndFt)/2</f>
        <v>10.80282152230971</v>
      </c>
      <c r="X1252" s="240">
        <f ca="1">$V1252*NSSpacingFt+YOffset+0</f>
        <v>0</v>
      </c>
      <c r="Y1252" s="244">
        <f ca="1">+$V1252*NSGradeFt+PedHeight+0</f>
        <v>7.401410761154855</v>
      </c>
      <c r="Z1252" s="214">
        <f ca="1">+$W1252</f>
        <v>10.80282152230971</v>
      </c>
      <c r="AA1252" s="214">
        <f ca="1">+$Y1252</f>
        <v>7.401410761154855</v>
      </c>
      <c r="AB1252" s="214">
        <f ca="1">+$X1252</f>
        <v>0</v>
      </c>
      <c r="AC1252" s="214">
        <f ca="1">+$W1252-XOffset</f>
        <v>10.80282152230971</v>
      </c>
    </row>
    <row r="1253" spans="19:29" ht="8.4" customHeight="1">
      <c r="S1253" s="307"/>
      <c r="T1253" s="226">
        <f t="shared" si="72"/>
        <v>1250</v>
      </c>
      <c r="U1253" s="224">
        <f t="shared" si="70"/>
        <v>0</v>
      </c>
      <c r="V1253" s="225">
        <f t="shared" si="71"/>
        <v>0</v>
      </c>
      <c r="W1253" s="237">
        <f ca="1">$U1253*EWSpacingFt+XOffset+PanArrayWidthHighEndFt</f>
        <v>10.80282152230971</v>
      </c>
      <c r="X1253" s="241">
        <f ca="1">$V1253*NSSpacingFt+YOffset+PanArrayLenFt*COS(RADIANS(Latitude+DecAng))</f>
        <v>16.439632545931762</v>
      </c>
      <c r="Y1253" s="245">
        <f ca="1">+$V1253*NSGradeFt+PedHeight+PanArrayLenFt*SIN(RADIANS(Latitude+DecAng))</f>
        <v>7.401410761154855</v>
      </c>
      <c r="Z1253" s="214">
        <f ca="1">+$W1253</f>
        <v>10.80282152230971</v>
      </c>
      <c r="AA1253" s="214">
        <f ca="1">+$Y1253</f>
        <v>7.401410761154855</v>
      </c>
      <c r="AB1253" s="214">
        <f ca="1">+$X1253</f>
        <v>16.439632545931762</v>
      </c>
      <c r="AC1253" s="214">
        <f ca="1">+$W1253-XOffset</f>
        <v>10.80282152230971</v>
      </c>
    </row>
    <row r="1254" spans="19:29" ht="8.4" customHeight="1">
      <c r="S1254" s="307"/>
      <c r="T1254" s="226">
        <f t="shared" si="72"/>
        <v>1251</v>
      </c>
      <c r="U1254" s="224">
        <f t="shared" si="70"/>
        <v>0</v>
      </c>
      <c r="V1254" s="225">
        <f t="shared" si="71"/>
        <v>0</v>
      </c>
      <c r="W1254" s="238">
        <f ca="1">$U1254*EWSpacingFt+XOffset+0</f>
        <v>0</v>
      </c>
      <c r="X1254" s="242">
        <f ca="1">$V1254*NSSpacingFt+YOffset+PanArrayLenFt*COS(RADIANS(Latitude+DecAng))</f>
        <v>16.439632545931762</v>
      </c>
      <c r="Y1254" s="246">
        <f ca="1">+$V1254*NSGradeFt+PedHeight+PanArrayLenFt*SIN(RADIANS(Latitude+DecAng))</f>
        <v>7.401410761154855</v>
      </c>
      <c r="Z1254" s="214">
        <f ca="1">+$W1254</f>
        <v>0</v>
      </c>
      <c r="AA1254" s="214">
        <f ca="1">+$Y1254</f>
        <v>7.401410761154855</v>
      </c>
      <c r="AB1254" s="214">
        <f ca="1">+$X1254</f>
        <v>16.439632545931762</v>
      </c>
      <c r="AC1254" s="214">
        <f ca="1">+$W1254-XOffset</f>
        <v>0</v>
      </c>
    </row>
    <row r="1255" spans="19:29" ht="8.4" customHeight="1">
      <c r="S1255" s="307"/>
      <c r="T1255" s="226">
        <f t="shared" si="72"/>
        <v>1252</v>
      </c>
      <c r="U1255" s="224">
        <f t="shared" si="70"/>
        <v>0</v>
      </c>
      <c r="V1255" s="225">
        <f t="shared" si="71"/>
        <v>0</v>
      </c>
      <c r="W1255" s="239">
        <f ca="1">$U1255*EWSpacingFt+XOffset+(PanArrayWidthHighEndFt-PanArrayWidthLowEndFt)/2</f>
        <v>0</v>
      </c>
      <c r="X1255" s="243">
        <f ca="1">$V1255*NSSpacingFt+YOffset+0</f>
        <v>0</v>
      </c>
      <c r="Y1255" s="247">
        <f ca="1">+$V1255*NSGradeFt+PedHeight+0</f>
        <v>7.401410761154855</v>
      </c>
      <c r="Z1255" s="214">
        <f ca="1">+$W1255</f>
        <v>0</v>
      </c>
      <c r="AA1255" s="214">
        <f ca="1">+$Y1255</f>
        <v>7.401410761154855</v>
      </c>
      <c r="AB1255" s="214">
        <f ca="1">+$X1255</f>
        <v>0</v>
      </c>
      <c r="AC1255" s="214">
        <f ca="1">+$W1255-XOffset</f>
        <v>0</v>
      </c>
    </row>
    <row r="1256" spans="19:29" ht="8.4" customHeight="1">
      <c r="S1256" s="307"/>
      <c r="T1256" s="226">
        <f t="shared" si="72"/>
        <v>1253</v>
      </c>
      <c r="U1256" s="224">
        <f t="shared" si="70"/>
        <v>0</v>
      </c>
      <c r="V1256" s="225">
        <f t="shared" si="71"/>
        <v>0</v>
      </c>
      <c r="W1256" s="217"/>
      <c r="X1256" s="217"/>
      <c r="Y1256" s="217"/>
      <c r="Z1256" s="214"/>
      <c r="AA1256" s="214"/>
      <c r="AB1256" s="214"/>
      <c r="AC1256" s="214"/>
    </row>
    <row r="1257" spans="19:29" ht="8.4" customHeight="1">
      <c r="S1257" s="307">
        <f>INT((T1257-0)/6)+1</f>
        <v>210</v>
      </c>
      <c r="T1257" s="226">
        <f t="shared" si="72"/>
        <v>1254</v>
      </c>
      <c r="U1257" s="224">
        <f t="shared" si="70"/>
        <v>1</v>
      </c>
      <c r="V1257" s="225">
        <f t="shared" si="71"/>
        <v>0</v>
      </c>
      <c r="W1257" s="233">
        <f ca="1">$U1257*EWSpacingFt+XOffset+(PanArrayWidthHighEndFt-PanArrayWidthLowEndFt)/2</f>
        <v>30.000006832286932</v>
      </c>
      <c r="X1257" s="234">
        <f ca="1">$V1257*NSSpacingFt+YOffset+0</f>
        <v>0</v>
      </c>
      <c r="Y1257" s="235">
        <f ca="1">+$V1257*NSGradeFt+PedHeight+0</f>
        <v>7.401410761154855</v>
      </c>
      <c r="Z1257" s="214">
        <f ca="1">+$W1257</f>
        <v>30.000006832286932</v>
      </c>
      <c r="AA1257" s="214">
        <f ca="1">+$Y1257</f>
        <v>7.401410761154855</v>
      </c>
      <c r="AB1257" s="214">
        <f ca="1">+$X1257</f>
        <v>0</v>
      </c>
      <c r="AC1257" s="214">
        <f ca="1">+$W1257-XOffset</f>
        <v>30.000006832286932</v>
      </c>
    </row>
    <row r="1258" spans="19:29" ht="8.4" customHeight="1">
      <c r="S1258" s="307"/>
      <c r="T1258" s="226">
        <f t="shared" si="72"/>
        <v>1255</v>
      </c>
      <c r="U1258" s="224">
        <f t="shared" si="70"/>
        <v>1</v>
      </c>
      <c r="V1258" s="225">
        <f t="shared" si="71"/>
        <v>0</v>
      </c>
      <c r="W1258" s="236">
        <f ca="1">+$U1258*EWSpacingFt+XOffset+PanArrayWidthHighEndFt-(PanArrayWidthHighEndFt-PanArrayWidthLowEndFt)/2</f>
        <v>40.802828354596642</v>
      </c>
      <c r="X1258" s="240">
        <f ca="1">$V1258*NSSpacingFt+YOffset+0</f>
        <v>0</v>
      </c>
      <c r="Y1258" s="244">
        <f ca="1">+$V1258*NSGradeFt+PedHeight+0</f>
        <v>7.401410761154855</v>
      </c>
      <c r="Z1258" s="214">
        <f ca="1">+$W1258</f>
        <v>40.802828354596642</v>
      </c>
      <c r="AA1258" s="214">
        <f ca="1">+$Y1258</f>
        <v>7.401410761154855</v>
      </c>
      <c r="AB1258" s="214">
        <f ca="1">+$X1258</f>
        <v>0</v>
      </c>
      <c r="AC1258" s="214">
        <f ca="1">+$W1258-XOffset</f>
        <v>40.802828354596642</v>
      </c>
    </row>
    <row r="1259" spans="19:29" ht="8.4" customHeight="1">
      <c r="S1259" s="307"/>
      <c r="T1259" s="226">
        <f t="shared" si="72"/>
        <v>1256</v>
      </c>
      <c r="U1259" s="224">
        <f t="shared" si="70"/>
        <v>1</v>
      </c>
      <c r="V1259" s="225">
        <f t="shared" si="71"/>
        <v>0</v>
      </c>
      <c r="W1259" s="237">
        <f ca="1">$U1259*EWSpacingFt+XOffset+PanArrayWidthHighEndFt</f>
        <v>40.802828354596642</v>
      </c>
      <c r="X1259" s="241">
        <f ca="1">$V1259*NSSpacingFt+YOffset+PanArrayLenFt*COS(RADIANS(Latitude+DecAng))</f>
        <v>16.439632545931762</v>
      </c>
      <c r="Y1259" s="245">
        <f ca="1">+$V1259*NSGradeFt+PedHeight+PanArrayLenFt*SIN(RADIANS(Latitude+DecAng))</f>
        <v>7.401410761154855</v>
      </c>
      <c r="Z1259" s="214">
        <f ca="1">+$W1259</f>
        <v>40.802828354596642</v>
      </c>
      <c r="AA1259" s="214">
        <f ca="1">+$Y1259</f>
        <v>7.401410761154855</v>
      </c>
      <c r="AB1259" s="214">
        <f ca="1">+$X1259</f>
        <v>16.439632545931762</v>
      </c>
      <c r="AC1259" s="214">
        <f ca="1">+$W1259-XOffset</f>
        <v>40.802828354596642</v>
      </c>
    </row>
    <row r="1260" spans="19:29" ht="8.4" customHeight="1">
      <c r="S1260" s="307"/>
      <c r="T1260" s="226">
        <f t="shared" si="72"/>
        <v>1257</v>
      </c>
      <c r="U1260" s="224">
        <f t="shared" si="70"/>
        <v>1</v>
      </c>
      <c r="V1260" s="225">
        <f t="shared" si="71"/>
        <v>0</v>
      </c>
      <c r="W1260" s="238">
        <f ca="1">$U1260*EWSpacingFt+XOffset+0</f>
        <v>30.000006832286932</v>
      </c>
      <c r="X1260" s="242">
        <f ca="1">$V1260*NSSpacingFt+YOffset+PanArrayLenFt*COS(RADIANS(Latitude+DecAng))</f>
        <v>16.439632545931762</v>
      </c>
      <c r="Y1260" s="246">
        <f ca="1">+$V1260*NSGradeFt+PedHeight+PanArrayLenFt*SIN(RADIANS(Latitude+DecAng))</f>
        <v>7.401410761154855</v>
      </c>
      <c r="Z1260" s="214">
        <f ca="1">+$W1260</f>
        <v>30.000006832286932</v>
      </c>
      <c r="AA1260" s="214">
        <f ca="1">+$Y1260</f>
        <v>7.401410761154855</v>
      </c>
      <c r="AB1260" s="214">
        <f ca="1">+$X1260</f>
        <v>16.439632545931762</v>
      </c>
      <c r="AC1260" s="214">
        <f ca="1">+$W1260-XOffset</f>
        <v>30.000006832286932</v>
      </c>
    </row>
    <row r="1261" spans="19:29" ht="8.4" customHeight="1">
      <c r="S1261" s="307"/>
      <c r="T1261" s="226">
        <f t="shared" si="72"/>
        <v>1258</v>
      </c>
      <c r="U1261" s="224">
        <f t="shared" si="70"/>
        <v>1</v>
      </c>
      <c r="V1261" s="225">
        <f t="shared" si="71"/>
        <v>0</v>
      </c>
      <c r="W1261" s="239">
        <f ca="1">$U1261*EWSpacingFt+XOffset+(PanArrayWidthHighEndFt-PanArrayWidthLowEndFt)/2</f>
        <v>30.000006832286932</v>
      </c>
      <c r="X1261" s="243">
        <f ca="1">$V1261*NSSpacingFt+YOffset+0</f>
        <v>0</v>
      </c>
      <c r="Y1261" s="247">
        <f ca="1">+$V1261*NSGradeFt+PedHeight+0</f>
        <v>7.401410761154855</v>
      </c>
      <c r="Z1261" s="214">
        <f ca="1">+$W1261</f>
        <v>30.000006832286932</v>
      </c>
      <c r="AA1261" s="214">
        <f ca="1">+$Y1261</f>
        <v>7.401410761154855</v>
      </c>
      <c r="AB1261" s="214">
        <f ca="1">+$X1261</f>
        <v>0</v>
      </c>
      <c r="AC1261" s="214">
        <f ca="1">+$W1261-XOffset</f>
        <v>30.000006832286932</v>
      </c>
    </row>
    <row r="1262" spans="19:29" ht="8.4" customHeight="1">
      <c r="S1262" s="307"/>
      <c r="T1262" s="226">
        <f t="shared" si="72"/>
        <v>1259</v>
      </c>
      <c r="U1262" s="224">
        <f t="shared" si="70"/>
        <v>1</v>
      </c>
      <c r="V1262" s="225">
        <f t="shared" si="71"/>
        <v>0</v>
      </c>
      <c r="W1262" s="217"/>
      <c r="X1262" s="217"/>
      <c r="Y1262" s="217"/>
      <c r="Z1262" s="214"/>
      <c r="AA1262" s="214"/>
      <c r="AB1262" s="214"/>
      <c r="AC1262" s="214"/>
    </row>
    <row r="1263" spans="19:29" ht="8.4" customHeight="1">
      <c r="S1263" s="307">
        <f>INT((T1263-0)/6)+1</f>
        <v>211</v>
      </c>
      <c r="T1263" s="226">
        <f t="shared" si="72"/>
        <v>1260</v>
      </c>
      <c r="U1263" s="224">
        <f t="shared" si="70"/>
        <v>0</v>
      </c>
      <c r="V1263" s="225">
        <f t="shared" si="71"/>
        <v>1</v>
      </c>
      <c r="W1263" s="233">
        <f ca="1">$U1263*EWSpacingFt+XOffset+(PanArrayWidthHighEndFt-PanArrayWidthLowEndFt)/2</f>
        <v>0</v>
      </c>
      <c r="X1263" s="234">
        <f ca="1">$V1263*NSSpacingFt+YOffset+0</f>
        <v>17.999999999999989</v>
      </c>
      <c r="Y1263" s="235">
        <f ca="1">+$V1263*NSGradeFt+PedHeight+0</f>
        <v>7.401410761154855</v>
      </c>
      <c r="Z1263" s="214">
        <f ca="1">+$W1263</f>
        <v>0</v>
      </c>
      <c r="AA1263" s="214">
        <f ca="1">+$Y1263</f>
        <v>7.401410761154855</v>
      </c>
      <c r="AB1263" s="214">
        <f ca="1">+$X1263</f>
        <v>17.999999999999989</v>
      </c>
      <c r="AC1263" s="214">
        <f ca="1">+$W1263-XOffset</f>
        <v>0</v>
      </c>
    </row>
    <row r="1264" spans="19:29" ht="8.4" customHeight="1">
      <c r="S1264" s="307"/>
      <c r="T1264" s="226">
        <f t="shared" si="72"/>
        <v>1261</v>
      </c>
      <c r="U1264" s="224">
        <f t="shared" si="70"/>
        <v>0</v>
      </c>
      <c r="V1264" s="225">
        <f t="shared" si="71"/>
        <v>1</v>
      </c>
      <c r="W1264" s="236">
        <f ca="1">+$U1264*EWSpacingFt+XOffset+PanArrayWidthHighEndFt-(PanArrayWidthHighEndFt-PanArrayWidthLowEndFt)/2</f>
        <v>10.80282152230971</v>
      </c>
      <c r="X1264" s="240">
        <f ca="1">$V1264*NSSpacingFt+YOffset+0</f>
        <v>17.999999999999989</v>
      </c>
      <c r="Y1264" s="244">
        <f ca="1">+$V1264*NSGradeFt+PedHeight+0</f>
        <v>7.401410761154855</v>
      </c>
      <c r="Z1264" s="214">
        <f ca="1">+$W1264</f>
        <v>10.80282152230971</v>
      </c>
      <c r="AA1264" s="214">
        <f ca="1">+$Y1264</f>
        <v>7.401410761154855</v>
      </c>
      <c r="AB1264" s="214">
        <f ca="1">+$X1264</f>
        <v>17.999999999999989</v>
      </c>
      <c r="AC1264" s="214">
        <f ca="1">+$W1264-XOffset</f>
        <v>10.80282152230971</v>
      </c>
    </row>
    <row r="1265" spans="19:29" ht="8.4" customHeight="1">
      <c r="S1265" s="307"/>
      <c r="T1265" s="226">
        <f t="shared" si="72"/>
        <v>1262</v>
      </c>
      <c r="U1265" s="224">
        <f t="shared" si="70"/>
        <v>0</v>
      </c>
      <c r="V1265" s="225">
        <f t="shared" si="71"/>
        <v>1</v>
      </c>
      <c r="W1265" s="237">
        <f ca="1">$U1265*EWSpacingFt+XOffset+PanArrayWidthHighEndFt</f>
        <v>10.80282152230971</v>
      </c>
      <c r="X1265" s="241">
        <f ca="1">$V1265*NSSpacingFt+YOffset+PanArrayLenFt*COS(RADIANS(Latitude+DecAng))</f>
        <v>34.439632545931751</v>
      </c>
      <c r="Y1265" s="245">
        <f ca="1">+$V1265*NSGradeFt+PedHeight+PanArrayLenFt*SIN(RADIANS(Latitude+DecAng))</f>
        <v>7.401410761154855</v>
      </c>
      <c r="Z1265" s="214">
        <f ca="1">+$W1265</f>
        <v>10.80282152230971</v>
      </c>
      <c r="AA1265" s="214">
        <f ca="1">+$Y1265</f>
        <v>7.401410761154855</v>
      </c>
      <c r="AB1265" s="214">
        <f ca="1">+$X1265</f>
        <v>34.439632545931751</v>
      </c>
      <c r="AC1265" s="214">
        <f ca="1">+$W1265-XOffset</f>
        <v>10.80282152230971</v>
      </c>
    </row>
    <row r="1266" spans="19:29" ht="8.4" customHeight="1">
      <c r="S1266" s="307"/>
      <c r="T1266" s="226">
        <f t="shared" si="72"/>
        <v>1263</v>
      </c>
      <c r="U1266" s="224">
        <f t="shared" si="70"/>
        <v>0</v>
      </c>
      <c r="V1266" s="225">
        <f t="shared" si="71"/>
        <v>1</v>
      </c>
      <c r="W1266" s="238">
        <f ca="1">$U1266*EWSpacingFt+XOffset+0</f>
        <v>0</v>
      </c>
      <c r="X1266" s="242">
        <f ca="1">$V1266*NSSpacingFt+YOffset+PanArrayLenFt*COS(RADIANS(Latitude+DecAng))</f>
        <v>34.439632545931751</v>
      </c>
      <c r="Y1266" s="246">
        <f ca="1">+$V1266*NSGradeFt+PedHeight+PanArrayLenFt*SIN(RADIANS(Latitude+DecAng))</f>
        <v>7.401410761154855</v>
      </c>
      <c r="Z1266" s="214">
        <f ca="1">+$W1266</f>
        <v>0</v>
      </c>
      <c r="AA1266" s="214">
        <f ca="1">+$Y1266</f>
        <v>7.401410761154855</v>
      </c>
      <c r="AB1266" s="214">
        <f ca="1">+$X1266</f>
        <v>34.439632545931751</v>
      </c>
      <c r="AC1266" s="214">
        <f ca="1">+$W1266-XOffset</f>
        <v>0</v>
      </c>
    </row>
    <row r="1267" spans="19:29" ht="8.4" customHeight="1">
      <c r="S1267" s="307"/>
      <c r="T1267" s="226">
        <f t="shared" si="72"/>
        <v>1264</v>
      </c>
      <c r="U1267" s="224">
        <f t="shared" si="70"/>
        <v>0</v>
      </c>
      <c r="V1267" s="225">
        <f t="shared" si="71"/>
        <v>1</v>
      </c>
      <c r="W1267" s="239">
        <f ca="1">$U1267*EWSpacingFt+XOffset+(PanArrayWidthHighEndFt-PanArrayWidthLowEndFt)/2</f>
        <v>0</v>
      </c>
      <c r="X1267" s="243">
        <f ca="1">$V1267*NSSpacingFt+YOffset+0</f>
        <v>17.999999999999989</v>
      </c>
      <c r="Y1267" s="247">
        <f ca="1">+$V1267*NSGradeFt+PedHeight+0</f>
        <v>7.401410761154855</v>
      </c>
      <c r="Z1267" s="214">
        <f ca="1">+$W1267</f>
        <v>0</v>
      </c>
      <c r="AA1267" s="214">
        <f ca="1">+$Y1267</f>
        <v>7.401410761154855</v>
      </c>
      <c r="AB1267" s="214">
        <f ca="1">+$X1267</f>
        <v>17.999999999999989</v>
      </c>
      <c r="AC1267" s="214">
        <f ca="1">+$W1267-XOffset</f>
        <v>0</v>
      </c>
    </row>
    <row r="1268" spans="19:29" ht="8.4" customHeight="1">
      <c r="S1268" s="307"/>
      <c r="T1268" s="226">
        <f t="shared" si="72"/>
        <v>1265</v>
      </c>
      <c r="U1268" s="224">
        <f t="shared" si="70"/>
        <v>0</v>
      </c>
      <c r="V1268" s="225">
        <f t="shared" si="71"/>
        <v>1</v>
      </c>
      <c r="W1268" s="217"/>
      <c r="X1268" s="217"/>
      <c r="Y1268" s="217"/>
      <c r="Z1268" s="214"/>
      <c r="AA1268" s="214"/>
      <c r="AB1268" s="214"/>
      <c r="AC1268" s="214"/>
    </row>
    <row r="1269" spans="19:29" ht="8.4" customHeight="1">
      <c r="S1269" s="307">
        <f>INT((T1269-0)/6)+1</f>
        <v>212</v>
      </c>
      <c r="T1269" s="226">
        <f t="shared" si="72"/>
        <v>1266</v>
      </c>
      <c r="U1269" s="224">
        <f t="shared" si="70"/>
        <v>1</v>
      </c>
      <c r="V1269" s="225">
        <f t="shared" si="71"/>
        <v>1</v>
      </c>
      <c r="W1269" s="233">
        <f ca="1">$U1269*EWSpacingFt+XOffset+(PanArrayWidthHighEndFt-PanArrayWidthLowEndFt)/2</f>
        <v>30.000006832286932</v>
      </c>
      <c r="X1269" s="234">
        <f ca="1">$V1269*NSSpacingFt+YOffset+0</f>
        <v>17.999999999999989</v>
      </c>
      <c r="Y1269" s="235">
        <f ca="1">+$V1269*NSGradeFt+PedHeight+0</f>
        <v>7.401410761154855</v>
      </c>
      <c r="Z1269" s="214">
        <f ca="1">+$W1269</f>
        <v>30.000006832286932</v>
      </c>
      <c r="AA1269" s="214">
        <f ca="1">+$Y1269</f>
        <v>7.401410761154855</v>
      </c>
      <c r="AB1269" s="214">
        <f ca="1">+$X1269</f>
        <v>17.999999999999989</v>
      </c>
      <c r="AC1269" s="214">
        <f ca="1">+$W1269-XOffset</f>
        <v>30.000006832286932</v>
      </c>
    </row>
    <row r="1270" spans="19:29" ht="8.4" customHeight="1">
      <c r="S1270" s="307"/>
      <c r="T1270" s="226">
        <f t="shared" si="72"/>
        <v>1267</v>
      </c>
      <c r="U1270" s="224">
        <f t="shared" si="70"/>
        <v>1</v>
      </c>
      <c r="V1270" s="225">
        <f t="shared" si="71"/>
        <v>1</v>
      </c>
      <c r="W1270" s="236">
        <f ca="1">+$U1270*EWSpacingFt+XOffset+PanArrayWidthHighEndFt-(PanArrayWidthHighEndFt-PanArrayWidthLowEndFt)/2</f>
        <v>40.802828354596642</v>
      </c>
      <c r="X1270" s="240">
        <f ca="1">$V1270*NSSpacingFt+YOffset+0</f>
        <v>17.999999999999989</v>
      </c>
      <c r="Y1270" s="244">
        <f ca="1">+$V1270*NSGradeFt+PedHeight+0</f>
        <v>7.401410761154855</v>
      </c>
      <c r="Z1270" s="214">
        <f ca="1">+$W1270</f>
        <v>40.802828354596642</v>
      </c>
      <c r="AA1270" s="214">
        <f ca="1">+$Y1270</f>
        <v>7.401410761154855</v>
      </c>
      <c r="AB1270" s="214">
        <f ca="1">+$X1270</f>
        <v>17.999999999999989</v>
      </c>
      <c r="AC1270" s="214">
        <f ca="1">+$W1270-XOffset</f>
        <v>40.802828354596642</v>
      </c>
    </row>
    <row r="1271" spans="19:29" ht="8.4" customHeight="1">
      <c r="S1271" s="307"/>
      <c r="T1271" s="226">
        <f t="shared" si="72"/>
        <v>1268</v>
      </c>
      <c r="U1271" s="224">
        <f t="shared" si="70"/>
        <v>1</v>
      </c>
      <c r="V1271" s="225">
        <f t="shared" si="71"/>
        <v>1</v>
      </c>
      <c r="W1271" s="237">
        <f ca="1">$U1271*EWSpacingFt+XOffset+PanArrayWidthHighEndFt</f>
        <v>40.802828354596642</v>
      </c>
      <c r="X1271" s="241">
        <f ca="1">$V1271*NSSpacingFt+YOffset+PanArrayLenFt*COS(RADIANS(Latitude+DecAng))</f>
        <v>34.439632545931751</v>
      </c>
      <c r="Y1271" s="245">
        <f ca="1">+$V1271*NSGradeFt+PedHeight+PanArrayLenFt*SIN(RADIANS(Latitude+DecAng))</f>
        <v>7.401410761154855</v>
      </c>
      <c r="Z1271" s="214">
        <f ca="1">+$W1271</f>
        <v>40.802828354596642</v>
      </c>
      <c r="AA1271" s="214">
        <f ca="1">+$Y1271</f>
        <v>7.401410761154855</v>
      </c>
      <c r="AB1271" s="214">
        <f ca="1">+$X1271</f>
        <v>34.439632545931751</v>
      </c>
      <c r="AC1271" s="214">
        <f ca="1">+$W1271-XOffset</f>
        <v>40.802828354596642</v>
      </c>
    </row>
    <row r="1272" spans="19:29" ht="8.4" customHeight="1">
      <c r="S1272" s="307"/>
      <c r="T1272" s="226">
        <f t="shared" si="72"/>
        <v>1269</v>
      </c>
      <c r="U1272" s="224">
        <f t="shared" si="70"/>
        <v>1</v>
      </c>
      <c r="V1272" s="225">
        <f t="shared" si="71"/>
        <v>1</v>
      </c>
      <c r="W1272" s="238">
        <f ca="1">$U1272*EWSpacingFt+XOffset+0</f>
        <v>30.000006832286932</v>
      </c>
      <c r="X1272" s="242">
        <f ca="1">$V1272*NSSpacingFt+YOffset+PanArrayLenFt*COS(RADIANS(Latitude+DecAng))</f>
        <v>34.439632545931751</v>
      </c>
      <c r="Y1272" s="246">
        <f ca="1">+$V1272*NSGradeFt+PedHeight+PanArrayLenFt*SIN(RADIANS(Latitude+DecAng))</f>
        <v>7.401410761154855</v>
      </c>
      <c r="Z1272" s="214">
        <f ca="1">+$W1272</f>
        <v>30.000006832286932</v>
      </c>
      <c r="AA1272" s="214">
        <f ca="1">+$Y1272</f>
        <v>7.401410761154855</v>
      </c>
      <c r="AB1272" s="214">
        <f ca="1">+$X1272</f>
        <v>34.439632545931751</v>
      </c>
      <c r="AC1272" s="214">
        <f ca="1">+$W1272-XOffset</f>
        <v>30.000006832286932</v>
      </c>
    </row>
    <row r="1273" spans="19:29" ht="8.4" customHeight="1">
      <c r="S1273" s="307"/>
      <c r="T1273" s="226">
        <f t="shared" si="72"/>
        <v>1270</v>
      </c>
      <c r="U1273" s="224">
        <f t="shared" si="70"/>
        <v>1</v>
      </c>
      <c r="V1273" s="225">
        <f t="shared" si="71"/>
        <v>1</v>
      </c>
      <c r="W1273" s="239">
        <f ca="1">$U1273*EWSpacingFt+XOffset+(PanArrayWidthHighEndFt-PanArrayWidthLowEndFt)/2</f>
        <v>30.000006832286932</v>
      </c>
      <c r="X1273" s="243">
        <f ca="1">$V1273*NSSpacingFt+YOffset+0</f>
        <v>17.999999999999989</v>
      </c>
      <c r="Y1273" s="247">
        <f ca="1">+$V1273*NSGradeFt+PedHeight+0</f>
        <v>7.401410761154855</v>
      </c>
      <c r="Z1273" s="214">
        <f ca="1">+$W1273</f>
        <v>30.000006832286932</v>
      </c>
      <c r="AA1273" s="214">
        <f ca="1">+$Y1273</f>
        <v>7.401410761154855</v>
      </c>
      <c r="AB1273" s="214">
        <f ca="1">+$X1273</f>
        <v>17.999999999999989</v>
      </c>
      <c r="AC1273" s="214">
        <f ca="1">+$W1273-XOffset</f>
        <v>30.000006832286932</v>
      </c>
    </row>
    <row r="1274" spans="19:29" ht="8.4" customHeight="1">
      <c r="S1274" s="307"/>
      <c r="T1274" s="226">
        <f t="shared" si="72"/>
        <v>1271</v>
      </c>
      <c r="U1274" s="224">
        <f t="shared" si="70"/>
        <v>1</v>
      </c>
      <c r="V1274" s="225">
        <f t="shared" si="71"/>
        <v>1</v>
      </c>
      <c r="W1274" s="217"/>
      <c r="X1274" s="217"/>
      <c r="Y1274" s="217"/>
      <c r="Z1274" s="214"/>
      <c r="AA1274" s="214"/>
      <c r="AB1274" s="214"/>
      <c r="AC1274" s="214"/>
    </row>
    <row r="1275" spans="19:29" ht="8.4" customHeight="1">
      <c r="S1275" s="307">
        <f>INT((T1275-0)/6)+1</f>
        <v>213</v>
      </c>
      <c r="T1275" s="226">
        <f t="shared" si="72"/>
        <v>1272</v>
      </c>
      <c r="U1275" s="224">
        <f t="shared" si="70"/>
        <v>0</v>
      </c>
      <c r="V1275" s="225">
        <f t="shared" si="71"/>
        <v>2</v>
      </c>
      <c r="W1275" s="233">
        <f ca="1">$U1275*EWSpacingFt+XOffset+(PanArrayWidthHighEndFt-PanArrayWidthLowEndFt)/2</f>
        <v>0</v>
      </c>
      <c r="X1275" s="234">
        <f ca="1">$V1275*NSSpacingFt+YOffset+0</f>
        <v>35.999999999999979</v>
      </c>
      <c r="Y1275" s="235">
        <f ca="1">+$V1275*NSGradeFt+PedHeight+0</f>
        <v>7.401410761154855</v>
      </c>
      <c r="Z1275" s="214">
        <f ca="1">+$W1275</f>
        <v>0</v>
      </c>
      <c r="AA1275" s="214">
        <f ca="1">+$Y1275</f>
        <v>7.401410761154855</v>
      </c>
      <c r="AB1275" s="214">
        <f ca="1">+$X1275</f>
        <v>35.999999999999979</v>
      </c>
      <c r="AC1275" s="214">
        <f ca="1">+$W1275-XOffset</f>
        <v>0</v>
      </c>
    </row>
    <row r="1276" spans="19:29" ht="8.4" customHeight="1">
      <c r="S1276" s="307"/>
      <c r="T1276" s="226">
        <f t="shared" si="72"/>
        <v>1273</v>
      </c>
      <c r="U1276" s="224">
        <f t="shared" si="70"/>
        <v>0</v>
      </c>
      <c r="V1276" s="225">
        <f t="shared" si="71"/>
        <v>2</v>
      </c>
      <c r="W1276" s="236">
        <f ca="1">+$U1276*EWSpacingFt+XOffset+PanArrayWidthHighEndFt-(PanArrayWidthHighEndFt-PanArrayWidthLowEndFt)/2</f>
        <v>10.80282152230971</v>
      </c>
      <c r="X1276" s="240">
        <f ca="1">$V1276*NSSpacingFt+YOffset+0</f>
        <v>35.999999999999979</v>
      </c>
      <c r="Y1276" s="244">
        <f ca="1">+$V1276*NSGradeFt+PedHeight+0</f>
        <v>7.401410761154855</v>
      </c>
      <c r="Z1276" s="214">
        <f ca="1">+$W1276</f>
        <v>10.80282152230971</v>
      </c>
      <c r="AA1276" s="214">
        <f ca="1">+$Y1276</f>
        <v>7.401410761154855</v>
      </c>
      <c r="AB1276" s="214">
        <f ca="1">+$X1276</f>
        <v>35.999999999999979</v>
      </c>
      <c r="AC1276" s="214">
        <f ca="1">+$W1276-XOffset</f>
        <v>10.80282152230971</v>
      </c>
    </row>
    <row r="1277" spans="19:29" ht="8.4" customHeight="1">
      <c r="S1277" s="307"/>
      <c r="T1277" s="226">
        <f t="shared" si="72"/>
        <v>1274</v>
      </c>
      <c r="U1277" s="224">
        <f t="shared" si="70"/>
        <v>0</v>
      </c>
      <c r="V1277" s="225">
        <f t="shared" si="71"/>
        <v>2</v>
      </c>
      <c r="W1277" s="237">
        <f ca="1">$U1277*EWSpacingFt+XOffset+PanArrayWidthHighEndFt</f>
        <v>10.80282152230971</v>
      </c>
      <c r="X1277" s="241">
        <f ca="1">$V1277*NSSpacingFt+YOffset+PanArrayLenFt*COS(RADIANS(Latitude+DecAng))</f>
        <v>52.439632545931744</v>
      </c>
      <c r="Y1277" s="245">
        <f ca="1">+$V1277*NSGradeFt+PedHeight+PanArrayLenFt*SIN(RADIANS(Latitude+DecAng))</f>
        <v>7.401410761154855</v>
      </c>
      <c r="Z1277" s="214">
        <f ca="1">+$W1277</f>
        <v>10.80282152230971</v>
      </c>
      <c r="AA1277" s="214">
        <f ca="1">+$Y1277</f>
        <v>7.401410761154855</v>
      </c>
      <c r="AB1277" s="214">
        <f ca="1">+$X1277</f>
        <v>52.439632545931744</v>
      </c>
      <c r="AC1277" s="214">
        <f ca="1">+$W1277-XOffset</f>
        <v>10.80282152230971</v>
      </c>
    </row>
    <row r="1278" spans="19:29" ht="8.4" customHeight="1">
      <c r="S1278" s="307"/>
      <c r="T1278" s="226">
        <f t="shared" si="72"/>
        <v>1275</v>
      </c>
      <c r="U1278" s="224">
        <f t="shared" si="70"/>
        <v>0</v>
      </c>
      <c r="V1278" s="225">
        <f t="shared" si="71"/>
        <v>2</v>
      </c>
      <c r="W1278" s="238">
        <f ca="1">$U1278*EWSpacingFt+XOffset+0</f>
        <v>0</v>
      </c>
      <c r="X1278" s="242">
        <f ca="1">$V1278*NSSpacingFt+YOffset+PanArrayLenFt*COS(RADIANS(Latitude+DecAng))</f>
        <v>52.439632545931744</v>
      </c>
      <c r="Y1278" s="246">
        <f ca="1">+$V1278*NSGradeFt+PedHeight+PanArrayLenFt*SIN(RADIANS(Latitude+DecAng))</f>
        <v>7.401410761154855</v>
      </c>
      <c r="Z1278" s="214">
        <f ca="1">+$W1278</f>
        <v>0</v>
      </c>
      <c r="AA1278" s="214">
        <f ca="1">+$Y1278</f>
        <v>7.401410761154855</v>
      </c>
      <c r="AB1278" s="214">
        <f ca="1">+$X1278</f>
        <v>52.439632545931744</v>
      </c>
      <c r="AC1278" s="214">
        <f ca="1">+$W1278-XOffset</f>
        <v>0</v>
      </c>
    </row>
    <row r="1279" spans="19:29" ht="8.4" customHeight="1">
      <c r="S1279" s="307"/>
      <c r="T1279" s="226">
        <f t="shared" si="72"/>
        <v>1276</v>
      </c>
      <c r="U1279" s="224">
        <f t="shared" si="70"/>
        <v>0</v>
      </c>
      <c r="V1279" s="225">
        <f t="shared" si="71"/>
        <v>2</v>
      </c>
      <c r="W1279" s="239">
        <f ca="1">$U1279*EWSpacingFt+XOffset+(PanArrayWidthHighEndFt-PanArrayWidthLowEndFt)/2</f>
        <v>0</v>
      </c>
      <c r="X1279" s="243">
        <f ca="1">$V1279*NSSpacingFt+YOffset+0</f>
        <v>35.999999999999979</v>
      </c>
      <c r="Y1279" s="247">
        <f ca="1">+$V1279*NSGradeFt+PedHeight+0</f>
        <v>7.401410761154855</v>
      </c>
      <c r="Z1279" s="214">
        <f ca="1">+$W1279</f>
        <v>0</v>
      </c>
      <c r="AA1279" s="214">
        <f ca="1">+$Y1279</f>
        <v>7.401410761154855</v>
      </c>
      <c r="AB1279" s="214">
        <f ca="1">+$X1279</f>
        <v>35.999999999999979</v>
      </c>
      <c r="AC1279" s="214">
        <f ca="1">+$W1279-XOffset</f>
        <v>0</v>
      </c>
    </row>
    <row r="1280" spans="19:29" ht="8.4" customHeight="1">
      <c r="S1280" s="307"/>
      <c r="T1280" s="226">
        <f t="shared" si="72"/>
        <v>1277</v>
      </c>
      <c r="U1280" s="224">
        <f t="shared" si="70"/>
        <v>0</v>
      </c>
      <c r="V1280" s="225">
        <f t="shared" si="71"/>
        <v>2</v>
      </c>
      <c r="W1280" s="217"/>
      <c r="X1280" s="217"/>
      <c r="Y1280" s="217"/>
      <c r="Z1280" s="214"/>
      <c r="AA1280" s="214"/>
      <c r="AB1280" s="214"/>
      <c r="AC1280" s="214"/>
    </row>
    <row r="1281" spans="19:29" ht="8.4" customHeight="1">
      <c r="S1281" s="307">
        <f>INT((T1281-0)/6)+1</f>
        <v>214</v>
      </c>
      <c r="T1281" s="226">
        <f t="shared" si="72"/>
        <v>1278</v>
      </c>
      <c r="U1281" s="224">
        <f t="shared" si="70"/>
        <v>1</v>
      </c>
      <c r="V1281" s="225">
        <f t="shared" si="71"/>
        <v>2</v>
      </c>
      <c r="W1281" s="233">
        <f ca="1">$U1281*EWSpacingFt+XOffset+(PanArrayWidthHighEndFt-PanArrayWidthLowEndFt)/2</f>
        <v>30.000006832286932</v>
      </c>
      <c r="X1281" s="234">
        <f ca="1">$V1281*NSSpacingFt+YOffset+0</f>
        <v>35.999999999999979</v>
      </c>
      <c r="Y1281" s="235">
        <f ca="1">+$V1281*NSGradeFt+PedHeight+0</f>
        <v>7.401410761154855</v>
      </c>
      <c r="Z1281" s="214">
        <f ca="1">+$W1281</f>
        <v>30.000006832286932</v>
      </c>
      <c r="AA1281" s="214">
        <f ca="1">+$Y1281</f>
        <v>7.401410761154855</v>
      </c>
      <c r="AB1281" s="214">
        <f ca="1">+$X1281</f>
        <v>35.999999999999979</v>
      </c>
      <c r="AC1281" s="214">
        <f ca="1">+$W1281-XOffset</f>
        <v>30.000006832286932</v>
      </c>
    </row>
    <row r="1282" spans="19:29" ht="8.4" customHeight="1">
      <c r="S1282" s="307"/>
      <c r="T1282" s="226">
        <f t="shared" si="72"/>
        <v>1279</v>
      </c>
      <c r="U1282" s="224">
        <f t="shared" si="70"/>
        <v>1</v>
      </c>
      <c r="V1282" s="225">
        <f t="shared" si="71"/>
        <v>2</v>
      </c>
      <c r="W1282" s="236">
        <f ca="1">+$U1282*EWSpacingFt+XOffset+PanArrayWidthHighEndFt-(PanArrayWidthHighEndFt-PanArrayWidthLowEndFt)/2</f>
        <v>40.802828354596642</v>
      </c>
      <c r="X1282" s="240">
        <f ca="1">$V1282*NSSpacingFt+YOffset+0</f>
        <v>35.999999999999979</v>
      </c>
      <c r="Y1282" s="244">
        <f ca="1">+$V1282*NSGradeFt+PedHeight+0</f>
        <v>7.401410761154855</v>
      </c>
      <c r="Z1282" s="214">
        <f ca="1">+$W1282</f>
        <v>40.802828354596642</v>
      </c>
      <c r="AA1282" s="214">
        <f ca="1">+$Y1282</f>
        <v>7.401410761154855</v>
      </c>
      <c r="AB1282" s="214">
        <f ca="1">+$X1282</f>
        <v>35.999999999999979</v>
      </c>
      <c r="AC1282" s="214">
        <f ca="1">+$W1282-XOffset</f>
        <v>40.802828354596642</v>
      </c>
    </row>
    <row r="1283" spans="19:29" ht="8.4" customHeight="1">
      <c r="S1283" s="307"/>
      <c r="T1283" s="226">
        <f t="shared" si="72"/>
        <v>1280</v>
      </c>
      <c r="U1283" s="224">
        <f t="shared" ref="U1283:U1346" si="73">+MOD(INT(T1283/6),ColumnsOfMounts)</f>
        <v>1</v>
      </c>
      <c r="V1283" s="225">
        <f t="shared" ref="V1283:V1346" si="74">+MOD(INT(T1283/6/ColumnsOfMounts),RowsOfMounts)</f>
        <v>2</v>
      </c>
      <c r="W1283" s="237">
        <f ca="1">$U1283*EWSpacingFt+XOffset+PanArrayWidthHighEndFt</f>
        <v>40.802828354596642</v>
      </c>
      <c r="X1283" s="241">
        <f ca="1">$V1283*NSSpacingFt+YOffset+PanArrayLenFt*COS(RADIANS(Latitude+DecAng))</f>
        <v>52.439632545931744</v>
      </c>
      <c r="Y1283" s="245">
        <f ca="1">+$V1283*NSGradeFt+PedHeight+PanArrayLenFt*SIN(RADIANS(Latitude+DecAng))</f>
        <v>7.401410761154855</v>
      </c>
      <c r="Z1283" s="214">
        <f ca="1">+$W1283</f>
        <v>40.802828354596642</v>
      </c>
      <c r="AA1283" s="214">
        <f ca="1">+$Y1283</f>
        <v>7.401410761154855</v>
      </c>
      <c r="AB1283" s="214">
        <f ca="1">+$X1283</f>
        <v>52.439632545931744</v>
      </c>
      <c r="AC1283" s="214">
        <f ca="1">+$W1283-XOffset</f>
        <v>40.802828354596642</v>
      </c>
    </row>
    <row r="1284" spans="19:29" ht="8.4" customHeight="1">
      <c r="S1284" s="307"/>
      <c r="T1284" s="226">
        <f t="shared" si="72"/>
        <v>1281</v>
      </c>
      <c r="U1284" s="224">
        <f t="shared" si="73"/>
        <v>1</v>
      </c>
      <c r="V1284" s="225">
        <f t="shared" si="74"/>
        <v>2</v>
      </c>
      <c r="W1284" s="238">
        <f ca="1">$U1284*EWSpacingFt+XOffset+0</f>
        <v>30.000006832286932</v>
      </c>
      <c r="X1284" s="242">
        <f ca="1">$V1284*NSSpacingFt+YOffset+PanArrayLenFt*COS(RADIANS(Latitude+DecAng))</f>
        <v>52.439632545931744</v>
      </c>
      <c r="Y1284" s="246">
        <f ca="1">+$V1284*NSGradeFt+PedHeight+PanArrayLenFt*SIN(RADIANS(Latitude+DecAng))</f>
        <v>7.401410761154855</v>
      </c>
      <c r="Z1284" s="214">
        <f ca="1">+$W1284</f>
        <v>30.000006832286932</v>
      </c>
      <c r="AA1284" s="214">
        <f ca="1">+$Y1284</f>
        <v>7.401410761154855</v>
      </c>
      <c r="AB1284" s="214">
        <f ca="1">+$X1284</f>
        <v>52.439632545931744</v>
      </c>
      <c r="AC1284" s="214">
        <f ca="1">+$W1284-XOffset</f>
        <v>30.000006832286932</v>
      </c>
    </row>
    <row r="1285" spans="19:29" ht="8.4" customHeight="1">
      <c r="S1285" s="307"/>
      <c r="T1285" s="226">
        <f t="shared" si="72"/>
        <v>1282</v>
      </c>
      <c r="U1285" s="224">
        <f t="shared" si="73"/>
        <v>1</v>
      </c>
      <c r="V1285" s="225">
        <f t="shared" si="74"/>
        <v>2</v>
      </c>
      <c r="W1285" s="239">
        <f ca="1">$U1285*EWSpacingFt+XOffset+(PanArrayWidthHighEndFt-PanArrayWidthLowEndFt)/2</f>
        <v>30.000006832286932</v>
      </c>
      <c r="X1285" s="243">
        <f ca="1">$V1285*NSSpacingFt+YOffset+0</f>
        <v>35.999999999999979</v>
      </c>
      <c r="Y1285" s="247">
        <f ca="1">+$V1285*NSGradeFt+PedHeight+0</f>
        <v>7.401410761154855</v>
      </c>
      <c r="Z1285" s="214">
        <f ca="1">+$W1285</f>
        <v>30.000006832286932</v>
      </c>
      <c r="AA1285" s="214">
        <f ca="1">+$Y1285</f>
        <v>7.401410761154855</v>
      </c>
      <c r="AB1285" s="214">
        <f ca="1">+$X1285</f>
        <v>35.999999999999979</v>
      </c>
      <c r="AC1285" s="214">
        <f ca="1">+$W1285-XOffset</f>
        <v>30.000006832286932</v>
      </c>
    </row>
    <row r="1286" spans="19:29" ht="8.4" customHeight="1">
      <c r="S1286" s="307"/>
      <c r="T1286" s="226">
        <f t="shared" si="72"/>
        <v>1283</v>
      </c>
      <c r="U1286" s="224">
        <f t="shared" si="73"/>
        <v>1</v>
      </c>
      <c r="V1286" s="225">
        <f t="shared" si="74"/>
        <v>2</v>
      </c>
      <c r="W1286" s="217"/>
      <c r="X1286" s="217"/>
      <c r="Y1286" s="217"/>
      <c r="Z1286" s="214"/>
      <c r="AA1286" s="214"/>
      <c r="AB1286" s="214"/>
      <c r="AC1286" s="214"/>
    </row>
    <row r="1287" spans="19:29" ht="8.4" customHeight="1">
      <c r="S1287" s="307">
        <f>INT((T1287-0)/6)+1</f>
        <v>215</v>
      </c>
      <c r="T1287" s="226">
        <f t="shared" si="72"/>
        <v>1284</v>
      </c>
      <c r="U1287" s="224">
        <f t="shared" si="73"/>
        <v>0</v>
      </c>
      <c r="V1287" s="225">
        <f t="shared" si="74"/>
        <v>3</v>
      </c>
      <c r="W1287" s="233">
        <f ca="1">$U1287*EWSpacingFt+XOffset+(PanArrayWidthHighEndFt-PanArrayWidthLowEndFt)/2</f>
        <v>0</v>
      </c>
      <c r="X1287" s="234">
        <f ca="1">$V1287*NSSpacingFt+YOffset+0</f>
        <v>53.999999999999972</v>
      </c>
      <c r="Y1287" s="235">
        <f ca="1">+$V1287*NSGradeFt+PedHeight+0</f>
        <v>7.401410761154855</v>
      </c>
      <c r="Z1287" s="214">
        <f ca="1">+$W1287</f>
        <v>0</v>
      </c>
      <c r="AA1287" s="214">
        <f ca="1">+$Y1287</f>
        <v>7.401410761154855</v>
      </c>
      <c r="AB1287" s="214">
        <f ca="1">+$X1287</f>
        <v>53.999999999999972</v>
      </c>
      <c r="AC1287" s="214">
        <f ca="1">+$W1287-XOffset</f>
        <v>0</v>
      </c>
    </row>
    <row r="1288" spans="19:29" ht="8.4" customHeight="1">
      <c r="S1288" s="307"/>
      <c r="T1288" s="226">
        <f t="shared" si="72"/>
        <v>1285</v>
      </c>
      <c r="U1288" s="224">
        <f t="shared" si="73"/>
        <v>0</v>
      </c>
      <c r="V1288" s="225">
        <f t="shared" si="74"/>
        <v>3</v>
      </c>
      <c r="W1288" s="236">
        <f ca="1">+$U1288*EWSpacingFt+XOffset+PanArrayWidthHighEndFt-(PanArrayWidthHighEndFt-PanArrayWidthLowEndFt)/2</f>
        <v>10.80282152230971</v>
      </c>
      <c r="X1288" s="240">
        <f ca="1">$V1288*NSSpacingFt+YOffset+0</f>
        <v>53.999999999999972</v>
      </c>
      <c r="Y1288" s="244">
        <f ca="1">+$V1288*NSGradeFt+PedHeight+0</f>
        <v>7.401410761154855</v>
      </c>
      <c r="Z1288" s="214">
        <f ca="1">+$W1288</f>
        <v>10.80282152230971</v>
      </c>
      <c r="AA1288" s="214">
        <f ca="1">+$Y1288</f>
        <v>7.401410761154855</v>
      </c>
      <c r="AB1288" s="214">
        <f ca="1">+$X1288</f>
        <v>53.999999999999972</v>
      </c>
      <c r="AC1288" s="214">
        <f ca="1">+$W1288-XOffset</f>
        <v>10.80282152230971</v>
      </c>
    </row>
    <row r="1289" spans="19:29" ht="8.4" customHeight="1">
      <c r="S1289" s="307"/>
      <c r="T1289" s="226">
        <f t="shared" si="72"/>
        <v>1286</v>
      </c>
      <c r="U1289" s="224">
        <f t="shared" si="73"/>
        <v>0</v>
      </c>
      <c r="V1289" s="225">
        <f t="shared" si="74"/>
        <v>3</v>
      </c>
      <c r="W1289" s="237">
        <f ca="1">$U1289*EWSpacingFt+XOffset+PanArrayWidthHighEndFt</f>
        <v>10.80282152230971</v>
      </c>
      <c r="X1289" s="241">
        <f ca="1">$V1289*NSSpacingFt+YOffset+PanArrayLenFt*COS(RADIANS(Latitude+DecAng))</f>
        <v>70.43963254593173</v>
      </c>
      <c r="Y1289" s="245">
        <f ca="1">+$V1289*NSGradeFt+PedHeight+PanArrayLenFt*SIN(RADIANS(Latitude+DecAng))</f>
        <v>7.401410761154855</v>
      </c>
      <c r="Z1289" s="214">
        <f ca="1">+$W1289</f>
        <v>10.80282152230971</v>
      </c>
      <c r="AA1289" s="214">
        <f ca="1">+$Y1289</f>
        <v>7.401410761154855</v>
      </c>
      <c r="AB1289" s="214">
        <f ca="1">+$X1289</f>
        <v>70.43963254593173</v>
      </c>
      <c r="AC1289" s="214">
        <f ca="1">+$W1289-XOffset</f>
        <v>10.80282152230971</v>
      </c>
    </row>
    <row r="1290" spans="19:29" ht="8.4" customHeight="1">
      <c r="S1290" s="307"/>
      <c r="T1290" s="226">
        <f t="shared" si="72"/>
        <v>1287</v>
      </c>
      <c r="U1290" s="224">
        <f t="shared" si="73"/>
        <v>0</v>
      </c>
      <c r="V1290" s="225">
        <f t="shared" si="74"/>
        <v>3</v>
      </c>
      <c r="W1290" s="238">
        <f ca="1">$U1290*EWSpacingFt+XOffset+0</f>
        <v>0</v>
      </c>
      <c r="X1290" s="242">
        <f ca="1">$V1290*NSSpacingFt+YOffset+PanArrayLenFt*COS(RADIANS(Latitude+DecAng))</f>
        <v>70.43963254593173</v>
      </c>
      <c r="Y1290" s="246">
        <f ca="1">+$V1290*NSGradeFt+PedHeight+PanArrayLenFt*SIN(RADIANS(Latitude+DecAng))</f>
        <v>7.401410761154855</v>
      </c>
      <c r="Z1290" s="214">
        <f ca="1">+$W1290</f>
        <v>0</v>
      </c>
      <c r="AA1290" s="214">
        <f ca="1">+$Y1290</f>
        <v>7.401410761154855</v>
      </c>
      <c r="AB1290" s="214">
        <f ca="1">+$X1290</f>
        <v>70.43963254593173</v>
      </c>
      <c r="AC1290" s="214">
        <f ca="1">+$W1290-XOffset</f>
        <v>0</v>
      </c>
    </row>
    <row r="1291" spans="19:29" ht="8.4" customHeight="1">
      <c r="S1291" s="307"/>
      <c r="T1291" s="226">
        <f t="shared" si="72"/>
        <v>1288</v>
      </c>
      <c r="U1291" s="224">
        <f t="shared" si="73"/>
        <v>0</v>
      </c>
      <c r="V1291" s="225">
        <f t="shared" si="74"/>
        <v>3</v>
      </c>
      <c r="W1291" s="239">
        <f ca="1">$U1291*EWSpacingFt+XOffset+(PanArrayWidthHighEndFt-PanArrayWidthLowEndFt)/2</f>
        <v>0</v>
      </c>
      <c r="X1291" s="243">
        <f ca="1">$V1291*NSSpacingFt+YOffset+0</f>
        <v>53.999999999999972</v>
      </c>
      <c r="Y1291" s="247">
        <f ca="1">+$V1291*NSGradeFt+PedHeight+0</f>
        <v>7.401410761154855</v>
      </c>
      <c r="Z1291" s="214">
        <f ca="1">+$W1291</f>
        <v>0</v>
      </c>
      <c r="AA1291" s="214">
        <f ca="1">+$Y1291</f>
        <v>7.401410761154855</v>
      </c>
      <c r="AB1291" s="214">
        <f ca="1">+$X1291</f>
        <v>53.999999999999972</v>
      </c>
      <c r="AC1291" s="214">
        <f ca="1">+$W1291-XOffset</f>
        <v>0</v>
      </c>
    </row>
    <row r="1292" spans="19:29" ht="8.4" customHeight="1">
      <c r="S1292" s="307"/>
      <c r="T1292" s="226">
        <f t="shared" si="72"/>
        <v>1289</v>
      </c>
      <c r="U1292" s="224">
        <f t="shared" si="73"/>
        <v>0</v>
      </c>
      <c r="V1292" s="225">
        <f t="shared" si="74"/>
        <v>3</v>
      </c>
      <c r="W1292" s="217"/>
      <c r="X1292" s="217"/>
      <c r="Y1292" s="217"/>
      <c r="Z1292" s="214"/>
      <c r="AA1292" s="214"/>
      <c r="AB1292" s="214"/>
      <c r="AC1292" s="214"/>
    </row>
    <row r="1293" spans="19:29" ht="8.4" customHeight="1">
      <c r="S1293" s="307">
        <f>INT((T1293-0)/6)+1</f>
        <v>216</v>
      </c>
      <c r="T1293" s="226">
        <f t="shared" si="72"/>
        <v>1290</v>
      </c>
      <c r="U1293" s="224">
        <f t="shared" si="73"/>
        <v>1</v>
      </c>
      <c r="V1293" s="225">
        <f t="shared" si="74"/>
        <v>3</v>
      </c>
      <c r="W1293" s="233">
        <f ca="1">$U1293*EWSpacingFt+XOffset+(PanArrayWidthHighEndFt-PanArrayWidthLowEndFt)/2</f>
        <v>30.000006832286932</v>
      </c>
      <c r="X1293" s="234">
        <f ca="1">$V1293*NSSpacingFt+YOffset+0</f>
        <v>53.999999999999972</v>
      </c>
      <c r="Y1293" s="235">
        <f ca="1">+$V1293*NSGradeFt+PedHeight+0</f>
        <v>7.401410761154855</v>
      </c>
      <c r="Z1293" s="214">
        <f ca="1">+$W1293</f>
        <v>30.000006832286932</v>
      </c>
      <c r="AA1293" s="214">
        <f ca="1">+$Y1293</f>
        <v>7.401410761154855</v>
      </c>
      <c r="AB1293" s="214">
        <f ca="1">+$X1293</f>
        <v>53.999999999999972</v>
      </c>
      <c r="AC1293" s="214">
        <f ca="1">+$W1293-XOffset</f>
        <v>30.000006832286932</v>
      </c>
    </row>
    <row r="1294" spans="19:29" ht="8.4" customHeight="1">
      <c r="S1294" s="307"/>
      <c r="T1294" s="226">
        <f t="shared" si="72"/>
        <v>1291</v>
      </c>
      <c r="U1294" s="224">
        <f t="shared" si="73"/>
        <v>1</v>
      </c>
      <c r="V1294" s="225">
        <f t="shared" si="74"/>
        <v>3</v>
      </c>
      <c r="W1294" s="236">
        <f ca="1">+$U1294*EWSpacingFt+XOffset+PanArrayWidthHighEndFt-(PanArrayWidthHighEndFt-PanArrayWidthLowEndFt)/2</f>
        <v>40.802828354596642</v>
      </c>
      <c r="X1294" s="240">
        <f ca="1">$V1294*NSSpacingFt+YOffset+0</f>
        <v>53.999999999999972</v>
      </c>
      <c r="Y1294" s="244">
        <f ca="1">+$V1294*NSGradeFt+PedHeight+0</f>
        <v>7.401410761154855</v>
      </c>
      <c r="Z1294" s="214">
        <f ca="1">+$W1294</f>
        <v>40.802828354596642</v>
      </c>
      <c r="AA1294" s="214">
        <f ca="1">+$Y1294</f>
        <v>7.401410761154855</v>
      </c>
      <c r="AB1294" s="214">
        <f ca="1">+$X1294</f>
        <v>53.999999999999972</v>
      </c>
      <c r="AC1294" s="214">
        <f ca="1">+$W1294-XOffset</f>
        <v>40.802828354596642</v>
      </c>
    </row>
    <row r="1295" spans="19:29" ht="8.4" customHeight="1">
      <c r="S1295" s="307"/>
      <c r="T1295" s="226">
        <f t="shared" si="72"/>
        <v>1292</v>
      </c>
      <c r="U1295" s="224">
        <f t="shared" si="73"/>
        <v>1</v>
      </c>
      <c r="V1295" s="225">
        <f t="shared" si="74"/>
        <v>3</v>
      </c>
      <c r="W1295" s="237">
        <f ca="1">$U1295*EWSpacingFt+XOffset+PanArrayWidthHighEndFt</f>
        <v>40.802828354596642</v>
      </c>
      <c r="X1295" s="241">
        <f ca="1">$V1295*NSSpacingFt+YOffset+PanArrayLenFt*COS(RADIANS(Latitude+DecAng))</f>
        <v>70.43963254593173</v>
      </c>
      <c r="Y1295" s="245">
        <f ca="1">+$V1295*NSGradeFt+PedHeight+PanArrayLenFt*SIN(RADIANS(Latitude+DecAng))</f>
        <v>7.401410761154855</v>
      </c>
      <c r="Z1295" s="214">
        <f ca="1">+$W1295</f>
        <v>40.802828354596642</v>
      </c>
      <c r="AA1295" s="214">
        <f ca="1">+$Y1295</f>
        <v>7.401410761154855</v>
      </c>
      <c r="AB1295" s="214">
        <f ca="1">+$X1295</f>
        <v>70.43963254593173</v>
      </c>
      <c r="AC1295" s="214">
        <f ca="1">+$W1295-XOffset</f>
        <v>40.802828354596642</v>
      </c>
    </row>
    <row r="1296" spans="19:29" ht="8.4" customHeight="1">
      <c r="S1296" s="307"/>
      <c r="T1296" s="226">
        <f t="shared" si="72"/>
        <v>1293</v>
      </c>
      <c r="U1296" s="224">
        <f t="shared" si="73"/>
        <v>1</v>
      </c>
      <c r="V1296" s="225">
        <f t="shared" si="74"/>
        <v>3</v>
      </c>
      <c r="W1296" s="238">
        <f ca="1">$U1296*EWSpacingFt+XOffset+0</f>
        <v>30.000006832286932</v>
      </c>
      <c r="X1296" s="242">
        <f ca="1">$V1296*NSSpacingFt+YOffset+PanArrayLenFt*COS(RADIANS(Latitude+DecAng))</f>
        <v>70.43963254593173</v>
      </c>
      <c r="Y1296" s="246">
        <f ca="1">+$V1296*NSGradeFt+PedHeight+PanArrayLenFt*SIN(RADIANS(Latitude+DecAng))</f>
        <v>7.401410761154855</v>
      </c>
      <c r="Z1296" s="214">
        <f ca="1">+$W1296</f>
        <v>30.000006832286932</v>
      </c>
      <c r="AA1296" s="214">
        <f ca="1">+$Y1296</f>
        <v>7.401410761154855</v>
      </c>
      <c r="AB1296" s="214">
        <f ca="1">+$X1296</f>
        <v>70.43963254593173</v>
      </c>
      <c r="AC1296" s="214">
        <f ca="1">+$W1296-XOffset</f>
        <v>30.000006832286932</v>
      </c>
    </row>
    <row r="1297" spans="19:29" ht="8.4" customHeight="1">
      <c r="S1297" s="307"/>
      <c r="T1297" s="226">
        <f t="shared" si="72"/>
        <v>1294</v>
      </c>
      <c r="U1297" s="224">
        <f t="shared" si="73"/>
        <v>1</v>
      </c>
      <c r="V1297" s="225">
        <f t="shared" si="74"/>
        <v>3</v>
      </c>
      <c r="W1297" s="239">
        <f ca="1">$U1297*EWSpacingFt+XOffset+(PanArrayWidthHighEndFt-PanArrayWidthLowEndFt)/2</f>
        <v>30.000006832286932</v>
      </c>
      <c r="X1297" s="243">
        <f ca="1">$V1297*NSSpacingFt+YOffset+0</f>
        <v>53.999999999999972</v>
      </c>
      <c r="Y1297" s="247">
        <f ca="1">+$V1297*NSGradeFt+PedHeight+0</f>
        <v>7.401410761154855</v>
      </c>
      <c r="Z1297" s="214">
        <f ca="1">+$W1297</f>
        <v>30.000006832286932</v>
      </c>
      <c r="AA1297" s="214">
        <f ca="1">+$Y1297</f>
        <v>7.401410761154855</v>
      </c>
      <c r="AB1297" s="214">
        <f ca="1">+$X1297</f>
        <v>53.999999999999972</v>
      </c>
      <c r="AC1297" s="214">
        <f ca="1">+$W1297-XOffset</f>
        <v>30.000006832286932</v>
      </c>
    </row>
    <row r="1298" spans="19:29" ht="8.4" customHeight="1">
      <c r="S1298" s="307"/>
      <c r="T1298" s="226">
        <f t="shared" si="72"/>
        <v>1295</v>
      </c>
      <c r="U1298" s="224">
        <f t="shared" si="73"/>
        <v>1</v>
      </c>
      <c r="V1298" s="225">
        <f t="shared" si="74"/>
        <v>3</v>
      </c>
      <c r="W1298" s="217"/>
      <c r="X1298" s="217"/>
      <c r="Y1298" s="217"/>
      <c r="Z1298" s="214"/>
      <c r="AA1298" s="214"/>
      <c r="AB1298" s="214"/>
      <c r="AC1298" s="214"/>
    </row>
    <row r="1299" spans="19:29" ht="8.4" customHeight="1">
      <c r="S1299" s="307">
        <f>INT((T1299-0)/6)+1</f>
        <v>217</v>
      </c>
      <c r="T1299" s="226">
        <f t="shared" si="72"/>
        <v>1296</v>
      </c>
      <c r="U1299" s="224">
        <f t="shared" si="73"/>
        <v>0</v>
      </c>
      <c r="V1299" s="225">
        <f t="shared" si="74"/>
        <v>0</v>
      </c>
      <c r="W1299" s="233">
        <f ca="1">$U1299*EWSpacingFt+XOffset+(PanArrayWidthHighEndFt-PanArrayWidthLowEndFt)/2</f>
        <v>0</v>
      </c>
      <c r="X1299" s="234">
        <f ca="1">$V1299*NSSpacingFt+YOffset+0</f>
        <v>0</v>
      </c>
      <c r="Y1299" s="235">
        <f ca="1">+$V1299*NSGradeFt+PedHeight+0</f>
        <v>7.401410761154855</v>
      </c>
      <c r="Z1299" s="214">
        <f ca="1">+$W1299</f>
        <v>0</v>
      </c>
      <c r="AA1299" s="214">
        <f ca="1">+$Y1299</f>
        <v>7.401410761154855</v>
      </c>
      <c r="AB1299" s="214">
        <f ca="1">+$X1299</f>
        <v>0</v>
      </c>
      <c r="AC1299" s="214">
        <f ca="1">+$W1299-XOffset</f>
        <v>0</v>
      </c>
    </row>
    <row r="1300" spans="19:29" ht="8.4" customHeight="1">
      <c r="S1300" s="307"/>
      <c r="T1300" s="226">
        <f t="shared" si="72"/>
        <v>1297</v>
      </c>
      <c r="U1300" s="224">
        <f t="shared" si="73"/>
        <v>0</v>
      </c>
      <c r="V1300" s="225">
        <f t="shared" si="74"/>
        <v>0</v>
      </c>
      <c r="W1300" s="236">
        <f ca="1">+$U1300*EWSpacingFt+XOffset+PanArrayWidthHighEndFt-(PanArrayWidthHighEndFt-PanArrayWidthLowEndFt)/2</f>
        <v>10.80282152230971</v>
      </c>
      <c r="X1300" s="240">
        <f ca="1">$V1300*NSSpacingFt+YOffset+0</f>
        <v>0</v>
      </c>
      <c r="Y1300" s="244">
        <f ca="1">+$V1300*NSGradeFt+PedHeight+0</f>
        <v>7.401410761154855</v>
      </c>
      <c r="Z1300" s="214">
        <f ca="1">+$W1300</f>
        <v>10.80282152230971</v>
      </c>
      <c r="AA1300" s="214">
        <f ca="1">+$Y1300</f>
        <v>7.401410761154855</v>
      </c>
      <c r="AB1300" s="214">
        <f ca="1">+$X1300</f>
        <v>0</v>
      </c>
      <c r="AC1300" s="214">
        <f ca="1">+$W1300-XOffset</f>
        <v>10.80282152230971</v>
      </c>
    </row>
    <row r="1301" spans="19:29" ht="8.4" customHeight="1">
      <c r="S1301" s="307"/>
      <c r="T1301" s="226">
        <f t="shared" ref="T1301:T1364" si="75">+T1300+1</f>
        <v>1298</v>
      </c>
      <c r="U1301" s="224">
        <f t="shared" si="73"/>
        <v>0</v>
      </c>
      <c r="V1301" s="225">
        <f t="shared" si="74"/>
        <v>0</v>
      </c>
      <c r="W1301" s="237">
        <f ca="1">$U1301*EWSpacingFt+XOffset+PanArrayWidthHighEndFt</f>
        <v>10.80282152230971</v>
      </c>
      <c r="X1301" s="241">
        <f ca="1">$V1301*NSSpacingFt+YOffset+PanArrayLenFt*COS(RADIANS(Latitude+DecAng))</f>
        <v>16.439632545931762</v>
      </c>
      <c r="Y1301" s="245">
        <f ca="1">+$V1301*NSGradeFt+PedHeight+PanArrayLenFt*SIN(RADIANS(Latitude+DecAng))</f>
        <v>7.401410761154855</v>
      </c>
      <c r="Z1301" s="214">
        <f ca="1">+$W1301</f>
        <v>10.80282152230971</v>
      </c>
      <c r="AA1301" s="214">
        <f ca="1">+$Y1301</f>
        <v>7.401410761154855</v>
      </c>
      <c r="AB1301" s="214">
        <f ca="1">+$X1301</f>
        <v>16.439632545931762</v>
      </c>
      <c r="AC1301" s="214">
        <f ca="1">+$W1301-XOffset</f>
        <v>10.80282152230971</v>
      </c>
    </row>
    <row r="1302" spans="19:29" ht="8.4" customHeight="1">
      <c r="S1302" s="307"/>
      <c r="T1302" s="226">
        <f t="shared" si="75"/>
        <v>1299</v>
      </c>
      <c r="U1302" s="224">
        <f t="shared" si="73"/>
        <v>0</v>
      </c>
      <c r="V1302" s="225">
        <f t="shared" si="74"/>
        <v>0</v>
      </c>
      <c r="W1302" s="238">
        <f ca="1">$U1302*EWSpacingFt+XOffset+0</f>
        <v>0</v>
      </c>
      <c r="X1302" s="242">
        <f ca="1">$V1302*NSSpacingFt+YOffset+PanArrayLenFt*COS(RADIANS(Latitude+DecAng))</f>
        <v>16.439632545931762</v>
      </c>
      <c r="Y1302" s="246">
        <f ca="1">+$V1302*NSGradeFt+PedHeight+PanArrayLenFt*SIN(RADIANS(Latitude+DecAng))</f>
        <v>7.401410761154855</v>
      </c>
      <c r="Z1302" s="214">
        <f ca="1">+$W1302</f>
        <v>0</v>
      </c>
      <c r="AA1302" s="214">
        <f ca="1">+$Y1302</f>
        <v>7.401410761154855</v>
      </c>
      <c r="AB1302" s="214">
        <f ca="1">+$X1302</f>
        <v>16.439632545931762</v>
      </c>
      <c r="AC1302" s="214">
        <f ca="1">+$W1302-XOffset</f>
        <v>0</v>
      </c>
    </row>
    <row r="1303" spans="19:29" ht="8.4" customHeight="1">
      <c r="S1303" s="307"/>
      <c r="T1303" s="226">
        <f t="shared" si="75"/>
        <v>1300</v>
      </c>
      <c r="U1303" s="224">
        <f t="shared" si="73"/>
        <v>0</v>
      </c>
      <c r="V1303" s="225">
        <f t="shared" si="74"/>
        <v>0</v>
      </c>
      <c r="W1303" s="239">
        <f ca="1">$U1303*EWSpacingFt+XOffset+(PanArrayWidthHighEndFt-PanArrayWidthLowEndFt)/2</f>
        <v>0</v>
      </c>
      <c r="X1303" s="243">
        <f ca="1">$V1303*NSSpacingFt+YOffset+0</f>
        <v>0</v>
      </c>
      <c r="Y1303" s="247">
        <f ca="1">+$V1303*NSGradeFt+PedHeight+0</f>
        <v>7.401410761154855</v>
      </c>
      <c r="Z1303" s="214">
        <f ca="1">+$W1303</f>
        <v>0</v>
      </c>
      <c r="AA1303" s="214">
        <f ca="1">+$Y1303</f>
        <v>7.401410761154855</v>
      </c>
      <c r="AB1303" s="214">
        <f ca="1">+$X1303</f>
        <v>0</v>
      </c>
      <c r="AC1303" s="214">
        <f ca="1">+$W1303-XOffset</f>
        <v>0</v>
      </c>
    </row>
    <row r="1304" spans="19:29" ht="8.4" customHeight="1">
      <c r="S1304" s="307"/>
      <c r="T1304" s="226">
        <f t="shared" si="75"/>
        <v>1301</v>
      </c>
      <c r="U1304" s="224">
        <f t="shared" si="73"/>
        <v>0</v>
      </c>
      <c r="V1304" s="225">
        <f t="shared" si="74"/>
        <v>0</v>
      </c>
      <c r="W1304" s="217"/>
      <c r="X1304" s="217"/>
      <c r="Y1304" s="217"/>
      <c r="Z1304" s="214"/>
      <c r="AA1304" s="214"/>
      <c r="AB1304" s="214"/>
      <c r="AC1304" s="214"/>
    </row>
    <row r="1305" spans="19:29" ht="8.4" customHeight="1">
      <c r="S1305" s="307">
        <f>INT((T1305-0)/6)+1</f>
        <v>218</v>
      </c>
      <c r="T1305" s="226">
        <f t="shared" si="75"/>
        <v>1302</v>
      </c>
      <c r="U1305" s="224">
        <f t="shared" si="73"/>
        <v>1</v>
      </c>
      <c r="V1305" s="225">
        <f t="shared" si="74"/>
        <v>0</v>
      </c>
      <c r="W1305" s="233">
        <f ca="1">$U1305*EWSpacingFt+XOffset+(PanArrayWidthHighEndFt-PanArrayWidthLowEndFt)/2</f>
        <v>30.000006832286932</v>
      </c>
      <c r="X1305" s="234">
        <f ca="1">$V1305*NSSpacingFt+YOffset+0</f>
        <v>0</v>
      </c>
      <c r="Y1305" s="235">
        <f ca="1">+$V1305*NSGradeFt+PedHeight+0</f>
        <v>7.401410761154855</v>
      </c>
      <c r="Z1305" s="214">
        <f ca="1">+$W1305</f>
        <v>30.000006832286932</v>
      </c>
      <c r="AA1305" s="214">
        <f ca="1">+$Y1305</f>
        <v>7.401410761154855</v>
      </c>
      <c r="AB1305" s="214">
        <f ca="1">+$X1305</f>
        <v>0</v>
      </c>
      <c r="AC1305" s="214">
        <f ca="1">+$W1305-XOffset</f>
        <v>30.000006832286932</v>
      </c>
    </row>
    <row r="1306" spans="19:29" ht="8.4" customHeight="1">
      <c r="S1306" s="307"/>
      <c r="T1306" s="226">
        <f t="shared" si="75"/>
        <v>1303</v>
      </c>
      <c r="U1306" s="224">
        <f t="shared" si="73"/>
        <v>1</v>
      </c>
      <c r="V1306" s="225">
        <f t="shared" si="74"/>
        <v>0</v>
      </c>
      <c r="W1306" s="236">
        <f ca="1">+$U1306*EWSpacingFt+XOffset+PanArrayWidthHighEndFt-(PanArrayWidthHighEndFt-PanArrayWidthLowEndFt)/2</f>
        <v>40.802828354596642</v>
      </c>
      <c r="X1306" s="240">
        <f ca="1">$V1306*NSSpacingFt+YOffset+0</f>
        <v>0</v>
      </c>
      <c r="Y1306" s="244">
        <f ca="1">+$V1306*NSGradeFt+PedHeight+0</f>
        <v>7.401410761154855</v>
      </c>
      <c r="Z1306" s="214">
        <f ca="1">+$W1306</f>
        <v>40.802828354596642</v>
      </c>
      <c r="AA1306" s="214">
        <f ca="1">+$Y1306</f>
        <v>7.401410761154855</v>
      </c>
      <c r="AB1306" s="214">
        <f ca="1">+$X1306</f>
        <v>0</v>
      </c>
      <c r="AC1306" s="214">
        <f ca="1">+$W1306-XOffset</f>
        <v>40.802828354596642</v>
      </c>
    </row>
    <row r="1307" spans="19:29" ht="8.4" customHeight="1">
      <c r="S1307" s="307"/>
      <c r="T1307" s="226">
        <f t="shared" si="75"/>
        <v>1304</v>
      </c>
      <c r="U1307" s="224">
        <f t="shared" si="73"/>
        <v>1</v>
      </c>
      <c r="V1307" s="225">
        <f t="shared" si="74"/>
        <v>0</v>
      </c>
      <c r="W1307" s="237">
        <f ca="1">$U1307*EWSpacingFt+XOffset+PanArrayWidthHighEndFt</f>
        <v>40.802828354596642</v>
      </c>
      <c r="X1307" s="241">
        <f ca="1">$V1307*NSSpacingFt+YOffset+PanArrayLenFt*COS(RADIANS(Latitude+DecAng))</f>
        <v>16.439632545931762</v>
      </c>
      <c r="Y1307" s="245">
        <f ca="1">+$V1307*NSGradeFt+PedHeight+PanArrayLenFt*SIN(RADIANS(Latitude+DecAng))</f>
        <v>7.401410761154855</v>
      </c>
      <c r="Z1307" s="214">
        <f ca="1">+$W1307</f>
        <v>40.802828354596642</v>
      </c>
      <c r="AA1307" s="214">
        <f ca="1">+$Y1307</f>
        <v>7.401410761154855</v>
      </c>
      <c r="AB1307" s="214">
        <f ca="1">+$X1307</f>
        <v>16.439632545931762</v>
      </c>
      <c r="AC1307" s="214">
        <f ca="1">+$W1307-XOffset</f>
        <v>40.802828354596642</v>
      </c>
    </row>
    <row r="1308" spans="19:29" ht="8.4" customHeight="1">
      <c r="S1308" s="307"/>
      <c r="T1308" s="226">
        <f t="shared" si="75"/>
        <v>1305</v>
      </c>
      <c r="U1308" s="224">
        <f t="shared" si="73"/>
        <v>1</v>
      </c>
      <c r="V1308" s="225">
        <f t="shared" si="74"/>
        <v>0</v>
      </c>
      <c r="W1308" s="238">
        <f ca="1">$U1308*EWSpacingFt+XOffset+0</f>
        <v>30.000006832286932</v>
      </c>
      <c r="X1308" s="242">
        <f ca="1">$V1308*NSSpacingFt+YOffset+PanArrayLenFt*COS(RADIANS(Latitude+DecAng))</f>
        <v>16.439632545931762</v>
      </c>
      <c r="Y1308" s="246">
        <f ca="1">+$V1308*NSGradeFt+PedHeight+PanArrayLenFt*SIN(RADIANS(Latitude+DecAng))</f>
        <v>7.401410761154855</v>
      </c>
      <c r="Z1308" s="214">
        <f ca="1">+$W1308</f>
        <v>30.000006832286932</v>
      </c>
      <c r="AA1308" s="214">
        <f ca="1">+$Y1308</f>
        <v>7.401410761154855</v>
      </c>
      <c r="AB1308" s="214">
        <f ca="1">+$X1308</f>
        <v>16.439632545931762</v>
      </c>
      <c r="AC1308" s="214">
        <f ca="1">+$W1308-XOffset</f>
        <v>30.000006832286932</v>
      </c>
    </row>
    <row r="1309" spans="19:29" ht="8.4" customHeight="1">
      <c r="S1309" s="307"/>
      <c r="T1309" s="226">
        <f t="shared" si="75"/>
        <v>1306</v>
      </c>
      <c r="U1309" s="224">
        <f t="shared" si="73"/>
        <v>1</v>
      </c>
      <c r="V1309" s="225">
        <f t="shared" si="74"/>
        <v>0</v>
      </c>
      <c r="W1309" s="239">
        <f ca="1">$U1309*EWSpacingFt+XOffset+(PanArrayWidthHighEndFt-PanArrayWidthLowEndFt)/2</f>
        <v>30.000006832286932</v>
      </c>
      <c r="X1309" s="243">
        <f ca="1">$V1309*NSSpacingFt+YOffset+0</f>
        <v>0</v>
      </c>
      <c r="Y1309" s="247">
        <f ca="1">+$V1309*NSGradeFt+PedHeight+0</f>
        <v>7.401410761154855</v>
      </c>
      <c r="Z1309" s="214">
        <f ca="1">+$W1309</f>
        <v>30.000006832286932</v>
      </c>
      <c r="AA1309" s="214">
        <f ca="1">+$Y1309</f>
        <v>7.401410761154855</v>
      </c>
      <c r="AB1309" s="214">
        <f ca="1">+$X1309</f>
        <v>0</v>
      </c>
      <c r="AC1309" s="214">
        <f ca="1">+$W1309-XOffset</f>
        <v>30.000006832286932</v>
      </c>
    </row>
    <row r="1310" spans="19:29" ht="8.4" customHeight="1">
      <c r="S1310" s="307"/>
      <c r="T1310" s="226">
        <f t="shared" si="75"/>
        <v>1307</v>
      </c>
      <c r="U1310" s="224">
        <f t="shared" si="73"/>
        <v>1</v>
      </c>
      <c r="V1310" s="225">
        <f t="shared" si="74"/>
        <v>0</v>
      </c>
      <c r="W1310" s="217"/>
      <c r="X1310" s="217"/>
      <c r="Y1310" s="217"/>
      <c r="Z1310" s="214"/>
      <c r="AA1310" s="214"/>
      <c r="AB1310" s="214"/>
      <c r="AC1310" s="214"/>
    </row>
    <row r="1311" spans="19:29" ht="8.4" customHeight="1">
      <c r="S1311" s="307">
        <f>INT((T1311-0)/6)+1</f>
        <v>219</v>
      </c>
      <c r="T1311" s="226">
        <f t="shared" si="75"/>
        <v>1308</v>
      </c>
      <c r="U1311" s="224">
        <f t="shared" si="73"/>
        <v>0</v>
      </c>
      <c r="V1311" s="225">
        <f t="shared" si="74"/>
        <v>1</v>
      </c>
      <c r="W1311" s="233">
        <f ca="1">$U1311*EWSpacingFt+XOffset+(PanArrayWidthHighEndFt-PanArrayWidthLowEndFt)/2</f>
        <v>0</v>
      </c>
      <c r="X1311" s="234">
        <f ca="1">$V1311*NSSpacingFt+YOffset+0</f>
        <v>17.999999999999989</v>
      </c>
      <c r="Y1311" s="235">
        <f ca="1">+$V1311*NSGradeFt+PedHeight+0</f>
        <v>7.401410761154855</v>
      </c>
      <c r="Z1311" s="214">
        <f ca="1">+$W1311</f>
        <v>0</v>
      </c>
      <c r="AA1311" s="214">
        <f ca="1">+$Y1311</f>
        <v>7.401410761154855</v>
      </c>
      <c r="AB1311" s="214">
        <f ca="1">+$X1311</f>
        <v>17.999999999999989</v>
      </c>
      <c r="AC1311" s="214">
        <f ca="1">+$W1311-XOffset</f>
        <v>0</v>
      </c>
    </row>
    <row r="1312" spans="19:29" ht="8.4" customHeight="1">
      <c r="S1312" s="307"/>
      <c r="T1312" s="226">
        <f t="shared" si="75"/>
        <v>1309</v>
      </c>
      <c r="U1312" s="224">
        <f t="shared" si="73"/>
        <v>0</v>
      </c>
      <c r="V1312" s="225">
        <f t="shared" si="74"/>
        <v>1</v>
      </c>
      <c r="W1312" s="236">
        <f ca="1">+$U1312*EWSpacingFt+XOffset+PanArrayWidthHighEndFt-(PanArrayWidthHighEndFt-PanArrayWidthLowEndFt)/2</f>
        <v>10.80282152230971</v>
      </c>
      <c r="X1312" s="240">
        <f ca="1">$V1312*NSSpacingFt+YOffset+0</f>
        <v>17.999999999999989</v>
      </c>
      <c r="Y1312" s="244">
        <f ca="1">+$V1312*NSGradeFt+PedHeight+0</f>
        <v>7.401410761154855</v>
      </c>
      <c r="Z1312" s="214">
        <f ca="1">+$W1312</f>
        <v>10.80282152230971</v>
      </c>
      <c r="AA1312" s="214">
        <f ca="1">+$Y1312</f>
        <v>7.401410761154855</v>
      </c>
      <c r="AB1312" s="214">
        <f ca="1">+$X1312</f>
        <v>17.999999999999989</v>
      </c>
      <c r="AC1312" s="214">
        <f ca="1">+$W1312-XOffset</f>
        <v>10.80282152230971</v>
      </c>
    </row>
    <row r="1313" spans="19:29" ht="8.4" customHeight="1">
      <c r="S1313" s="307"/>
      <c r="T1313" s="226">
        <f t="shared" si="75"/>
        <v>1310</v>
      </c>
      <c r="U1313" s="224">
        <f t="shared" si="73"/>
        <v>0</v>
      </c>
      <c r="V1313" s="225">
        <f t="shared" si="74"/>
        <v>1</v>
      </c>
      <c r="W1313" s="237">
        <f ca="1">$U1313*EWSpacingFt+XOffset+PanArrayWidthHighEndFt</f>
        <v>10.80282152230971</v>
      </c>
      <c r="X1313" s="241">
        <f ca="1">$V1313*NSSpacingFt+YOffset+PanArrayLenFt*COS(RADIANS(Latitude+DecAng))</f>
        <v>34.439632545931751</v>
      </c>
      <c r="Y1313" s="245">
        <f ca="1">+$V1313*NSGradeFt+PedHeight+PanArrayLenFt*SIN(RADIANS(Latitude+DecAng))</f>
        <v>7.401410761154855</v>
      </c>
      <c r="Z1313" s="214">
        <f ca="1">+$W1313</f>
        <v>10.80282152230971</v>
      </c>
      <c r="AA1313" s="214">
        <f ca="1">+$Y1313</f>
        <v>7.401410761154855</v>
      </c>
      <c r="AB1313" s="214">
        <f ca="1">+$X1313</f>
        <v>34.439632545931751</v>
      </c>
      <c r="AC1313" s="214">
        <f ca="1">+$W1313-XOffset</f>
        <v>10.80282152230971</v>
      </c>
    </row>
    <row r="1314" spans="19:29" ht="8.4" customHeight="1">
      <c r="S1314" s="307"/>
      <c r="T1314" s="226">
        <f t="shared" si="75"/>
        <v>1311</v>
      </c>
      <c r="U1314" s="224">
        <f t="shared" si="73"/>
        <v>0</v>
      </c>
      <c r="V1314" s="225">
        <f t="shared" si="74"/>
        <v>1</v>
      </c>
      <c r="W1314" s="238">
        <f ca="1">$U1314*EWSpacingFt+XOffset+0</f>
        <v>0</v>
      </c>
      <c r="X1314" s="242">
        <f ca="1">$V1314*NSSpacingFt+YOffset+PanArrayLenFt*COS(RADIANS(Latitude+DecAng))</f>
        <v>34.439632545931751</v>
      </c>
      <c r="Y1314" s="246">
        <f ca="1">+$V1314*NSGradeFt+PedHeight+PanArrayLenFt*SIN(RADIANS(Latitude+DecAng))</f>
        <v>7.401410761154855</v>
      </c>
      <c r="Z1314" s="214">
        <f ca="1">+$W1314</f>
        <v>0</v>
      </c>
      <c r="AA1314" s="214">
        <f ca="1">+$Y1314</f>
        <v>7.401410761154855</v>
      </c>
      <c r="AB1314" s="214">
        <f ca="1">+$X1314</f>
        <v>34.439632545931751</v>
      </c>
      <c r="AC1314" s="214">
        <f ca="1">+$W1314-XOffset</f>
        <v>0</v>
      </c>
    </row>
    <row r="1315" spans="19:29" ht="8.4" customHeight="1">
      <c r="S1315" s="307"/>
      <c r="T1315" s="226">
        <f t="shared" si="75"/>
        <v>1312</v>
      </c>
      <c r="U1315" s="224">
        <f t="shared" si="73"/>
        <v>0</v>
      </c>
      <c r="V1315" s="225">
        <f t="shared" si="74"/>
        <v>1</v>
      </c>
      <c r="W1315" s="239">
        <f ca="1">$U1315*EWSpacingFt+XOffset+(PanArrayWidthHighEndFt-PanArrayWidthLowEndFt)/2</f>
        <v>0</v>
      </c>
      <c r="X1315" s="243">
        <f ca="1">$V1315*NSSpacingFt+YOffset+0</f>
        <v>17.999999999999989</v>
      </c>
      <c r="Y1315" s="247">
        <f ca="1">+$V1315*NSGradeFt+PedHeight+0</f>
        <v>7.401410761154855</v>
      </c>
      <c r="Z1315" s="214">
        <f ca="1">+$W1315</f>
        <v>0</v>
      </c>
      <c r="AA1315" s="214">
        <f ca="1">+$Y1315</f>
        <v>7.401410761154855</v>
      </c>
      <c r="AB1315" s="214">
        <f ca="1">+$X1315</f>
        <v>17.999999999999989</v>
      </c>
      <c r="AC1315" s="214">
        <f ca="1">+$W1315-XOffset</f>
        <v>0</v>
      </c>
    </row>
    <row r="1316" spans="19:29" ht="8.4" customHeight="1">
      <c r="S1316" s="307"/>
      <c r="T1316" s="226">
        <f t="shared" si="75"/>
        <v>1313</v>
      </c>
      <c r="U1316" s="224">
        <f t="shared" si="73"/>
        <v>0</v>
      </c>
      <c r="V1316" s="225">
        <f t="shared" si="74"/>
        <v>1</v>
      </c>
      <c r="W1316" s="217"/>
      <c r="X1316" s="217"/>
      <c r="Y1316" s="217"/>
      <c r="Z1316" s="214"/>
      <c r="AA1316" s="214"/>
      <c r="AB1316" s="214"/>
      <c r="AC1316" s="214"/>
    </row>
    <row r="1317" spans="19:29" ht="8.4" customHeight="1">
      <c r="S1317" s="307">
        <f>INT((T1317-0)/6)+1</f>
        <v>220</v>
      </c>
      <c r="T1317" s="226">
        <f t="shared" si="75"/>
        <v>1314</v>
      </c>
      <c r="U1317" s="224">
        <f t="shared" si="73"/>
        <v>1</v>
      </c>
      <c r="V1317" s="225">
        <f t="shared" si="74"/>
        <v>1</v>
      </c>
      <c r="W1317" s="233">
        <f ca="1">$U1317*EWSpacingFt+XOffset+(PanArrayWidthHighEndFt-PanArrayWidthLowEndFt)/2</f>
        <v>30.000006832286932</v>
      </c>
      <c r="X1317" s="234">
        <f ca="1">$V1317*NSSpacingFt+YOffset+0</f>
        <v>17.999999999999989</v>
      </c>
      <c r="Y1317" s="235">
        <f ca="1">+$V1317*NSGradeFt+PedHeight+0</f>
        <v>7.401410761154855</v>
      </c>
      <c r="Z1317" s="214">
        <f ca="1">+$W1317</f>
        <v>30.000006832286932</v>
      </c>
      <c r="AA1317" s="214">
        <f ca="1">+$Y1317</f>
        <v>7.401410761154855</v>
      </c>
      <c r="AB1317" s="214">
        <f ca="1">+$X1317</f>
        <v>17.999999999999989</v>
      </c>
      <c r="AC1317" s="214">
        <f ca="1">+$W1317-XOffset</f>
        <v>30.000006832286932</v>
      </c>
    </row>
    <row r="1318" spans="19:29" ht="8.4" customHeight="1">
      <c r="S1318" s="307"/>
      <c r="T1318" s="226">
        <f t="shared" si="75"/>
        <v>1315</v>
      </c>
      <c r="U1318" s="224">
        <f t="shared" si="73"/>
        <v>1</v>
      </c>
      <c r="V1318" s="225">
        <f t="shared" si="74"/>
        <v>1</v>
      </c>
      <c r="W1318" s="236">
        <f ca="1">+$U1318*EWSpacingFt+XOffset+PanArrayWidthHighEndFt-(PanArrayWidthHighEndFt-PanArrayWidthLowEndFt)/2</f>
        <v>40.802828354596642</v>
      </c>
      <c r="X1318" s="240">
        <f ca="1">$V1318*NSSpacingFt+YOffset+0</f>
        <v>17.999999999999989</v>
      </c>
      <c r="Y1318" s="244">
        <f ca="1">+$V1318*NSGradeFt+PedHeight+0</f>
        <v>7.401410761154855</v>
      </c>
      <c r="Z1318" s="214">
        <f ca="1">+$W1318</f>
        <v>40.802828354596642</v>
      </c>
      <c r="AA1318" s="214">
        <f ca="1">+$Y1318</f>
        <v>7.401410761154855</v>
      </c>
      <c r="AB1318" s="214">
        <f ca="1">+$X1318</f>
        <v>17.999999999999989</v>
      </c>
      <c r="AC1318" s="214">
        <f ca="1">+$W1318-XOffset</f>
        <v>40.802828354596642</v>
      </c>
    </row>
    <row r="1319" spans="19:29" ht="8.4" customHeight="1">
      <c r="S1319" s="307"/>
      <c r="T1319" s="226">
        <f t="shared" si="75"/>
        <v>1316</v>
      </c>
      <c r="U1319" s="224">
        <f t="shared" si="73"/>
        <v>1</v>
      </c>
      <c r="V1319" s="225">
        <f t="shared" si="74"/>
        <v>1</v>
      </c>
      <c r="W1319" s="237">
        <f ca="1">$U1319*EWSpacingFt+XOffset+PanArrayWidthHighEndFt</f>
        <v>40.802828354596642</v>
      </c>
      <c r="X1319" s="241">
        <f ca="1">$V1319*NSSpacingFt+YOffset+PanArrayLenFt*COS(RADIANS(Latitude+DecAng))</f>
        <v>34.439632545931751</v>
      </c>
      <c r="Y1319" s="245">
        <f ca="1">+$V1319*NSGradeFt+PedHeight+PanArrayLenFt*SIN(RADIANS(Latitude+DecAng))</f>
        <v>7.401410761154855</v>
      </c>
      <c r="Z1319" s="214">
        <f ca="1">+$W1319</f>
        <v>40.802828354596642</v>
      </c>
      <c r="AA1319" s="214">
        <f ca="1">+$Y1319</f>
        <v>7.401410761154855</v>
      </c>
      <c r="AB1319" s="214">
        <f ca="1">+$X1319</f>
        <v>34.439632545931751</v>
      </c>
      <c r="AC1319" s="214">
        <f ca="1">+$W1319-XOffset</f>
        <v>40.802828354596642</v>
      </c>
    </row>
    <row r="1320" spans="19:29" ht="8.4" customHeight="1">
      <c r="S1320" s="307"/>
      <c r="T1320" s="226">
        <f t="shared" si="75"/>
        <v>1317</v>
      </c>
      <c r="U1320" s="224">
        <f t="shared" si="73"/>
        <v>1</v>
      </c>
      <c r="V1320" s="225">
        <f t="shared" si="74"/>
        <v>1</v>
      </c>
      <c r="W1320" s="238">
        <f ca="1">$U1320*EWSpacingFt+XOffset+0</f>
        <v>30.000006832286932</v>
      </c>
      <c r="X1320" s="242">
        <f ca="1">$V1320*NSSpacingFt+YOffset+PanArrayLenFt*COS(RADIANS(Latitude+DecAng))</f>
        <v>34.439632545931751</v>
      </c>
      <c r="Y1320" s="246">
        <f ca="1">+$V1320*NSGradeFt+PedHeight+PanArrayLenFt*SIN(RADIANS(Latitude+DecAng))</f>
        <v>7.401410761154855</v>
      </c>
      <c r="Z1320" s="214">
        <f ca="1">+$W1320</f>
        <v>30.000006832286932</v>
      </c>
      <c r="AA1320" s="214">
        <f ca="1">+$Y1320</f>
        <v>7.401410761154855</v>
      </c>
      <c r="AB1320" s="214">
        <f ca="1">+$X1320</f>
        <v>34.439632545931751</v>
      </c>
      <c r="AC1320" s="214">
        <f ca="1">+$W1320-XOffset</f>
        <v>30.000006832286932</v>
      </c>
    </row>
    <row r="1321" spans="19:29" ht="8.4" customHeight="1">
      <c r="S1321" s="307"/>
      <c r="T1321" s="226">
        <f t="shared" si="75"/>
        <v>1318</v>
      </c>
      <c r="U1321" s="224">
        <f t="shared" si="73"/>
        <v>1</v>
      </c>
      <c r="V1321" s="225">
        <f t="shared" si="74"/>
        <v>1</v>
      </c>
      <c r="W1321" s="239">
        <f ca="1">$U1321*EWSpacingFt+XOffset+(PanArrayWidthHighEndFt-PanArrayWidthLowEndFt)/2</f>
        <v>30.000006832286932</v>
      </c>
      <c r="X1321" s="243">
        <f ca="1">$V1321*NSSpacingFt+YOffset+0</f>
        <v>17.999999999999989</v>
      </c>
      <c r="Y1321" s="247">
        <f ca="1">+$V1321*NSGradeFt+PedHeight+0</f>
        <v>7.401410761154855</v>
      </c>
      <c r="Z1321" s="214">
        <f ca="1">+$W1321</f>
        <v>30.000006832286932</v>
      </c>
      <c r="AA1321" s="214">
        <f ca="1">+$Y1321</f>
        <v>7.401410761154855</v>
      </c>
      <c r="AB1321" s="214">
        <f ca="1">+$X1321</f>
        <v>17.999999999999989</v>
      </c>
      <c r="AC1321" s="214">
        <f ca="1">+$W1321-XOffset</f>
        <v>30.000006832286932</v>
      </c>
    </row>
    <row r="1322" spans="19:29" ht="8.4" customHeight="1">
      <c r="S1322" s="307"/>
      <c r="T1322" s="226">
        <f t="shared" si="75"/>
        <v>1319</v>
      </c>
      <c r="U1322" s="224">
        <f t="shared" si="73"/>
        <v>1</v>
      </c>
      <c r="V1322" s="225">
        <f t="shared" si="74"/>
        <v>1</v>
      </c>
      <c r="W1322" s="217"/>
      <c r="X1322" s="217"/>
      <c r="Y1322" s="217"/>
      <c r="Z1322" s="214"/>
      <c r="AA1322" s="214"/>
      <c r="AB1322" s="214"/>
      <c r="AC1322" s="214"/>
    </row>
    <row r="1323" spans="19:29" ht="8.4" customHeight="1">
      <c r="S1323" s="307">
        <f>INT((T1323-0)/6)+1</f>
        <v>221</v>
      </c>
      <c r="T1323" s="226">
        <f t="shared" si="75"/>
        <v>1320</v>
      </c>
      <c r="U1323" s="224">
        <f t="shared" si="73"/>
        <v>0</v>
      </c>
      <c r="V1323" s="225">
        <f t="shared" si="74"/>
        <v>2</v>
      </c>
      <c r="W1323" s="233">
        <f ca="1">$U1323*EWSpacingFt+XOffset+(PanArrayWidthHighEndFt-PanArrayWidthLowEndFt)/2</f>
        <v>0</v>
      </c>
      <c r="X1323" s="234">
        <f ca="1">$V1323*NSSpacingFt+YOffset+0</f>
        <v>35.999999999999979</v>
      </c>
      <c r="Y1323" s="235">
        <f ca="1">+$V1323*NSGradeFt+PedHeight+0</f>
        <v>7.401410761154855</v>
      </c>
      <c r="Z1323" s="214">
        <f ca="1">+$W1323</f>
        <v>0</v>
      </c>
      <c r="AA1323" s="214">
        <f ca="1">+$Y1323</f>
        <v>7.401410761154855</v>
      </c>
      <c r="AB1323" s="214">
        <f ca="1">+$X1323</f>
        <v>35.999999999999979</v>
      </c>
      <c r="AC1323" s="214">
        <f ca="1">+$W1323-XOffset</f>
        <v>0</v>
      </c>
    </row>
    <row r="1324" spans="19:29" ht="8.4" customHeight="1">
      <c r="S1324" s="307"/>
      <c r="T1324" s="226">
        <f t="shared" si="75"/>
        <v>1321</v>
      </c>
      <c r="U1324" s="224">
        <f t="shared" si="73"/>
        <v>0</v>
      </c>
      <c r="V1324" s="225">
        <f t="shared" si="74"/>
        <v>2</v>
      </c>
      <c r="W1324" s="236">
        <f ca="1">+$U1324*EWSpacingFt+XOffset+PanArrayWidthHighEndFt-(PanArrayWidthHighEndFt-PanArrayWidthLowEndFt)/2</f>
        <v>10.80282152230971</v>
      </c>
      <c r="X1324" s="240">
        <f ca="1">$V1324*NSSpacingFt+YOffset+0</f>
        <v>35.999999999999979</v>
      </c>
      <c r="Y1324" s="244">
        <f ca="1">+$V1324*NSGradeFt+PedHeight+0</f>
        <v>7.401410761154855</v>
      </c>
      <c r="Z1324" s="214">
        <f ca="1">+$W1324</f>
        <v>10.80282152230971</v>
      </c>
      <c r="AA1324" s="214">
        <f ca="1">+$Y1324</f>
        <v>7.401410761154855</v>
      </c>
      <c r="AB1324" s="214">
        <f ca="1">+$X1324</f>
        <v>35.999999999999979</v>
      </c>
      <c r="AC1324" s="214">
        <f ca="1">+$W1324-XOffset</f>
        <v>10.80282152230971</v>
      </c>
    </row>
    <row r="1325" spans="19:29" ht="8.4" customHeight="1">
      <c r="S1325" s="307"/>
      <c r="T1325" s="226">
        <f t="shared" si="75"/>
        <v>1322</v>
      </c>
      <c r="U1325" s="224">
        <f t="shared" si="73"/>
        <v>0</v>
      </c>
      <c r="V1325" s="225">
        <f t="shared" si="74"/>
        <v>2</v>
      </c>
      <c r="W1325" s="237">
        <f ca="1">$U1325*EWSpacingFt+XOffset+PanArrayWidthHighEndFt</f>
        <v>10.80282152230971</v>
      </c>
      <c r="X1325" s="241">
        <f ca="1">$V1325*NSSpacingFt+YOffset+PanArrayLenFt*COS(RADIANS(Latitude+DecAng))</f>
        <v>52.439632545931744</v>
      </c>
      <c r="Y1325" s="245">
        <f ca="1">+$V1325*NSGradeFt+PedHeight+PanArrayLenFt*SIN(RADIANS(Latitude+DecAng))</f>
        <v>7.401410761154855</v>
      </c>
      <c r="Z1325" s="214">
        <f ca="1">+$W1325</f>
        <v>10.80282152230971</v>
      </c>
      <c r="AA1325" s="214">
        <f ca="1">+$Y1325</f>
        <v>7.401410761154855</v>
      </c>
      <c r="AB1325" s="214">
        <f ca="1">+$X1325</f>
        <v>52.439632545931744</v>
      </c>
      <c r="AC1325" s="214">
        <f ca="1">+$W1325-XOffset</f>
        <v>10.80282152230971</v>
      </c>
    </row>
    <row r="1326" spans="19:29" ht="8.4" customHeight="1">
      <c r="S1326" s="307"/>
      <c r="T1326" s="226">
        <f t="shared" si="75"/>
        <v>1323</v>
      </c>
      <c r="U1326" s="224">
        <f t="shared" si="73"/>
        <v>0</v>
      </c>
      <c r="V1326" s="225">
        <f t="shared" si="74"/>
        <v>2</v>
      </c>
      <c r="W1326" s="238">
        <f ca="1">$U1326*EWSpacingFt+XOffset+0</f>
        <v>0</v>
      </c>
      <c r="X1326" s="242">
        <f ca="1">$V1326*NSSpacingFt+YOffset+PanArrayLenFt*COS(RADIANS(Latitude+DecAng))</f>
        <v>52.439632545931744</v>
      </c>
      <c r="Y1326" s="246">
        <f ca="1">+$V1326*NSGradeFt+PedHeight+PanArrayLenFt*SIN(RADIANS(Latitude+DecAng))</f>
        <v>7.401410761154855</v>
      </c>
      <c r="Z1326" s="214">
        <f ca="1">+$W1326</f>
        <v>0</v>
      </c>
      <c r="AA1326" s="214">
        <f ca="1">+$Y1326</f>
        <v>7.401410761154855</v>
      </c>
      <c r="AB1326" s="214">
        <f ca="1">+$X1326</f>
        <v>52.439632545931744</v>
      </c>
      <c r="AC1326" s="214">
        <f ca="1">+$W1326-XOffset</f>
        <v>0</v>
      </c>
    </row>
    <row r="1327" spans="19:29" ht="8.4" customHeight="1">
      <c r="S1327" s="307"/>
      <c r="T1327" s="226">
        <f t="shared" si="75"/>
        <v>1324</v>
      </c>
      <c r="U1327" s="224">
        <f t="shared" si="73"/>
        <v>0</v>
      </c>
      <c r="V1327" s="225">
        <f t="shared" si="74"/>
        <v>2</v>
      </c>
      <c r="W1327" s="239">
        <f ca="1">$U1327*EWSpacingFt+XOffset+(PanArrayWidthHighEndFt-PanArrayWidthLowEndFt)/2</f>
        <v>0</v>
      </c>
      <c r="X1327" s="243">
        <f ca="1">$V1327*NSSpacingFt+YOffset+0</f>
        <v>35.999999999999979</v>
      </c>
      <c r="Y1327" s="247">
        <f ca="1">+$V1327*NSGradeFt+PedHeight+0</f>
        <v>7.401410761154855</v>
      </c>
      <c r="Z1327" s="214">
        <f ca="1">+$W1327</f>
        <v>0</v>
      </c>
      <c r="AA1327" s="214">
        <f ca="1">+$Y1327</f>
        <v>7.401410761154855</v>
      </c>
      <c r="AB1327" s="214">
        <f ca="1">+$X1327</f>
        <v>35.999999999999979</v>
      </c>
      <c r="AC1327" s="214">
        <f ca="1">+$W1327-XOffset</f>
        <v>0</v>
      </c>
    </row>
    <row r="1328" spans="19:29" ht="8.4" customHeight="1">
      <c r="S1328" s="307"/>
      <c r="T1328" s="226">
        <f t="shared" si="75"/>
        <v>1325</v>
      </c>
      <c r="U1328" s="224">
        <f t="shared" si="73"/>
        <v>0</v>
      </c>
      <c r="V1328" s="225">
        <f t="shared" si="74"/>
        <v>2</v>
      </c>
      <c r="W1328" s="217"/>
      <c r="X1328" s="217"/>
      <c r="Y1328" s="217"/>
      <c r="Z1328" s="214"/>
      <c r="AA1328" s="214"/>
      <c r="AB1328" s="214"/>
      <c r="AC1328" s="214"/>
    </row>
    <row r="1329" spans="19:29" ht="8.4" customHeight="1">
      <c r="S1329" s="307">
        <f>INT((T1329-0)/6)+1</f>
        <v>222</v>
      </c>
      <c r="T1329" s="226">
        <f t="shared" si="75"/>
        <v>1326</v>
      </c>
      <c r="U1329" s="224">
        <f t="shared" si="73"/>
        <v>1</v>
      </c>
      <c r="V1329" s="225">
        <f t="shared" si="74"/>
        <v>2</v>
      </c>
      <c r="W1329" s="233">
        <f ca="1">$U1329*EWSpacingFt+XOffset+(PanArrayWidthHighEndFt-PanArrayWidthLowEndFt)/2</f>
        <v>30.000006832286932</v>
      </c>
      <c r="X1329" s="234">
        <f ca="1">$V1329*NSSpacingFt+YOffset+0</f>
        <v>35.999999999999979</v>
      </c>
      <c r="Y1329" s="235">
        <f ca="1">+$V1329*NSGradeFt+PedHeight+0</f>
        <v>7.401410761154855</v>
      </c>
      <c r="Z1329" s="214">
        <f ca="1">+$W1329</f>
        <v>30.000006832286932</v>
      </c>
      <c r="AA1329" s="214">
        <f ca="1">+$Y1329</f>
        <v>7.401410761154855</v>
      </c>
      <c r="AB1329" s="214">
        <f ca="1">+$X1329</f>
        <v>35.999999999999979</v>
      </c>
      <c r="AC1329" s="214">
        <f ca="1">+$W1329-XOffset</f>
        <v>30.000006832286932</v>
      </c>
    </row>
    <row r="1330" spans="19:29" ht="8.4" customHeight="1">
      <c r="S1330" s="307"/>
      <c r="T1330" s="226">
        <f t="shared" si="75"/>
        <v>1327</v>
      </c>
      <c r="U1330" s="224">
        <f t="shared" si="73"/>
        <v>1</v>
      </c>
      <c r="V1330" s="225">
        <f t="shared" si="74"/>
        <v>2</v>
      </c>
      <c r="W1330" s="236">
        <f ca="1">+$U1330*EWSpacingFt+XOffset+PanArrayWidthHighEndFt-(PanArrayWidthHighEndFt-PanArrayWidthLowEndFt)/2</f>
        <v>40.802828354596642</v>
      </c>
      <c r="X1330" s="240">
        <f ca="1">$V1330*NSSpacingFt+YOffset+0</f>
        <v>35.999999999999979</v>
      </c>
      <c r="Y1330" s="244">
        <f ca="1">+$V1330*NSGradeFt+PedHeight+0</f>
        <v>7.401410761154855</v>
      </c>
      <c r="Z1330" s="214">
        <f ca="1">+$W1330</f>
        <v>40.802828354596642</v>
      </c>
      <c r="AA1330" s="214">
        <f ca="1">+$Y1330</f>
        <v>7.401410761154855</v>
      </c>
      <c r="AB1330" s="214">
        <f ca="1">+$X1330</f>
        <v>35.999999999999979</v>
      </c>
      <c r="AC1330" s="214">
        <f ca="1">+$W1330-XOffset</f>
        <v>40.802828354596642</v>
      </c>
    </row>
    <row r="1331" spans="19:29" ht="8.4" customHeight="1">
      <c r="S1331" s="307"/>
      <c r="T1331" s="226">
        <f t="shared" si="75"/>
        <v>1328</v>
      </c>
      <c r="U1331" s="224">
        <f t="shared" si="73"/>
        <v>1</v>
      </c>
      <c r="V1331" s="225">
        <f t="shared" si="74"/>
        <v>2</v>
      </c>
      <c r="W1331" s="237">
        <f ca="1">$U1331*EWSpacingFt+XOffset+PanArrayWidthHighEndFt</f>
        <v>40.802828354596642</v>
      </c>
      <c r="X1331" s="241">
        <f ca="1">$V1331*NSSpacingFt+YOffset+PanArrayLenFt*COS(RADIANS(Latitude+DecAng))</f>
        <v>52.439632545931744</v>
      </c>
      <c r="Y1331" s="245">
        <f ca="1">+$V1331*NSGradeFt+PedHeight+PanArrayLenFt*SIN(RADIANS(Latitude+DecAng))</f>
        <v>7.401410761154855</v>
      </c>
      <c r="Z1331" s="214">
        <f ca="1">+$W1331</f>
        <v>40.802828354596642</v>
      </c>
      <c r="AA1331" s="214">
        <f ca="1">+$Y1331</f>
        <v>7.401410761154855</v>
      </c>
      <c r="AB1331" s="214">
        <f ca="1">+$X1331</f>
        <v>52.439632545931744</v>
      </c>
      <c r="AC1331" s="214">
        <f ca="1">+$W1331-XOffset</f>
        <v>40.802828354596642</v>
      </c>
    </row>
    <row r="1332" spans="19:29" ht="8.4" customHeight="1">
      <c r="S1332" s="307"/>
      <c r="T1332" s="226">
        <f t="shared" si="75"/>
        <v>1329</v>
      </c>
      <c r="U1332" s="224">
        <f t="shared" si="73"/>
        <v>1</v>
      </c>
      <c r="V1332" s="225">
        <f t="shared" si="74"/>
        <v>2</v>
      </c>
      <c r="W1332" s="238">
        <f ca="1">$U1332*EWSpacingFt+XOffset+0</f>
        <v>30.000006832286932</v>
      </c>
      <c r="X1332" s="242">
        <f ca="1">$V1332*NSSpacingFt+YOffset+PanArrayLenFt*COS(RADIANS(Latitude+DecAng))</f>
        <v>52.439632545931744</v>
      </c>
      <c r="Y1332" s="246">
        <f ca="1">+$V1332*NSGradeFt+PedHeight+PanArrayLenFt*SIN(RADIANS(Latitude+DecAng))</f>
        <v>7.401410761154855</v>
      </c>
      <c r="Z1332" s="214">
        <f ca="1">+$W1332</f>
        <v>30.000006832286932</v>
      </c>
      <c r="AA1332" s="214">
        <f ca="1">+$Y1332</f>
        <v>7.401410761154855</v>
      </c>
      <c r="AB1332" s="214">
        <f ca="1">+$X1332</f>
        <v>52.439632545931744</v>
      </c>
      <c r="AC1332" s="214">
        <f ca="1">+$W1332-XOffset</f>
        <v>30.000006832286932</v>
      </c>
    </row>
    <row r="1333" spans="19:29" ht="8.4" customHeight="1">
      <c r="S1333" s="307"/>
      <c r="T1333" s="226">
        <f t="shared" si="75"/>
        <v>1330</v>
      </c>
      <c r="U1333" s="224">
        <f t="shared" si="73"/>
        <v>1</v>
      </c>
      <c r="V1333" s="225">
        <f t="shared" si="74"/>
        <v>2</v>
      </c>
      <c r="W1333" s="239">
        <f ca="1">$U1333*EWSpacingFt+XOffset+(PanArrayWidthHighEndFt-PanArrayWidthLowEndFt)/2</f>
        <v>30.000006832286932</v>
      </c>
      <c r="X1333" s="243">
        <f ca="1">$V1333*NSSpacingFt+YOffset+0</f>
        <v>35.999999999999979</v>
      </c>
      <c r="Y1333" s="247">
        <f ca="1">+$V1333*NSGradeFt+PedHeight+0</f>
        <v>7.401410761154855</v>
      </c>
      <c r="Z1333" s="214">
        <f ca="1">+$W1333</f>
        <v>30.000006832286932</v>
      </c>
      <c r="AA1333" s="214">
        <f ca="1">+$Y1333</f>
        <v>7.401410761154855</v>
      </c>
      <c r="AB1333" s="214">
        <f ca="1">+$X1333</f>
        <v>35.999999999999979</v>
      </c>
      <c r="AC1333" s="214">
        <f ca="1">+$W1333-XOffset</f>
        <v>30.000006832286932</v>
      </c>
    </row>
    <row r="1334" spans="19:29" ht="8.4" customHeight="1">
      <c r="S1334" s="307"/>
      <c r="T1334" s="226">
        <f t="shared" si="75"/>
        <v>1331</v>
      </c>
      <c r="U1334" s="224">
        <f t="shared" si="73"/>
        <v>1</v>
      </c>
      <c r="V1334" s="225">
        <f t="shared" si="74"/>
        <v>2</v>
      </c>
      <c r="W1334" s="217"/>
      <c r="X1334" s="217"/>
      <c r="Y1334" s="217"/>
      <c r="Z1334" s="214"/>
      <c r="AA1334" s="214"/>
      <c r="AB1334" s="214"/>
      <c r="AC1334" s="214"/>
    </row>
    <row r="1335" spans="19:29" ht="8.4" customHeight="1">
      <c r="S1335" s="307">
        <f>INT((T1335-0)/6)+1</f>
        <v>223</v>
      </c>
      <c r="T1335" s="226">
        <f t="shared" si="75"/>
        <v>1332</v>
      </c>
      <c r="U1335" s="224">
        <f t="shared" si="73"/>
        <v>0</v>
      </c>
      <c r="V1335" s="225">
        <f t="shared" si="74"/>
        <v>3</v>
      </c>
      <c r="W1335" s="233">
        <f ca="1">$U1335*EWSpacingFt+XOffset+(PanArrayWidthHighEndFt-PanArrayWidthLowEndFt)/2</f>
        <v>0</v>
      </c>
      <c r="X1335" s="234">
        <f ca="1">$V1335*NSSpacingFt+YOffset+0</f>
        <v>53.999999999999972</v>
      </c>
      <c r="Y1335" s="235">
        <f ca="1">+$V1335*NSGradeFt+PedHeight+0</f>
        <v>7.401410761154855</v>
      </c>
      <c r="Z1335" s="214">
        <f ca="1">+$W1335</f>
        <v>0</v>
      </c>
      <c r="AA1335" s="214">
        <f ca="1">+$Y1335</f>
        <v>7.401410761154855</v>
      </c>
      <c r="AB1335" s="214">
        <f ca="1">+$X1335</f>
        <v>53.999999999999972</v>
      </c>
      <c r="AC1335" s="214">
        <f ca="1">+$W1335-XOffset</f>
        <v>0</v>
      </c>
    </row>
    <row r="1336" spans="19:29" ht="8.4" customHeight="1">
      <c r="S1336" s="307"/>
      <c r="T1336" s="226">
        <f t="shared" si="75"/>
        <v>1333</v>
      </c>
      <c r="U1336" s="224">
        <f t="shared" si="73"/>
        <v>0</v>
      </c>
      <c r="V1336" s="225">
        <f t="shared" si="74"/>
        <v>3</v>
      </c>
      <c r="W1336" s="236">
        <f ca="1">+$U1336*EWSpacingFt+XOffset+PanArrayWidthHighEndFt-(PanArrayWidthHighEndFt-PanArrayWidthLowEndFt)/2</f>
        <v>10.80282152230971</v>
      </c>
      <c r="X1336" s="240">
        <f ca="1">$V1336*NSSpacingFt+YOffset+0</f>
        <v>53.999999999999972</v>
      </c>
      <c r="Y1336" s="244">
        <f ca="1">+$V1336*NSGradeFt+PedHeight+0</f>
        <v>7.401410761154855</v>
      </c>
      <c r="Z1336" s="214">
        <f ca="1">+$W1336</f>
        <v>10.80282152230971</v>
      </c>
      <c r="AA1336" s="214">
        <f ca="1">+$Y1336</f>
        <v>7.401410761154855</v>
      </c>
      <c r="AB1336" s="214">
        <f ca="1">+$X1336</f>
        <v>53.999999999999972</v>
      </c>
      <c r="AC1336" s="214">
        <f ca="1">+$W1336-XOffset</f>
        <v>10.80282152230971</v>
      </c>
    </row>
    <row r="1337" spans="19:29" ht="8.4" customHeight="1">
      <c r="S1337" s="307"/>
      <c r="T1337" s="226">
        <f t="shared" si="75"/>
        <v>1334</v>
      </c>
      <c r="U1337" s="224">
        <f t="shared" si="73"/>
        <v>0</v>
      </c>
      <c r="V1337" s="225">
        <f t="shared" si="74"/>
        <v>3</v>
      </c>
      <c r="W1337" s="237">
        <f ca="1">$U1337*EWSpacingFt+XOffset+PanArrayWidthHighEndFt</f>
        <v>10.80282152230971</v>
      </c>
      <c r="X1337" s="241">
        <f ca="1">$V1337*NSSpacingFt+YOffset+PanArrayLenFt*COS(RADIANS(Latitude+DecAng))</f>
        <v>70.43963254593173</v>
      </c>
      <c r="Y1337" s="245">
        <f ca="1">+$V1337*NSGradeFt+PedHeight+PanArrayLenFt*SIN(RADIANS(Latitude+DecAng))</f>
        <v>7.401410761154855</v>
      </c>
      <c r="Z1337" s="214">
        <f ca="1">+$W1337</f>
        <v>10.80282152230971</v>
      </c>
      <c r="AA1337" s="214">
        <f ca="1">+$Y1337</f>
        <v>7.401410761154855</v>
      </c>
      <c r="AB1337" s="214">
        <f ca="1">+$X1337</f>
        <v>70.43963254593173</v>
      </c>
      <c r="AC1337" s="214">
        <f ca="1">+$W1337-XOffset</f>
        <v>10.80282152230971</v>
      </c>
    </row>
    <row r="1338" spans="19:29" ht="8.4" customHeight="1">
      <c r="S1338" s="307"/>
      <c r="T1338" s="226">
        <f t="shared" si="75"/>
        <v>1335</v>
      </c>
      <c r="U1338" s="224">
        <f t="shared" si="73"/>
        <v>0</v>
      </c>
      <c r="V1338" s="225">
        <f t="shared" si="74"/>
        <v>3</v>
      </c>
      <c r="W1338" s="238">
        <f ca="1">$U1338*EWSpacingFt+XOffset+0</f>
        <v>0</v>
      </c>
      <c r="X1338" s="242">
        <f ca="1">$V1338*NSSpacingFt+YOffset+PanArrayLenFt*COS(RADIANS(Latitude+DecAng))</f>
        <v>70.43963254593173</v>
      </c>
      <c r="Y1338" s="246">
        <f ca="1">+$V1338*NSGradeFt+PedHeight+PanArrayLenFt*SIN(RADIANS(Latitude+DecAng))</f>
        <v>7.401410761154855</v>
      </c>
      <c r="Z1338" s="214">
        <f ca="1">+$W1338</f>
        <v>0</v>
      </c>
      <c r="AA1338" s="214">
        <f ca="1">+$Y1338</f>
        <v>7.401410761154855</v>
      </c>
      <c r="AB1338" s="214">
        <f ca="1">+$X1338</f>
        <v>70.43963254593173</v>
      </c>
      <c r="AC1338" s="214">
        <f ca="1">+$W1338-XOffset</f>
        <v>0</v>
      </c>
    </row>
    <row r="1339" spans="19:29" ht="8.4" customHeight="1">
      <c r="S1339" s="307"/>
      <c r="T1339" s="226">
        <f t="shared" si="75"/>
        <v>1336</v>
      </c>
      <c r="U1339" s="224">
        <f t="shared" si="73"/>
        <v>0</v>
      </c>
      <c r="V1339" s="225">
        <f t="shared" si="74"/>
        <v>3</v>
      </c>
      <c r="W1339" s="239">
        <f ca="1">$U1339*EWSpacingFt+XOffset+(PanArrayWidthHighEndFt-PanArrayWidthLowEndFt)/2</f>
        <v>0</v>
      </c>
      <c r="X1339" s="243">
        <f ca="1">$V1339*NSSpacingFt+YOffset+0</f>
        <v>53.999999999999972</v>
      </c>
      <c r="Y1339" s="247">
        <f ca="1">+$V1339*NSGradeFt+PedHeight+0</f>
        <v>7.401410761154855</v>
      </c>
      <c r="Z1339" s="214">
        <f ca="1">+$W1339</f>
        <v>0</v>
      </c>
      <c r="AA1339" s="214">
        <f ca="1">+$Y1339</f>
        <v>7.401410761154855</v>
      </c>
      <c r="AB1339" s="214">
        <f ca="1">+$X1339</f>
        <v>53.999999999999972</v>
      </c>
      <c r="AC1339" s="214">
        <f ca="1">+$W1339-XOffset</f>
        <v>0</v>
      </c>
    </row>
    <row r="1340" spans="19:29" ht="8.4" customHeight="1">
      <c r="S1340" s="307"/>
      <c r="T1340" s="226">
        <f t="shared" si="75"/>
        <v>1337</v>
      </c>
      <c r="U1340" s="224">
        <f t="shared" si="73"/>
        <v>0</v>
      </c>
      <c r="V1340" s="225">
        <f t="shared" si="74"/>
        <v>3</v>
      </c>
      <c r="W1340" s="217"/>
      <c r="X1340" s="217"/>
      <c r="Y1340" s="217"/>
      <c r="Z1340" s="214"/>
      <c r="AA1340" s="214"/>
      <c r="AB1340" s="214"/>
      <c r="AC1340" s="214"/>
    </row>
    <row r="1341" spans="19:29" ht="8.4" customHeight="1">
      <c r="S1341" s="307">
        <f>INT((T1341-0)/6)+1</f>
        <v>224</v>
      </c>
      <c r="T1341" s="226">
        <f t="shared" si="75"/>
        <v>1338</v>
      </c>
      <c r="U1341" s="224">
        <f t="shared" si="73"/>
        <v>1</v>
      </c>
      <c r="V1341" s="225">
        <f t="shared" si="74"/>
        <v>3</v>
      </c>
      <c r="W1341" s="233">
        <f ca="1">$U1341*EWSpacingFt+XOffset+(PanArrayWidthHighEndFt-PanArrayWidthLowEndFt)/2</f>
        <v>30.000006832286932</v>
      </c>
      <c r="X1341" s="234">
        <f ca="1">$V1341*NSSpacingFt+YOffset+0</f>
        <v>53.999999999999972</v>
      </c>
      <c r="Y1341" s="235">
        <f ca="1">+$V1341*NSGradeFt+PedHeight+0</f>
        <v>7.401410761154855</v>
      </c>
      <c r="Z1341" s="214">
        <f ca="1">+$W1341</f>
        <v>30.000006832286932</v>
      </c>
      <c r="AA1341" s="214">
        <f ca="1">+$Y1341</f>
        <v>7.401410761154855</v>
      </c>
      <c r="AB1341" s="214">
        <f ca="1">+$X1341</f>
        <v>53.999999999999972</v>
      </c>
      <c r="AC1341" s="214">
        <f ca="1">+$W1341-XOffset</f>
        <v>30.000006832286932</v>
      </c>
    </row>
    <row r="1342" spans="19:29" ht="8.4" customHeight="1">
      <c r="S1342" s="307"/>
      <c r="T1342" s="226">
        <f t="shared" si="75"/>
        <v>1339</v>
      </c>
      <c r="U1342" s="224">
        <f t="shared" si="73"/>
        <v>1</v>
      </c>
      <c r="V1342" s="225">
        <f t="shared" si="74"/>
        <v>3</v>
      </c>
      <c r="W1342" s="236">
        <f ca="1">+$U1342*EWSpacingFt+XOffset+PanArrayWidthHighEndFt-(PanArrayWidthHighEndFt-PanArrayWidthLowEndFt)/2</f>
        <v>40.802828354596642</v>
      </c>
      <c r="X1342" s="240">
        <f ca="1">$V1342*NSSpacingFt+YOffset+0</f>
        <v>53.999999999999972</v>
      </c>
      <c r="Y1342" s="244">
        <f ca="1">+$V1342*NSGradeFt+PedHeight+0</f>
        <v>7.401410761154855</v>
      </c>
      <c r="Z1342" s="214">
        <f ca="1">+$W1342</f>
        <v>40.802828354596642</v>
      </c>
      <c r="AA1342" s="214">
        <f ca="1">+$Y1342</f>
        <v>7.401410761154855</v>
      </c>
      <c r="AB1342" s="214">
        <f ca="1">+$X1342</f>
        <v>53.999999999999972</v>
      </c>
      <c r="AC1342" s="214">
        <f ca="1">+$W1342-XOffset</f>
        <v>40.802828354596642</v>
      </c>
    </row>
    <row r="1343" spans="19:29" ht="8.4" customHeight="1">
      <c r="S1343" s="307"/>
      <c r="T1343" s="226">
        <f t="shared" si="75"/>
        <v>1340</v>
      </c>
      <c r="U1343" s="224">
        <f t="shared" si="73"/>
        <v>1</v>
      </c>
      <c r="V1343" s="225">
        <f t="shared" si="74"/>
        <v>3</v>
      </c>
      <c r="W1343" s="237">
        <f ca="1">$U1343*EWSpacingFt+XOffset+PanArrayWidthHighEndFt</f>
        <v>40.802828354596642</v>
      </c>
      <c r="X1343" s="241">
        <f ca="1">$V1343*NSSpacingFt+YOffset+PanArrayLenFt*COS(RADIANS(Latitude+DecAng))</f>
        <v>70.43963254593173</v>
      </c>
      <c r="Y1343" s="245">
        <f ca="1">+$V1343*NSGradeFt+PedHeight+PanArrayLenFt*SIN(RADIANS(Latitude+DecAng))</f>
        <v>7.401410761154855</v>
      </c>
      <c r="Z1343" s="214">
        <f ca="1">+$W1343</f>
        <v>40.802828354596642</v>
      </c>
      <c r="AA1343" s="214">
        <f ca="1">+$Y1343</f>
        <v>7.401410761154855</v>
      </c>
      <c r="AB1343" s="214">
        <f ca="1">+$X1343</f>
        <v>70.43963254593173</v>
      </c>
      <c r="AC1343" s="214">
        <f ca="1">+$W1343-XOffset</f>
        <v>40.802828354596642</v>
      </c>
    </row>
    <row r="1344" spans="19:29" ht="8.4" customHeight="1">
      <c r="S1344" s="307"/>
      <c r="T1344" s="226">
        <f t="shared" si="75"/>
        <v>1341</v>
      </c>
      <c r="U1344" s="224">
        <f t="shared" si="73"/>
        <v>1</v>
      </c>
      <c r="V1344" s="225">
        <f t="shared" si="74"/>
        <v>3</v>
      </c>
      <c r="W1344" s="238">
        <f ca="1">$U1344*EWSpacingFt+XOffset+0</f>
        <v>30.000006832286932</v>
      </c>
      <c r="X1344" s="242">
        <f ca="1">$V1344*NSSpacingFt+YOffset+PanArrayLenFt*COS(RADIANS(Latitude+DecAng))</f>
        <v>70.43963254593173</v>
      </c>
      <c r="Y1344" s="246">
        <f ca="1">+$V1344*NSGradeFt+PedHeight+PanArrayLenFt*SIN(RADIANS(Latitude+DecAng))</f>
        <v>7.401410761154855</v>
      </c>
      <c r="Z1344" s="214">
        <f ca="1">+$W1344</f>
        <v>30.000006832286932</v>
      </c>
      <c r="AA1344" s="214">
        <f ca="1">+$Y1344</f>
        <v>7.401410761154855</v>
      </c>
      <c r="AB1344" s="214">
        <f ca="1">+$X1344</f>
        <v>70.43963254593173</v>
      </c>
      <c r="AC1344" s="214">
        <f ca="1">+$W1344-XOffset</f>
        <v>30.000006832286932</v>
      </c>
    </row>
    <row r="1345" spans="19:29" ht="8.4" customHeight="1">
      <c r="S1345" s="307"/>
      <c r="T1345" s="226">
        <f t="shared" si="75"/>
        <v>1342</v>
      </c>
      <c r="U1345" s="224">
        <f t="shared" si="73"/>
        <v>1</v>
      </c>
      <c r="V1345" s="225">
        <f t="shared" si="74"/>
        <v>3</v>
      </c>
      <c r="W1345" s="239">
        <f ca="1">$U1345*EWSpacingFt+XOffset+(PanArrayWidthHighEndFt-PanArrayWidthLowEndFt)/2</f>
        <v>30.000006832286932</v>
      </c>
      <c r="X1345" s="243">
        <f ca="1">$V1345*NSSpacingFt+YOffset+0</f>
        <v>53.999999999999972</v>
      </c>
      <c r="Y1345" s="247">
        <f ca="1">+$V1345*NSGradeFt+PedHeight+0</f>
        <v>7.401410761154855</v>
      </c>
      <c r="Z1345" s="214">
        <f ca="1">+$W1345</f>
        <v>30.000006832286932</v>
      </c>
      <c r="AA1345" s="214">
        <f ca="1">+$Y1345</f>
        <v>7.401410761154855</v>
      </c>
      <c r="AB1345" s="214">
        <f ca="1">+$X1345</f>
        <v>53.999999999999972</v>
      </c>
      <c r="AC1345" s="214">
        <f ca="1">+$W1345-XOffset</f>
        <v>30.000006832286932</v>
      </c>
    </row>
    <row r="1346" spans="19:29" ht="8.4" customHeight="1">
      <c r="S1346" s="307"/>
      <c r="T1346" s="226">
        <f t="shared" si="75"/>
        <v>1343</v>
      </c>
      <c r="U1346" s="224">
        <f t="shared" si="73"/>
        <v>1</v>
      </c>
      <c r="V1346" s="225">
        <f t="shared" si="74"/>
        <v>3</v>
      </c>
      <c r="W1346" s="217"/>
      <c r="X1346" s="217"/>
      <c r="Y1346" s="217"/>
      <c r="Z1346" s="214"/>
      <c r="AA1346" s="214"/>
      <c r="AB1346" s="214"/>
      <c r="AC1346" s="214"/>
    </row>
    <row r="1347" spans="19:29" ht="8.4" customHeight="1">
      <c r="S1347" s="307">
        <f>INT((T1347-0)/6)+1</f>
        <v>225</v>
      </c>
      <c r="T1347" s="226">
        <f t="shared" si="75"/>
        <v>1344</v>
      </c>
      <c r="U1347" s="224">
        <f t="shared" ref="U1347:U1410" si="76">+MOD(INT(T1347/6),ColumnsOfMounts)</f>
        <v>0</v>
      </c>
      <c r="V1347" s="225">
        <f t="shared" ref="V1347:V1410" si="77">+MOD(INT(T1347/6/ColumnsOfMounts),RowsOfMounts)</f>
        <v>0</v>
      </c>
      <c r="W1347" s="233">
        <f ca="1">$U1347*EWSpacingFt+XOffset+(PanArrayWidthHighEndFt-PanArrayWidthLowEndFt)/2</f>
        <v>0</v>
      </c>
      <c r="X1347" s="234">
        <f ca="1">$V1347*NSSpacingFt+YOffset+0</f>
        <v>0</v>
      </c>
      <c r="Y1347" s="235">
        <f ca="1">+$V1347*NSGradeFt+PedHeight+0</f>
        <v>7.401410761154855</v>
      </c>
      <c r="Z1347" s="214">
        <f ca="1">+$W1347</f>
        <v>0</v>
      </c>
      <c r="AA1347" s="214">
        <f ca="1">+$Y1347</f>
        <v>7.401410761154855</v>
      </c>
      <c r="AB1347" s="214">
        <f ca="1">+$X1347</f>
        <v>0</v>
      </c>
      <c r="AC1347" s="214">
        <f ca="1">+$W1347-XOffset</f>
        <v>0</v>
      </c>
    </row>
    <row r="1348" spans="19:29" ht="8.4" customHeight="1">
      <c r="S1348" s="307"/>
      <c r="T1348" s="226">
        <f t="shared" si="75"/>
        <v>1345</v>
      </c>
      <c r="U1348" s="224">
        <f t="shared" si="76"/>
        <v>0</v>
      </c>
      <c r="V1348" s="225">
        <f t="shared" si="77"/>
        <v>0</v>
      </c>
      <c r="W1348" s="236">
        <f ca="1">+$U1348*EWSpacingFt+XOffset+PanArrayWidthHighEndFt-(PanArrayWidthHighEndFt-PanArrayWidthLowEndFt)/2</f>
        <v>10.80282152230971</v>
      </c>
      <c r="X1348" s="240">
        <f ca="1">$V1348*NSSpacingFt+YOffset+0</f>
        <v>0</v>
      </c>
      <c r="Y1348" s="244">
        <f ca="1">+$V1348*NSGradeFt+PedHeight+0</f>
        <v>7.401410761154855</v>
      </c>
      <c r="Z1348" s="214">
        <f ca="1">+$W1348</f>
        <v>10.80282152230971</v>
      </c>
      <c r="AA1348" s="214">
        <f ca="1">+$Y1348</f>
        <v>7.401410761154855</v>
      </c>
      <c r="AB1348" s="214">
        <f ca="1">+$X1348</f>
        <v>0</v>
      </c>
      <c r="AC1348" s="214">
        <f ca="1">+$W1348-XOffset</f>
        <v>10.80282152230971</v>
      </c>
    </row>
    <row r="1349" spans="19:29" ht="8.4" customHeight="1">
      <c r="S1349" s="307"/>
      <c r="T1349" s="226">
        <f t="shared" si="75"/>
        <v>1346</v>
      </c>
      <c r="U1349" s="224">
        <f t="shared" si="76"/>
        <v>0</v>
      </c>
      <c r="V1349" s="225">
        <f t="shared" si="77"/>
        <v>0</v>
      </c>
      <c r="W1349" s="237">
        <f ca="1">$U1349*EWSpacingFt+XOffset+PanArrayWidthHighEndFt</f>
        <v>10.80282152230971</v>
      </c>
      <c r="X1349" s="241">
        <f ca="1">$V1349*NSSpacingFt+YOffset+PanArrayLenFt*COS(RADIANS(Latitude+DecAng))</f>
        <v>16.439632545931762</v>
      </c>
      <c r="Y1349" s="245">
        <f ca="1">+$V1349*NSGradeFt+PedHeight+PanArrayLenFt*SIN(RADIANS(Latitude+DecAng))</f>
        <v>7.401410761154855</v>
      </c>
      <c r="Z1349" s="214">
        <f ca="1">+$W1349</f>
        <v>10.80282152230971</v>
      </c>
      <c r="AA1349" s="214">
        <f ca="1">+$Y1349</f>
        <v>7.401410761154855</v>
      </c>
      <c r="AB1349" s="214">
        <f ca="1">+$X1349</f>
        <v>16.439632545931762</v>
      </c>
      <c r="AC1349" s="214">
        <f ca="1">+$W1349-XOffset</f>
        <v>10.80282152230971</v>
      </c>
    </row>
    <row r="1350" spans="19:29" ht="8.4" customHeight="1">
      <c r="S1350" s="307"/>
      <c r="T1350" s="226">
        <f t="shared" si="75"/>
        <v>1347</v>
      </c>
      <c r="U1350" s="224">
        <f t="shared" si="76"/>
        <v>0</v>
      </c>
      <c r="V1350" s="225">
        <f t="shared" si="77"/>
        <v>0</v>
      </c>
      <c r="W1350" s="238">
        <f ca="1">$U1350*EWSpacingFt+XOffset+0</f>
        <v>0</v>
      </c>
      <c r="X1350" s="242">
        <f ca="1">$V1350*NSSpacingFt+YOffset+PanArrayLenFt*COS(RADIANS(Latitude+DecAng))</f>
        <v>16.439632545931762</v>
      </c>
      <c r="Y1350" s="246">
        <f ca="1">+$V1350*NSGradeFt+PedHeight+PanArrayLenFt*SIN(RADIANS(Latitude+DecAng))</f>
        <v>7.401410761154855</v>
      </c>
      <c r="Z1350" s="214">
        <f ca="1">+$W1350</f>
        <v>0</v>
      </c>
      <c r="AA1350" s="214">
        <f ca="1">+$Y1350</f>
        <v>7.401410761154855</v>
      </c>
      <c r="AB1350" s="214">
        <f ca="1">+$X1350</f>
        <v>16.439632545931762</v>
      </c>
      <c r="AC1350" s="214">
        <f ca="1">+$W1350-XOffset</f>
        <v>0</v>
      </c>
    </row>
    <row r="1351" spans="19:29" ht="8.4" customHeight="1">
      <c r="S1351" s="307"/>
      <c r="T1351" s="226">
        <f t="shared" si="75"/>
        <v>1348</v>
      </c>
      <c r="U1351" s="224">
        <f t="shared" si="76"/>
        <v>0</v>
      </c>
      <c r="V1351" s="225">
        <f t="shared" si="77"/>
        <v>0</v>
      </c>
      <c r="W1351" s="239">
        <f ca="1">$U1351*EWSpacingFt+XOffset+(PanArrayWidthHighEndFt-PanArrayWidthLowEndFt)/2</f>
        <v>0</v>
      </c>
      <c r="X1351" s="243">
        <f ca="1">$V1351*NSSpacingFt+YOffset+0</f>
        <v>0</v>
      </c>
      <c r="Y1351" s="247">
        <f ca="1">+$V1351*NSGradeFt+PedHeight+0</f>
        <v>7.401410761154855</v>
      </c>
      <c r="Z1351" s="214">
        <f ca="1">+$W1351</f>
        <v>0</v>
      </c>
      <c r="AA1351" s="214">
        <f ca="1">+$Y1351</f>
        <v>7.401410761154855</v>
      </c>
      <c r="AB1351" s="214">
        <f ca="1">+$X1351</f>
        <v>0</v>
      </c>
      <c r="AC1351" s="214">
        <f ca="1">+$W1351-XOffset</f>
        <v>0</v>
      </c>
    </row>
    <row r="1352" spans="19:29" ht="8.4" customHeight="1">
      <c r="S1352" s="307"/>
      <c r="T1352" s="226">
        <f t="shared" si="75"/>
        <v>1349</v>
      </c>
      <c r="U1352" s="224">
        <f t="shared" si="76"/>
        <v>0</v>
      </c>
      <c r="V1352" s="225">
        <f t="shared" si="77"/>
        <v>0</v>
      </c>
      <c r="W1352" s="217"/>
      <c r="X1352" s="217"/>
      <c r="Y1352" s="217"/>
      <c r="Z1352" s="214"/>
      <c r="AA1352" s="214"/>
      <c r="AB1352" s="214"/>
      <c r="AC1352" s="214"/>
    </row>
    <row r="1353" spans="19:29" ht="8.4" customHeight="1">
      <c r="S1353" s="307">
        <f>INT((T1353-0)/6)+1</f>
        <v>226</v>
      </c>
      <c r="T1353" s="226">
        <f t="shared" si="75"/>
        <v>1350</v>
      </c>
      <c r="U1353" s="224">
        <f t="shared" si="76"/>
        <v>1</v>
      </c>
      <c r="V1353" s="225">
        <f t="shared" si="77"/>
        <v>0</v>
      </c>
      <c r="W1353" s="233">
        <f ca="1">$U1353*EWSpacingFt+XOffset+(PanArrayWidthHighEndFt-PanArrayWidthLowEndFt)/2</f>
        <v>30.000006832286932</v>
      </c>
      <c r="X1353" s="234">
        <f ca="1">$V1353*NSSpacingFt+YOffset+0</f>
        <v>0</v>
      </c>
      <c r="Y1353" s="235">
        <f ca="1">+$V1353*NSGradeFt+PedHeight+0</f>
        <v>7.401410761154855</v>
      </c>
      <c r="Z1353" s="214">
        <f ca="1">+$W1353</f>
        <v>30.000006832286932</v>
      </c>
      <c r="AA1353" s="214">
        <f ca="1">+$Y1353</f>
        <v>7.401410761154855</v>
      </c>
      <c r="AB1353" s="214">
        <f ca="1">+$X1353</f>
        <v>0</v>
      </c>
      <c r="AC1353" s="214">
        <f ca="1">+$W1353-XOffset</f>
        <v>30.000006832286932</v>
      </c>
    </row>
    <row r="1354" spans="19:29" ht="8.4" customHeight="1">
      <c r="S1354" s="307"/>
      <c r="T1354" s="226">
        <f t="shared" si="75"/>
        <v>1351</v>
      </c>
      <c r="U1354" s="224">
        <f t="shared" si="76"/>
        <v>1</v>
      </c>
      <c r="V1354" s="225">
        <f t="shared" si="77"/>
        <v>0</v>
      </c>
      <c r="W1354" s="236">
        <f ca="1">+$U1354*EWSpacingFt+XOffset+PanArrayWidthHighEndFt-(PanArrayWidthHighEndFt-PanArrayWidthLowEndFt)/2</f>
        <v>40.802828354596642</v>
      </c>
      <c r="X1354" s="240">
        <f ca="1">$V1354*NSSpacingFt+YOffset+0</f>
        <v>0</v>
      </c>
      <c r="Y1354" s="244">
        <f ca="1">+$V1354*NSGradeFt+PedHeight+0</f>
        <v>7.401410761154855</v>
      </c>
      <c r="Z1354" s="214">
        <f ca="1">+$W1354</f>
        <v>40.802828354596642</v>
      </c>
      <c r="AA1354" s="214">
        <f ca="1">+$Y1354</f>
        <v>7.401410761154855</v>
      </c>
      <c r="AB1354" s="214">
        <f ca="1">+$X1354</f>
        <v>0</v>
      </c>
      <c r="AC1354" s="214">
        <f ca="1">+$W1354-XOffset</f>
        <v>40.802828354596642</v>
      </c>
    </row>
    <row r="1355" spans="19:29" ht="8.4" customHeight="1">
      <c r="S1355" s="307"/>
      <c r="T1355" s="226">
        <f t="shared" si="75"/>
        <v>1352</v>
      </c>
      <c r="U1355" s="224">
        <f t="shared" si="76"/>
        <v>1</v>
      </c>
      <c r="V1355" s="225">
        <f t="shared" si="77"/>
        <v>0</v>
      </c>
      <c r="W1355" s="237">
        <f ca="1">$U1355*EWSpacingFt+XOffset+PanArrayWidthHighEndFt</f>
        <v>40.802828354596642</v>
      </c>
      <c r="X1355" s="241">
        <f ca="1">$V1355*NSSpacingFt+YOffset+PanArrayLenFt*COS(RADIANS(Latitude+DecAng))</f>
        <v>16.439632545931762</v>
      </c>
      <c r="Y1355" s="245">
        <f ca="1">+$V1355*NSGradeFt+PedHeight+PanArrayLenFt*SIN(RADIANS(Latitude+DecAng))</f>
        <v>7.401410761154855</v>
      </c>
      <c r="Z1355" s="214">
        <f ca="1">+$W1355</f>
        <v>40.802828354596642</v>
      </c>
      <c r="AA1355" s="214">
        <f ca="1">+$Y1355</f>
        <v>7.401410761154855</v>
      </c>
      <c r="AB1355" s="214">
        <f ca="1">+$X1355</f>
        <v>16.439632545931762</v>
      </c>
      <c r="AC1355" s="214">
        <f ca="1">+$W1355-XOffset</f>
        <v>40.802828354596642</v>
      </c>
    </row>
    <row r="1356" spans="19:29" ht="8.4" customHeight="1">
      <c r="S1356" s="307"/>
      <c r="T1356" s="226">
        <f t="shared" si="75"/>
        <v>1353</v>
      </c>
      <c r="U1356" s="224">
        <f t="shared" si="76"/>
        <v>1</v>
      </c>
      <c r="V1356" s="225">
        <f t="shared" si="77"/>
        <v>0</v>
      </c>
      <c r="W1356" s="238">
        <f ca="1">$U1356*EWSpacingFt+XOffset+0</f>
        <v>30.000006832286932</v>
      </c>
      <c r="X1356" s="242">
        <f ca="1">$V1356*NSSpacingFt+YOffset+PanArrayLenFt*COS(RADIANS(Latitude+DecAng))</f>
        <v>16.439632545931762</v>
      </c>
      <c r="Y1356" s="246">
        <f ca="1">+$V1356*NSGradeFt+PedHeight+PanArrayLenFt*SIN(RADIANS(Latitude+DecAng))</f>
        <v>7.401410761154855</v>
      </c>
      <c r="Z1356" s="214">
        <f ca="1">+$W1356</f>
        <v>30.000006832286932</v>
      </c>
      <c r="AA1356" s="214">
        <f ca="1">+$Y1356</f>
        <v>7.401410761154855</v>
      </c>
      <c r="AB1356" s="214">
        <f ca="1">+$X1356</f>
        <v>16.439632545931762</v>
      </c>
      <c r="AC1356" s="214">
        <f ca="1">+$W1356-XOffset</f>
        <v>30.000006832286932</v>
      </c>
    </row>
    <row r="1357" spans="19:29" ht="8.4" customHeight="1">
      <c r="S1357" s="307"/>
      <c r="T1357" s="226">
        <f t="shared" si="75"/>
        <v>1354</v>
      </c>
      <c r="U1357" s="224">
        <f t="shared" si="76"/>
        <v>1</v>
      </c>
      <c r="V1357" s="225">
        <f t="shared" si="77"/>
        <v>0</v>
      </c>
      <c r="W1357" s="239">
        <f ca="1">$U1357*EWSpacingFt+XOffset+(PanArrayWidthHighEndFt-PanArrayWidthLowEndFt)/2</f>
        <v>30.000006832286932</v>
      </c>
      <c r="X1357" s="243">
        <f ca="1">$V1357*NSSpacingFt+YOffset+0</f>
        <v>0</v>
      </c>
      <c r="Y1357" s="247">
        <f ca="1">+$V1357*NSGradeFt+PedHeight+0</f>
        <v>7.401410761154855</v>
      </c>
      <c r="Z1357" s="214">
        <f ca="1">+$W1357</f>
        <v>30.000006832286932</v>
      </c>
      <c r="AA1357" s="214">
        <f ca="1">+$Y1357</f>
        <v>7.401410761154855</v>
      </c>
      <c r="AB1357" s="214">
        <f ca="1">+$X1357</f>
        <v>0</v>
      </c>
      <c r="AC1357" s="214">
        <f ca="1">+$W1357-XOffset</f>
        <v>30.000006832286932</v>
      </c>
    </row>
    <row r="1358" spans="19:29" ht="8.4" customHeight="1">
      <c r="S1358" s="307"/>
      <c r="T1358" s="226">
        <f t="shared" si="75"/>
        <v>1355</v>
      </c>
      <c r="U1358" s="224">
        <f t="shared" si="76"/>
        <v>1</v>
      </c>
      <c r="V1358" s="225">
        <f t="shared" si="77"/>
        <v>0</v>
      </c>
      <c r="W1358" s="217"/>
      <c r="X1358" s="217"/>
      <c r="Y1358" s="217"/>
      <c r="Z1358" s="214"/>
      <c r="AA1358" s="214"/>
      <c r="AB1358" s="214"/>
      <c r="AC1358" s="214"/>
    </row>
    <row r="1359" spans="19:29" ht="8.4" customHeight="1">
      <c r="S1359" s="307">
        <f>INT((T1359-0)/6)+1</f>
        <v>227</v>
      </c>
      <c r="T1359" s="226">
        <f t="shared" si="75"/>
        <v>1356</v>
      </c>
      <c r="U1359" s="224">
        <f t="shared" si="76"/>
        <v>0</v>
      </c>
      <c r="V1359" s="225">
        <f t="shared" si="77"/>
        <v>1</v>
      </c>
      <c r="W1359" s="233">
        <f ca="1">$U1359*EWSpacingFt+XOffset+(PanArrayWidthHighEndFt-PanArrayWidthLowEndFt)/2</f>
        <v>0</v>
      </c>
      <c r="X1359" s="234">
        <f ca="1">$V1359*NSSpacingFt+YOffset+0</f>
        <v>17.999999999999989</v>
      </c>
      <c r="Y1359" s="235">
        <f ca="1">+$V1359*NSGradeFt+PedHeight+0</f>
        <v>7.401410761154855</v>
      </c>
      <c r="Z1359" s="214">
        <f ca="1">+$W1359</f>
        <v>0</v>
      </c>
      <c r="AA1359" s="214">
        <f ca="1">+$Y1359</f>
        <v>7.401410761154855</v>
      </c>
      <c r="AB1359" s="214">
        <f ca="1">+$X1359</f>
        <v>17.999999999999989</v>
      </c>
      <c r="AC1359" s="214">
        <f ca="1">+$W1359-XOffset</f>
        <v>0</v>
      </c>
    </row>
    <row r="1360" spans="19:29" ht="8.4" customHeight="1">
      <c r="S1360" s="307"/>
      <c r="T1360" s="226">
        <f t="shared" si="75"/>
        <v>1357</v>
      </c>
      <c r="U1360" s="224">
        <f t="shared" si="76"/>
        <v>0</v>
      </c>
      <c r="V1360" s="225">
        <f t="shared" si="77"/>
        <v>1</v>
      </c>
      <c r="W1360" s="236">
        <f ca="1">+$U1360*EWSpacingFt+XOffset+PanArrayWidthHighEndFt-(PanArrayWidthHighEndFt-PanArrayWidthLowEndFt)/2</f>
        <v>10.80282152230971</v>
      </c>
      <c r="X1360" s="240">
        <f ca="1">$V1360*NSSpacingFt+YOffset+0</f>
        <v>17.999999999999989</v>
      </c>
      <c r="Y1360" s="244">
        <f ca="1">+$V1360*NSGradeFt+PedHeight+0</f>
        <v>7.401410761154855</v>
      </c>
      <c r="Z1360" s="214">
        <f ca="1">+$W1360</f>
        <v>10.80282152230971</v>
      </c>
      <c r="AA1360" s="214">
        <f ca="1">+$Y1360</f>
        <v>7.401410761154855</v>
      </c>
      <c r="AB1360" s="214">
        <f ca="1">+$X1360</f>
        <v>17.999999999999989</v>
      </c>
      <c r="AC1360" s="214">
        <f ca="1">+$W1360-XOffset</f>
        <v>10.80282152230971</v>
      </c>
    </row>
    <row r="1361" spans="19:29" ht="8.4" customHeight="1">
      <c r="S1361" s="307"/>
      <c r="T1361" s="226">
        <f t="shared" si="75"/>
        <v>1358</v>
      </c>
      <c r="U1361" s="224">
        <f t="shared" si="76"/>
        <v>0</v>
      </c>
      <c r="V1361" s="225">
        <f t="shared" si="77"/>
        <v>1</v>
      </c>
      <c r="W1361" s="237">
        <f ca="1">$U1361*EWSpacingFt+XOffset+PanArrayWidthHighEndFt</f>
        <v>10.80282152230971</v>
      </c>
      <c r="X1361" s="241">
        <f ca="1">$V1361*NSSpacingFt+YOffset+PanArrayLenFt*COS(RADIANS(Latitude+DecAng))</f>
        <v>34.439632545931751</v>
      </c>
      <c r="Y1361" s="245">
        <f ca="1">+$V1361*NSGradeFt+PedHeight+PanArrayLenFt*SIN(RADIANS(Latitude+DecAng))</f>
        <v>7.401410761154855</v>
      </c>
      <c r="Z1361" s="214">
        <f ca="1">+$W1361</f>
        <v>10.80282152230971</v>
      </c>
      <c r="AA1361" s="214">
        <f ca="1">+$Y1361</f>
        <v>7.401410761154855</v>
      </c>
      <c r="AB1361" s="214">
        <f ca="1">+$X1361</f>
        <v>34.439632545931751</v>
      </c>
      <c r="AC1361" s="214">
        <f ca="1">+$W1361-XOffset</f>
        <v>10.80282152230971</v>
      </c>
    </row>
    <row r="1362" spans="19:29" ht="8.4" customHeight="1">
      <c r="S1362" s="307"/>
      <c r="T1362" s="226">
        <f t="shared" si="75"/>
        <v>1359</v>
      </c>
      <c r="U1362" s="224">
        <f t="shared" si="76"/>
        <v>0</v>
      </c>
      <c r="V1362" s="225">
        <f t="shared" si="77"/>
        <v>1</v>
      </c>
      <c r="W1362" s="238">
        <f ca="1">$U1362*EWSpacingFt+XOffset+0</f>
        <v>0</v>
      </c>
      <c r="X1362" s="242">
        <f ca="1">$V1362*NSSpacingFt+YOffset+PanArrayLenFt*COS(RADIANS(Latitude+DecAng))</f>
        <v>34.439632545931751</v>
      </c>
      <c r="Y1362" s="246">
        <f ca="1">+$V1362*NSGradeFt+PedHeight+PanArrayLenFt*SIN(RADIANS(Latitude+DecAng))</f>
        <v>7.401410761154855</v>
      </c>
      <c r="Z1362" s="214">
        <f ca="1">+$W1362</f>
        <v>0</v>
      </c>
      <c r="AA1362" s="214">
        <f ca="1">+$Y1362</f>
        <v>7.401410761154855</v>
      </c>
      <c r="AB1362" s="214">
        <f ca="1">+$X1362</f>
        <v>34.439632545931751</v>
      </c>
      <c r="AC1362" s="214">
        <f ca="1">+$W1362-XOffset</f>
        <v>0</v>
      </c>
    </row>
    <row r="1363" spans="19:29" ht="8.4" customHeight="1">
      <c r="S1363" s="307"/>
      <c r="T1363" s="226">
        <f t="shared" si="75"/>
        <v>1360</v>
      </c>
      <c r="U1363" s="224">
        <f t="shared" si="76"/>
        <v>0</v>
      </c>
      <c r="V1363" s="225">
        <f t="shared" si="77"/>
        <v>1</v>
      </c>
      <c r="W1363" s="239">
        <f ca="1">$U1363*EWSpacingFt+XOffset+(PanArrayWidthHighEndFt-PanArrayWidthLowEndFt)/2</f>
        <v>0</v>
      </c>
      <c r="X1363" s="243">
        <f ca="1">$V1363*NSSpacingFt+YOffset+0</f>
        <v>17.999999999999989</v>
      </c>
      <c r="Y1363" s="247">
        <f ca="1">+$V1363*NSGradeFt+PedHeight+0</f>
        <v>7.401410761154855</v>
      </c>
      <c r="Z1363" s="214">
        <f ca="1">+$W1363</f>
        <v>0</v>
      </c>
      <c r="AA1363" s="214">
        <f ca="1">+$Y1363</f>
        <v>7.401410761154855</v>
      </c>
      <c r="AB1363" s="214">
        <f ca="1">+$X1363</f>
        <v>17.999999999999989</v>
      </c>
      <c r="AC1363" s="214">
        <f ca="1">+$W1363-XOffset</f>
        <v>0</v>
      </c>
    </row>
    <row r="1364" spans="19:29" ht="8.4" customHeight="1">
      <c r="S1364" s="307"/>
      <c r="T1364" s="226">
        <f t="shared" si="75"/>
        <v>1361</v>
      </c>
      <c r="U1364" s="224">
        <f t="shared" si="76"/>
        <v>0</v>
      </c>
      <c r="V1364" s="225">
        <f t="shared" si="77"/>
        <v>1</v>
      </c>
      <c r="W1364" s="217"/>
      <c r="X1364" s="217"/>
      <c r="Y1364" s="217"/>
      <c r="Z1364" s="214"/>
      <c r="AA1364" s="214"/>
      <c r="AB1364" s="214"/>
      <c r="AC1364" s="214"/>
    </row>
    <row r="1365" spans="19:29" ht="8.4" customHeight="1">
      <c r="S1365" s="307">
        <f>INT((T1365-0)/6)+1</f>
        <v>228</v>
      </c>
      <c r="T1365" s="226">
        <f t="shared" ref="T1365:T1428" si="78">+T1364+1</f>
        <v>1362</v>
      </c>
      <c r="U1365" s="224">
        <f t="shared" si="76"/>
        <v>1</v>
      </c>
      <c r="V1365" s="225">
        <f t="shared" si="77"/>
        <v>1</v>
      </c>
      <c r="W1365" s="233">
        <f ca="1">$U1365*EWSpacingFt+XOffset+(PanArrayWidthHighEndFt-PanArrayWidthLowEndFt)/2</f>
        <v>30.000006832286932</v>
      </c>
      <c r="X1365" s="234">
        <f ca="1">$V1365*NSSpacingFt+YOffset+0</f>
        <v>17.999999999999989</v>
      </c>
      <c r="Y1365" s="235">
        <f ca="1">+$V1365*NSGradeFt+PedHeight+0</f>
        <v>7.401410761154855</v>
      </c>
      <c r="Z1365" s="214">
        <f ca="1">+$W1365</f>
        <v>30.000006832286932</v>
      </c>
      <c r="AA1365" s="214">
        <f ca="1">+$Y1365</f>
        <v>7.401410761154855</v>
      </c>
      <c r="AB1365" s="214">
        <f ca="1">+$X1365</f>
        <v>17.999999999999989</v>
      </c>
      <c r="AC1365" s="214">
        <f ca="1">+$W1365-XOffset</f>
        <v>30.000006832286932</v>
      </c>
    </row>
    <row r="1366" spans="19:29" ht="8.4" customHeight="1">
      <c r="S1366" s="307"/>
      <c r="T1366" s="226">
        <f t="shared" si="78"/>
        <v>1363</v>
      </c>
      <c r="U1366" s="224">
        <f t="shared" si="76"/>
        <v>1</v>
      </c>
      <c r="V1366" s="225">
        <f t="shared" si="77"/>
        <v>1</v>
      </c>
      <c r="W1366" s="236">
        <f ca="1">+$U1366*EWSpacingFt+XOffset+PanArrayWidthHighEndFt-(PanArrayWidthHighEndFt-PanArrayWidthLowEndFt)/2</f>
        <v>40.802828354596642</v>
      </c>
      <c r="X1366" s="240">
        <f ca="1">$V1366*NSSpacingFt+YOffset+0</f>
        <v>17.999999999999989</v>
      </c>
      <c r="Y1366" s="244">
        <f ca="1">+$V1366*NSGradeFt+PedHeight+0</f>
        <v>7.401410761154855</v>
      </c>
      <c r="Z1366" s="214">
        <f ca="1">+$W1366</f>
        <v>40.802828354596642</v>
      </c>
      <c r="AA1366" s="214">
        <f ca="1">+$Y1366</f>
        <v>7.401410761154855</v>
      </c>
      <c r="AB1366" s="214">
        <f ca="1">+$X1366</f>
        <v>17.999999999999989</v>
      </c>
      <c r="AC1366" s="214">
        <f ca="1">+$W1366-XOffset</f>
        <v>40.802828354596642</v>
      </c>
    </row>
    <row r="1367" spans="19:29" ht="8.4" customHeight="1">
      <c r="S1367" s="307"/>
      <c r="T1367" s="226">
        <f t="shared" si="78"/>
        <v>1364</v>
      </c>
      <c r="U1367" s="224">
        <f t="shared" si="76"/>
        <v>1</v>
      </c>
      <c r="V1367" s="225">
        <f t="shared" si="77"/>
        <v>1</v>
      </c>
      <c r="W1367" s="237">
        <f ca="1">$U1367*EWSpacingFt+XOffset+PanArrayWidthHighEndFt</f>
        <v>40.802828354596642</v>
      </c>
      <c r="X1367" s="241">
        <f ca="1">$V1367*NSSpacingFt+YOffset+PanArrayLenFt*COS(RADIANS(Latitude+DecAng))</f>
        <v>34.439632545931751</v>
      </c>
      <c r="Y1367" s="245">
        <f ca="1">+$V1367*NSGradeFt+PedHeight+PanArrayLenFt*SIN(RADIANS(Latitude+DecAng))</f>
        <v>7.401410761154855</v>
      </c>
      <c r="Z1367" s="214">
        <f ca="1">+$W1367</f>
        <v>40.802828354596642</v>
      </c>
      <c r="AA1367" s="214">
        <f ca="1">+$Y1367</f>
        <v>7.401410761154855</v>
      </c>
      <c r="AB1367" s="214">
        <f ca="1">+$X1367</f>
        <v>34.439632545931751</v>
      </c>
      <c r="AC1367" s="214">
        <f ca="1">+$W1367-XOffset</f>
        <v>40.802828354596642</v>
      </c>
    </row>
    <row r="1368" spans="19:29" ht="8.4" customHeight="1">
      <c r="S1368" s="307"/>
      <c r="T1368" s="226">
        <f t="shared" si="78"/>
        <v>1365</v>
      </c>
      <c r="U1368" s="224">
        <f t="shared" si="76"/>
        <v>1</v>
      </c>
      <c r="V1368" s="225">
        <f t="shared" si="77"/>
        <v>1</v>
      </c>
      <c r="W1368" s="238">
        <f ca="1">$U1368*EWSpacingFt+XOffset+0</f>
        <v>30.000006832286932</v>
      </c>
      <c r="X1368" s="242">
        <f ca="1">$V1368*NSSpacingFt+YOffset+PanArrayLenFt*COS(RADIANS(Latitude+DecAng))</f>
        <v>34.439632545931751</v>
      </c>
      <c r="Y1368" s="246">
        <f ca="1">+$V1368*NSGradeFt+PedHeight+PanArrayLenFt*SIN(RADIANS(Latitude+DecAng))</f>
        <v>7.401410761154855</v>
      </c>
      <c r="Z1368" s="214">
        <f ca="1">+$W1368</f>
        <v>30.000006832286932</v>
      </c>
      <c r="AA1368" s="214">
        <f ca="1">+$Y1368</f>
        <v>7.401410761154855</v>
      </c>
      <c r="AB1368" s="214">
        <f ca="1">+$X1368</f>
        <v>34.439632545931751</v>
      </c>
      <c r="AC1368" s="214">
        <f ca="1">+$W1368-XOffset</f>
        <v>30.000006832286932</v>
      </c>
    </row>
    <row r="1369" spans="19:29" ht="8.4" customHeight="1">
      <c r="S1369" s="307"/>
      <c r="T1369" s="226">
        <f t="shared" si="78"/>
        <v>1366</v>
      </c>
      <c r="U1369" s="224">
        <f t="shared" si="76"/>
        <v>1</v>
      </c>
      <c r="V1369" s="225">
        <f t="shared" si="77"/>
        <v>1</v>
      </c>
      <c r="W1369" s="239">
        <f ca="1">$U1369*EWSpacingFt+XOffset+(PanArrayWidthHighEndFt-PanArrayWidthLowEndFt)/2</f>
        <v>30.000006832286932</v>
      </c>
      <c r="X1369" s="243">
        <f ca="1">$V1369*NSSpacingFt+YOffset+0</f>
        <v>17.999999999999989</v>
      </c>
      <c r="Y1369" s="247">
        <f ca="1">+$V1369*NSGradeFt+PedHeight+0</f>
        <v>7.401410761154855</v>
      </c>
      <c r="Z1369" s="214">
        <f ca="1">+$W1369</f>
        <v>30.000006832286932</v>
      </c>
      <c r="AA1369" s="214">
        <f ca="1">+$Y1369</f>
        <v>7.401410761154855</v>
      </c>
      <c r="AB1369" s="214">
        <f ca="1">+$X1369</f>
        <v>17.999999999999989</v>
      </c>
      <c r="AC1369" s="214">
        <f ca="1">+$W1369-XOffset</f>
        <v>30.000006832286932</v>
      </c>
    </row>
    <row r="1370" spans="19:29" ht="8.4" customHeight="1">
      <c r="S1370" s="307"/>
      <c r="T1370" s="226">
        <f t="shared" si="78"/>
        <v>1367</v>
      </c>
      <c r="U1370" s="224">
        <f t="shared" si="76"/>
        <v>1</v>
      </c>
      <c r="V1370" s="225">
        <f t="shared" si="77"/>
        <v>1</v>
      </c>
      <c r="W1370" s="217"/>
      <c r="X1370" s="217"/>
      <c r="Y1370" s="217"/>
      <c r="Z1370" s="214"/>
      <c r="AA1370" s="214"/>
      <c r="AB1370" s="214"/>
      <c r="AC1370" s="214"/>
    </row>
    <row r="1371" spans="19:29" ht="8.4" customHeight="1">
      <c r="S1371" s="307">
        <f>INT((T1371-0)/6)+1</f>
        <v>229</v>
      </c>
      <c r="T1371" s="226">
        <f t="shared" si="78"/>
        <v>1368</v>
      </c>
      <c r="U1371" s="224">
        <f t="shared" si="76"/>
        <v>0</v>
      </c>
      <c r="V1371" s="225">
        <f t="shared" si="77"/>
        <v>2</v>
      </c>
      <c r="W1371" s="233">
        <f ca="1">$U1371*EWSpacingFt+XOffset+(PanArrayWidthHighEndFt-PanArrayWidthLowEndFt)/2</f>
        <v>0</v>
      </c>
      <c r="X1371" s="234">
        <f ca="1">$V1371*NSSpacingFt+YOffset+0</f>
        <v>35.999999999999979</v>
      </c>
      <c r="Y1371" s="235">
        <f ca="1">+$V1371*NSGradeFt+PedHeight+0</f>
        <v>7.401410761154855</v>
      </c>
      <c r="Z1371" s="214">
        <f ca="1">+$W1371</f>
        <v>0</v>
      </c>
      <c r="AA1371" s="214">
        <f ca="1">+$Y1371</f>
        <v>7.401410761154855</v>
      </c>
      <c r="AB1371" s="214">
        <f ca="1">+$X1371</f>
        <v>35.999999999999979</v>
      </c>
      <c r="AC1371" s="214">
        <f ca="1">+$W1371-XOffset</f>
        <v>0</v>
      </c>
    </row>
    <row r="1372" spans="19:29" ht="8.4" customHeight="1">
      <c r="S1372" s="307"/>
      <c r="T1372" s="226">
        <f t="shared" si="78"/>
        <v>1369</v>
      </c>
      <c r="U1372" s="224">
        <f t="shared" si="76"/>
        <v>0</v>
      </c>
      <c r="V1372" s="225">
        <f t="shared" si="77"/>
        <v>2</v>
      </c>
      <c r="W1372" s="236">
        <f ca="1">+$U1372*EWSpacingFt+XOffset+PanArrayWidthHighEndFt-(PanArrayWidthHighEndFt-PanArrayWidthLowEndFt)/2</f>
        <v>10.80282152230971</v>
      </c>
      <c r="X1372" s="240">
        <f ca="1">$V1372*NSSpacingFt+YOffset+0</f>
        <v>35.999999999999979</v>
      </c>
      <c r="Y1372" s="244">
        <f ca="1">+$V1372*NSGradeFt+PedHeight+0</f>
        <v>7.401410761154855</v>
      </c>
      <c r="Z1372" s="214">
        <f ca="1">+$W1372</f>
        <v>10.80282152230971</v>
      </c>
      <c r="AA1372" s="214">
        <f ca="1">+$Y1372</f>
        <v>7.401410761154855</v>
      </c>
      <c r="AB1372" s="214">
        <f ca="1">+$X1372</f>
        <v>35.999999999999979</v>
      </c>
      <c r="AC1372" s="214">
        <f ca="1">+$W1372-XOffset</f>
        <v>10.80282152230971</v>
      </c>
    </row>
    <row r="1373" spans="19:29" ht="8.4" customHeight="1">
      <c r="S1373" s="307"/>
      <c r="T1373" s="226">
        <f t="shared" si="78"/>
        <v>1370</v>
      </c>
      <c r="U1373" s="224">
        <f t="shared" si="76"/>
        <v>0</v>
      </c>
      <c r="V1373" s="225">
        <f t="shared" si="77"/>
        <v>2</v>
      </c>
      <c r="W1373" s="237">
        <f ca="1">$U1373*EWSpacingFt+XOffset+PanArrayWidthHighEndFt</f>
        <v>10.80282152230971</v>
      </c>
      <c r="X1373" s="241">
        <f ca="1">$V1373*NSSpacingFt+YOffset+PanArrayLenFt*COS(RADIANS(Latitude+DecAng))</f>
        <v>52.439632545931744</v>
      </c>
      <c r="Y1373" s="245">
        <f ca="1">+$V1373*NSGradeFt+PedHeight+PanArrayLenFt*SIN(RADIANS(Latitude+DecAng))</f>
        <v>7.401410761154855</v>
      </c>
      <c r="Z1373" s="214">
        <f ca="1">+$W1373</f>
        <v>10.80282152230971</v>
      </c>
      <c r="AA1373" s="214">
        <f ca="1">+$Y1373</f>
        <v>7.401410761154855</v>
      </c>
      <c r="AB1373" s="214">
        <f ca="1">+$X1373</f>
        <v>52.439632545931744</v>
      </c>
      <c r="AC1373" s="214">
        <f ca="1">+$W1373-XOffset</f>
        <v>10.80282152230971</v>
      </c>
    </row>
    <row r="1374" spans="19:29" ht="8.4" customHeight="1">
      <c r="S1374" s="307"/>
      <c r="T1374" s="226">
        <f t="shared" si="78"/>
        <v>1371</v>
      </c>
      <c r="U1374" s="224">
        <f t="shared" si="76"/>
        <v>0</v>
      </c>
      <c r="V1374" s="225">
        <f t="shared" si="77"/>
        <v>2</v>
      </c>
      <c r="W1374" s="238">
        <f ca="1">$U1374*EWSpacingFt+XOffset+0</f>
        <v>0</v>
      </c>
      <c r="X1374" s="242">
        <f ca="1">$V1374*NSSpacingFt+YOffset+PanArrayLenFt*COS(RADIANS(Latitude+DecAng))</f>
        <v>52.439632545931744</v>
      </c>
      <c r="Y1374" s="246">
        <f ca="1">+$V1374*NSGradeFt+PedHeight+PanArrayLenFt*SIN(RADIANS(Latitude+DecAng))</f>
        <v>7.401410761154855</v>
      </c>
      <c r="Z1374" s="214">
        <f ca="1">+$W1374</f>
        <v>0</v>
      </c>
      <c r="AA1374" s="214">
        <f ca="1">+$Y1374</f>
        <v>7.401410761154855</v>
      </c>
      <c r="AB1374" s="214">
        <f ca="1">+$X1374</f>
        <v>52.439632545931744</v>
      </c>
      <c r="AC1374" s="214">
        <f ca="1">+$W1374-XOffset</f>
        <v>0</v>
      </c>
    </row>
    <row r="1375" spans="19:29" ht="8.4" customHeight="1">
      <c r="S1375" s="307"/>
      <c r="T1375" s="226">
        <f t="shared" si="78"/>
        <v>1372</v>
      </c>
      <c r="U1375" s="224">
        <f t="shared" si="76"/>
        <v>0</v>
      </c>
      <c r="V1375" s="225">
        <f t="shared" si="77"/>
        <v>2</v>
      </c>
      <c r="W1375" s="239">
        <f ca="1">$U1375*EWSpacingFt+XOffset+(PanArrayWidthHighEndFt-PanArrayWidthLowEndFt)/2</f>
        <v>0</v>
      </c>
      <c r="X1375" s="243">
        <f ca="1">$V1375*NSSpacingFt+YOffset+0</f>
        <v>35.999999999999979</v>
      </c>
      <c r="Y1375" s="247">
        <f ca="1">+$V1375*NSGradeFt+PedHeight+0</f>
        <v>7.401410761154855</v>
      </c>
      <c r="Z1375" s="214">
        <f ca="1">+$W1375</f>
        <v>0</v>
      </c>
      <c r="AA1375" s="214">
        <f ca="1">+$Y1375</f>
        <v>7.401410761154855</v>
      </c>
      <c r="AB1375" s="214">
        <f ca="1">+$X1375</f>
        <v>35.999999999999979</v>
      </c>
      <c r="AC1375" s="214">
        <f ca="1">+$W1375-XOffset</f>
        <v>0</v>
      </c>
    </row>
    <row r="1376" spans="19:29" ht="8.4" customHeight="1">
      <c r="S1376" s="307"/>
      <c r="T1376" s="226">
        <f t="shared" si="78"/>
        <v>1373</v>
      </c>
      <c r="U1376" s="224">
        <f t="shared" si="76"/>
        <v>0</v>
      </c>
      <c r="V1376" s="225">
        <f t="shared" si="77"/>
        <v>2</v>
      </c>
      <c r="W1376" s="217"/>
      <c r="X1376" s="217"/>
      <c r="Y1376" s="217"/>
      <c r="Z1376" s="214"/>
      <c r="AA1376" s="214"/>
      <c r="AB1376" s="214"/>
      <c r="AC1376" s="214"/>
    </row>
    <row r="1377" spans="19:29" ht="8.4" customHeight="1">
      <c r="S1377" s="307">
        <f>INT((T1377-0)/6)+1</f>
        <v>230</v>
      </c>
      <c r="T1377" s="226">
        <f t="shared" si="78"/>
        <v>1374</v>
      </c>
      <c r="U1377" s="224">
        <f t="shared" si="76"/>
        <v>1</v>
      </c>
      <c r="V1377" s="225">
        <f t="shared" si="77"/>
        <v>2</v>
      </c>
      <c r="W1377" s="233">
        <f ca="1">$U1377*EWSpacingFt+XOffset+(PanArrayWidthHighEndFt-PanArrayWidthLowEndFt)/2</f>
        <v>30.000006832286932</v>
      </c>
      <c r="X1377" s="234">
        <f ca="1">$V1377*NSSpacingFt+YOffset+0</f>
        <v>35.999999999999979</v>
      </c>
      <c r="Y1377" s="235">
        <f ca="1">+$V1377*NSGradeFt+PedHeight+0</f>
        <v>7.401410761154855</v>
      </c>
      <c r="Z1377" s="214">
        <f ca="1">+$W1377</f>
        <v>30.000006832286932</v>
      </c>
      <c r="AA1377" s="214">
        <f ca="1">+$Y1377</f>
        <v>7.401410761154855</v>
      </c>
      <c r="AB1377" s="214">
        <f ca="1">+$X1377</f>
        <v>35.999999999999979</v>
      </c>
      <c r="AC1377" s="214">
        <f ca="1">+$W1377-XOffset</f>
        <v>30.000006832286932</v>
      </c>
    </row>
    <row r="1378" spans="19:29" ht="8.4" customHeight="1">
      <c r="S1378" s="307"/>
      <c r="T1378" s="226">
        <f t="shared" si="78"/>
        <v>1375</v>
      </c>
      <c r="U1378" s="224">
        <f t="shared" si="76"/>
        <v>1</v>
      </c>
      <c r="V1378" s="225">
        <f t="shared" si="77"/>
        <v>2</v>
      </c>
      <c r="W1378" s="236">
        <f ca="1">+$U1378*EWSpacingFt+XOffset+PanArrayWidthHighEndFt-(PanArrayWidthHighEndFt-PanArrayWidthLowEndFt)/2</f>
        <v>40.802828354596642</v>
      </c>
      <c r="X1378" s="240">
        <f ca="1">$V1378*NSSpacingFt+YOffset+0</f>
        <v>35.999999999999979</v>
      </c>
      <c r="Y1378" s="244">
        <f ca="1">+$V1378*NSGradeFt+PedHeight+0</f>
        <v>7.401410761154855</v>
      </c>
      <c r="Z1378" s="214">
        <f ca="1">+$W1378</f>
        <v>40.802828354596642</v>
      </c>
      <c r="AA1378" s="214">
        <f ca="1">+$Y1378</f>
        <v>7.401410761154855</v>
      </c>
      <c r="AB1378" s="214">
        <f ca="1">+$X1378</f>
        <v>35.999999999999979</v>
      </c>
      <c r="AC1378" s="214">
        <f ca="1">+$W1378-XOffset</f>
        <v>40.802828354596642</v>
      </c>
    </row>
    <row r="1379" spans="19:29" ht="8.4" customHeight="1">
      <c r="S1379" s="307"/>
      <c r="T1379" s="226">
        <f t="shared" si="78"/>
        <v>1376</v>
      </c>
      <c r="U1379" s="224">
        <f t="shared" si="76"/>
        <v>1</v>
      </c>
      <c r="V1379" s="225">
        <f t="shared" si="77"/>
        <v>2</v>
      </c>
      <c r="W1379" s="237">
        <f ca="1">$U1379*EWSpacingFt+XOffset+PanArrayWidthHighEndFt</f>
        <v>40.802828354596642</v>
      </c>
      <c r="X1379" s="241">
        <f ca="1">$V1379*NSSpacingFt+YOffset+PanArrayLenFt*COS(RADIANS(Latitude+DecAng))</f>
        <v>52.439632545931744</v>
      </c>
      <c r="Y1379" s="245">
        <f ca="1">+$V1379*NSGradeFt+PedHeight+PanArrayLenFt*SIN(RADIANS(Latitude+DecAng))</f>
        <v>7.401410761154855</v>
      </c>
      <c r="Z1379" s="214">
        <f ca="1">+$W1379</f>
        <v>40.802828354596642</v>
      </c>
      <c r="AA1379" s="214">
        <f ca="1">+$Y1379</f>
        <v>7.401410761154855</v>
      </c>
      <c r="AB1379" s="214">
        <f ca="1">+$X1379</f>
        <v>52.439632545931744</v>
      </c>
      <c r="AC1379" s="214">
        <f ca="1">+$W1379-XOffset</f>
        <v>40.802828354596642</v>
      </c>
    </row>
    <row r="1380" spans="19:29" ht="8.4" customHeight="1">
      <c r="S1380" s="307"/>
      <c r="T1380" s="226">
        <f t="shared" si="78"/>
        <v>1377</v>
      </c>
      <c r="U1380" s="224">
        <f t="shared" si="76"/>
        <v>1</v>
      </c>
      <c r="V1380" s="225">
        <f t="shared" si="77"/>
        <v>2</v>
      </c>
      <c r="W1380" s="238">
        <f ca="1">$U1380*EWSpacingFt+XOffset+0</f>
        <v>30.000006832286932</v>
      </c>
      <c r="X1380" s="242">
        <f ca="1">$V1380*NSSpacingFt+YOffset+PanArrayLenFt*COS(RADIANS(Latitude+DecAng))</f>
        <v>52.439632545931744</v>
      </c>
      <c r="Y1380" s="246">
        <f ca="1">+$V1380*NSGradeFt+PedHeight+PanArrayLenFt*SIN(RADIANS(Latitude+DecAng))</f>
        <v>7.401410761154855</v>
      </c>
      <c r="Z1380" s="214">
        <f ca="1">+$W1380</f>
        <v>30.000006832286932</v>
      </c>
      <c r="AA1380" s="214">
        <f ca="1">+$Y1380</f>
        <v>7.401410761154855</v>
      </c>
      <c r="AB1380" s="214">
        <f ca="1">+$X1380</f>
        <v>52.439632545931744</v>
      </c>
      <c r="AC1380" s="214">
        <f ca="1">+$W1380-XOffset</f>
        <v>30.000006832286932</v>
      </c>
    </row>
    <row r="1381" spans="19:29" ht="8.4" customHeight="1">
      <c r="S1381" s="307"/>
      <c r="T1381" s="226">
        <f t="shared" si="78"/>
        <v>1378</v>
      </c>
      <c r="U1381" s="224">
        <f t="shared" si="76"/>
        <v>1</v>
      </c>
      <c r="V1381" s="225">
        <f t="shared" si="77"/>
        <v>2</v>
      </c>
      <c r="W1381" s="239">
        <f ca="1">$U1381*EWSpacingFt+XOffset+(PanArrayWidthHighEndFt-PanArrayWidthLowEndFt)/2</f>
        <v>30.000006832286932</v>
      </c>
      <c r="X1381" s="243">
        <f ca="1">$V1381*NSSpacingFt+YOffset+0</f>
        <v>35.999999999999979</v>
      </c>
      <c r="Y1381" s="247">
        <f ca="1">+$V1381*NSGradeFt+PedHeight+0</f>
        <v>7.401410761154855</v>
      </c>
      <c r="Z1381" s="214">
        <f ca="1">+$W1381</f>
        <v>30.000006832286932</v>
      </c>
      <c r="AA1381" s="214">
        <f ca="1">+$Y1381</f>
        <v>7.401410761154855</v>
      </c>
      <c r="AB1381" s="214">
        <f ca="1">+$X1381</f>
        <v>35.999999999999979</v>
      </c>
      <c r="AC1381" s="214">
        <f ca="1">+$W1381-XOffset</f>
        <v>30.000006832286932</v>
      </c>
    </row>
    <row r="1382" spans="19:29" ht="8.4" customHeight="1">
      <c r="S1382" s="307"/>
      <c r="T1382" s="226">
        <f t="shared" si="78"/>
        <v>1379</v>
      </c>
      <c r="U1382" s="224">
        <f t="shared" si="76"/>
        <v>1</v>
      </c>
      <c r="V1382" s="225">
        <f t="shared" si="77"/>
        <v>2</v>
      </c>
      <c r="W1382" s="217"/>
      <c r="X1382" s="217"/>
      <c r="Y1382" s="217"/>
      <c r="Z1382" s="214"/>
      <c r="AA1382" s="214"/>
      <c r="AB1382" s="214"/>
      <c r="AC1382" s="214"/>
    </row>
    <row r="1383" spans="19:29" ht="8.4" customHeight="1">
      <c r="S1383" s="307">
        <f>INT((T1383-0)/6)+1</f>
        <v>231</v>
      </c>
      <c r="T1383" s="226">
        <f t="shared" si="78"/>
        <v>1380</v>
      </c>
      <c r="U1383" s="224">
        <f t="shared" si="76"/>
        <v>0</v>
      </c>
      <c r="V1383" s="225">
        <f t="shared" si="77"/>
        <v>3</v>
      </c>
      <c r="W1383" s="233">
        <f ca="1">$U1383*EWSpacingFt+XOffset+(PanArrayWidthHighEndFt-PanArrayWidthLowEndFt)/2</f>
        <v>0</v>
      </c>
      <c r="X1383" s="234">
        <f ca="1">$V1383*NSSpacingFt+YOffset+0</f>
        <v>53.999999999999972</v>
      </c>
      <c r="Y1383" s="235">
        <f ca="1">+$V1383*NSGradeFt+PedHeight+0</f>
        <v>7.401410761154855</v>
      </c>
      <c r="Z1383" s="214">
        <f ca="1">+$W1383</f>
        <v>0</v>
      </c>
      <c r="AA1383" s="214">
        <f ca="1">+$Y1383</f>
        <v>7.401410761154855</v>
      </c>
      <c r="AB1383" s="214">
        <f ca="1">+$X1383</f>
        <v>53.999999999999972</v>
      </c>
      <c r="AC1383" s="214">
        <f ca="1">+$W1383-XOffset</f>
        <v>0</v>
      </c>
    </row>
    <row r="1384" spans="19:29" ht="8.4" customHeight="1">
      <c r="S1384" s="307"/>
      <c r="T1384" s="226">
        <f t="shared" si="78"/>
        <v>1381</v>
      </c>
      <c r="U1384" s="224">
        <f t="shared" si="76"/>
        <v>0</v>
      </c>
      <c r="V1384" s="225">
        <f t="shared" si="77"/>
        <v>3</v>
      </c>
      <c r="W1384" s="236">
        <f ca="1">+$U1384*EWSpacingFt+XOffset+PanArrayWidthHighEndFt-(PanArrayWidthHighEndFt-PanArrayWidthLowEndFt)/2</f>
        <v>10.80282152230971</v>
      </c>
      <c r="X1384" s="240">
        <f ca="1">$V1384*NSSpacingFt+YOffset+0</f>
        <v>53.999999999999972</v>
      </c>
      <c r="Y1384" s="244">
        <f ca="1">+$V1384*NSGradeFt+PedHeight+0</f>
        <v>7.401410761154855</v>
      </c>
      <c r="Z1384" s="214">
        <f ca="1">+$W1384</f>
        <v>10.80282152230971</v>
      </c>
      <c r="AA1384" s="214">
        <f ca="1">+$Y1384</f>
        <v>7.401410761154855</v>
      </c>
      <c r="AB1384" s="214">
        <f ca="1">+$X1384</f>
        <v>53.999999999999972</v>
      </c>
      <c r="AC1384" s="214">
        <f ca="1">+$W1384-XOffset</f>
        <v>10.80282152230971</v>
      </c>
    </row>
    <row r="1385" spans="19:29" ht="8.4" customHeight="1">
      <c r="S1385" s="307"/>
      <c r="T1385" s="226">
        <f t="shared" si="78"/>
        <v>1382</v>
      </c>
      <c r="U1385" s="224">
        <f t="shared" si="76"/>
        <v>0</v>
      </c>
      <c r="V1385" s="225">
        <f t="shared" si="77"/>
        <v>3</v>
      </c>
      <c r="W1385" s="237">
        <f ca="1">$U1385*EWSpacingFt+XOffset+PanArrayWidthHighEndFt</f>
        <v>10.80282152230971</v>
      </c>
      <c r="X1385" s="241">
        <f ca="1">$V1385*NSSpacingFt+YOffset+PanArrayLenFt*COS(RADIANS(Latitude+DecAng))</f>
        <v>70.43963254593173</v>
      </c>
      <c r="Y1385" s="245">
        <f ca="1">+$V1385*NSGradeFt+PedHeight+PanArrayLenFt*SIN(RADIANS(Latitude+DecAng))</f>
        <v>7.401410761154855</v>
      </c>
      <c r="Z1385" s="214">
        <f ca="1">+$W1385</f>
        <v>10.80282152230971</v>
      </c>
      <c r="AA1385" s="214">
        <f ca="1">+$Y1385</f>
        <v>7.401410761154855</v>
      </c>
      <c r="AB1385" s="214">
        <f ca="1">+$X1385</f>
        <v>70.43963254593173</v>
      </c>
      <c r="AC1385" s="214">
        <f ca="1">+$W1385-XOffset</f>
        <v>10.80282152230971</v>
      </c>
    </row>
    <row r="1386" spans="19:29" ht="8.4" customHeight="1">
      <c r="S1386" s="307"/>
      <c r="T1386" s="226">
        <f t="shared" si="78"/>
        <v>1383</v>
      </c>
      <c r="U1386" s="224">
        <f t="shared" si="76"/>
        <v>0</v>
      </c>
      <c r="V1386" s="225">
        <f t="shared" si="77"/>
        <v>3</v>
      </c>
      <c r="W1386" s="238">
        <f ca="1">$U1386*EWSpacingFt+XOffset+0</f>
        <v>0</v>
      </c>
      <c r="X1386" s="242">
        <f ca="1">$V1386*NSSpacingFt+YOffset+PanArrayLenFt*COS(RADIANS(Latitude+DecAng))</f>
        <v>70.43963254593173</v>
      </c>
      <c r="Y1386" s="246">
        <f ca="1">+$V1386*NSGradeFt+PedHeight+PanArrayLenFt*SIN(RADIANS(Latitude+DecAng))</f>
        <v>7.401410761154855</v>
      </c>
      <c r="Z1386" s="214">
        <f ca="1">+$W1386</f>
        <v>0</v>
      </c>
      <c r="AA1386" s="214">
        <f ca="1">+$Y1386</f>
        <v>7.401410761154855</v>
      </c>
      <c r="AB1386" s="214">
        <f ca="1">+$X1386</f>
        <v>70.43963254593173</v>
      </c>
      <c r="AC1386" s="214">
        <f ca="1">+$W1386-XOffset</f>
        <v>0</v>
      </c>
    </row>
    <row r="1387" spans="19:29" ht="8.4" customHeight="1">
      <c r="S1387" s="307"/>
      <c r="T1387" s="226">
        <f t="shared" si="78"/>
        <v>1384</v>
      </c>
      <c r="U1387" s="224">
        <f t="shared" si="76"/>
        <v>0</v>
      </c>
      <c r="V1387" s="225">
        <f t="shared" si="77"/>
        <v>3</v>
      </c>
      <c r="W1387" s="239">
        <f ca="1">$U1387*EWSpacingFt+XOffset+(PanArrayWidthHighEndFt-PanArrayWidthLowEndFt)/2</f>
        <v>0</v>
      </c>
      <c r="X1387" s="243">
        <f ca="1">$V1387*NSSpacingFt+YOffset+0</f>
        <v>53.999999999999972</v>
      </c>
      <c r="Y1387" s="247">
        <f ca="1">+$V1387*NSGradeFt+PedHeight+0</f>
        <v>7.401410761154855</v>
      </c>
      <c r="Z1387" s="214">
        <f ca="1">+$W1387</f>
        <v>0</v>
      </c>
      <c r="AA1387" s="214">
        <f ca="1">+$Y1387</f>
        <v>7.401410761154855</v>
      </c>
      <c r="AB1387" s="214">
        <f ca="1">+$X1387</f>
        <v>53.999999999999972</v>
      </c>
      <c r="AC1387" s="214">
        <f ca="1">+$W1387-XOffset</f>
        <v>0</v>
      </c>
    </row>
    <row r="1388" spans="19:29" ht="8.4" customHeight="1">
      <c r="S1388" s="307"/>
      <c r="T1388" s="226">
        <f t="shared" si="78"/>
        <v>1385</v>
      </c>
      <c r="U1388" s="224">
        <f t="shared" si="76"/>
        <v>0</v>
      </c>
      <c r="V1388" s="225">
        <f t="shared" si="77"/>
        <v>3</v>
      </c>
      <c r="W1388" s="217"/>
      <c r="X1388" s="217"/>
      <c r="Y1388" s="217"/>
      <c r="Z1388" s="214"/>
      <c r="AA1388" s="214"/>
      <c r="AB1388" s="214"/>
      <c r="AC1388" s="214"/>
    </row>
    <row r="1389" spans="19:29" ht="8.4" customHeight="1">
      <c r="S1389" s="307">
        <f>INT((T1389-0)/6)+1</f>
        <v>232</v>
      </c>
      <c r="T1389" s="226">
        <f t="shared" si="78"/>
        <v>1386</v>
      </c>
      <c r="U1389" s="224">
        <f t="shared" si="76"/>
        <v>1</v>
      </c>
      <c r="V1389" s="225">
        <f t="shared" si="77"/>
        <v>3</v>
      </c>
      <c r="W1389" s="233">
        <f ca="1">$U1389*EWSpacingFt+XOffset+(PanArrayWidthHighEndFt-PanArrayWidthLowEndFt)/2</f>
        <v>30.000006832286932</v>
      </c>
      <c r="X1389" s="234">
        <f ca="1">$V1389*NSSpacingFt+YOffset+0</f>
        <v>53.999999999999972</v>
      </c>
      <c r="Y1389" s="235">
        <f ca="1">+$V1389*NSGradeFt+PedHeight+0</f>
        <v>7.401410761154855</v>
      </c>
      <c r="Z1389" s="214">
        <f ca="1">+$W1389</f>
        <v>30.000006832286932</v>
      </c>
      <c r="AA1389" s="214">
        <f ca="1">+$Y1389</f>
        <v>7.401410761154855</v>
      </c>
      <c r="AB1389" s="214">
        <f ca="1">+$X1389</f>
        <v>53.999999999999972</v>
      </c>
      <c r="AC1389" s="214">
        <f ca="1">+$W1389-XOffset</f>
        <v>30.000006832286932</v>
      </c>
    </row>
    <row r="1390" spans="19:29" ht="8.4" customHeight="1">
      <c r="S1390" s="307"/>
      <c r="T1390" s="226">
        <f t="shared" si="78"/>
        <v>1387</v>
      </c>
      <c r="U1390" s="224">
        <f t="shared" si="76"/>
        <v>1</v>
      </c>
      <c r="V1390" s="225">
        <f t="shared" si="77"/>
        <v>3</v>
      </c>
      <c r="W1390" s="236">
        <f ca="1">+$U1390*EWSpacingFt+XOffset+PanArrayWidthHighEndFt-(PanArrayWidthHighEndFt-PanArrayWidthLowEndFt)/2</f>
        <v>40.802828354596642</v>
      </c>
      <c r="X1390" s="240">
        <f ca="1">$V1390*NSSpacingFt+YOffset+0</f>
        <v>53.999999999999972</v>
      </c>
      <c r="Y1390" s="244">
        <f ca="1">+$V1390*NSGradeFt+PedHeight+0</f>
        <v>7.401410761154855</v>
      </c>
      <c r="Z1390" s="214">
        <f ca="1">+$W1390</f>
        <v>40.802828354596642</v>
      </c>
      <c r="AA1390" s="214">
        <f ca="1">+$Y1390</f>
        <v>7.401410761154855</v>
      </c>
      <c r="AB1390" s="214">
        <f ca="1">+$X1390</f>
        <v>53.999999999999972</v>
      </c>
      <c r="AC1390" s="214">
        <f ca="1">+$W1390-XOffset</f>
        <v>40.802828354596642</v>
      </c>
    </row>
    <row r="1391" spans="19:29" ht="8.4" customHeight="1">
      <c r="S1391" s="307"/>
      <c r="T1391" s="226">
        <f t="shared" si="78"/>
        <v>1388</v>
      </c>
      <c r="U1391" s="224">
        <f t="shared" si="76"/>
        <v>1</v>
      </c>
      <c r="V1391" s="225">
        <f t="shared" si="77"/>
        <v>3</v>
      </c>
      <c r="W1391" s="237">
        <f ca="1">$U1391*EWSpacingFt+XOffset+PanArrayWidthHighEndFt</f>
        <v>40.802828354596642</v>
      </c>
      <c r="X1391" s="241">
        <f ca="1">$V1391*NSSpacingFt+YOffset+PanArrayLenFt*COS(RADIANS(Latitude+DecAng))</f>
        <v>70.43963254593173</v>
      </c>
      <c r="Y1391" s="245">
        <f ca="1">+$V1391*NSGradeFt+PedHeight+PanArrayLenFt*SIN(RADIANS(Latitude+DecAng))</f>
        <v>7.401410761154855</v>
      </c>
      <c r="Z1391" s="214">
        <f ca="1">+$W1391</f>
        <v>40.802828354596642</v>
      </c>
      <c r="AA1391" s="214">
        <f ca="1">+$Y1391</f>
        <v>7.401410761154855</v>
      </c>
      <c r="AB1391" s="214">
        <f ca="1">+$X1391</f>
        <v>70.43963254593173</v>
      </c>
      <c r="AC1391" s="214">
        <f ca="1">+$W1391-XOffset</f>
        <v>40.802828354596642</v>
      </c>
    </row>
    <row r="1392" spans="19:29" ht="8.4" customHeight="1">
      <c r="S1392" s="307"/>
      <c r="T1392" s="226">
        <f t="shared" si="78"/>
        <v>1389</v>
      </c>
      <c r="U1392" s="224">
        <f t="shared" si="76"/>
        <v>1</v>
      </c>
      <c r="V1392" s="225">
        <f t="shared" si="77"/>
        <v>3</v>
      </c>
      <c r="W1392" s="238">
        <f ca="1">$U1392*EWSpacingFt+XOffset+0</f>
        <v>30.000006832286932</v>
      </c>
      <c r="X1392" s="242">
        <f ca="1">$V1392*NSSpacingFt+YOffset+PanArrayLenFt*COS(RADIANS(Latitude+DecAng))</f>
        <v>70.43963254593173</v>
      </c>
      <c r="Y1392" s="246">
        <f ca="1">+$V1392*NSGradeFt+PedHeight+PanArrayLenFt*SIN(RADIANS(Latitude+DecAng))</f>
        <v>7.401410761154855</v>
      </c>
      <c r="Z1392" s="214">
        <f ca="1">+$W1392</f>
        <v>30.000006832286932</v>
      </c>
      <c r="AA1392" s="214">
        <f ca="1">+$Y1392</f>
        <v>7.401410761154855</v>
      </c>
      <c r="AB1392" s="214">
        <f ca="1">+$X1392</f>
        <v>70.43963254593173</v>
      </c>
      <c r="AC1392" s="214">
        <f ca="1">+$W1392-XOffset</f>
        <v>30.000006832286932</v>
      </c>
    </row>
    <row r="1393" spans="19:29" ht="8.4" customHeight="1">
      <c r="S1393" s="307"/>
      <c r="T1393" s="226">
        <f t="shared" si="78"/>
        <v>1390</v>
      </c>
      <c r="U1393" s="224">
        <f t="shared" si="76"/>
        <v>1</v>
      </c>
      <c r="V1393" s="225">
        <f t="shared" si="77"/>
        <v>3</v>
      </c>
      <c r="W1393" s="239">
        <f ca="1">$U1393*EWSpacingFt+XOffset+(PanArrayWidthHighEndFt-PanArrayWidthLowEndFt)/2</f>
        <v>30.000006832286932</v>
      </c>
      <c r="X1393" s="243">
        <f ca="1">$V1393*NSSpacingFt+YOffset+0</f>
        <v>53.999999999999972</v>
      </c>
      <c r="Y1393" s="247">
        <f ca="1">+$V1393*NSGradeFt+PedHeight+0</f>
        <v>7.401410761154855</v>
      </c>
      <c r="Z1393" s="214">
        <f ca="1">+$W1393</f>
        <v>30.000006832286932</v>
      </c>
      <c r="AA1393" s="214">
        <f ca="1">+$Y1393</f>
        <v>7.401410761154855</v>
      </c>
      <c r="AB1393" s="214">
        <f ca="1">+$X1393</f>
        <v>53.999999999999972</v>
      </c>
      <c r="AC1393" s="214">
        <f ca="1">+$W1393-XOffset</f>
        <v>30.000006832286932</v>
      </c>
    </row>
    <row r="1394" spans="19:29" ht="8.4" customHeight="1">
      <c r="S1394" s="307"/>
      <c r="T1394" s="226">
        <f t="shared" si="78"/>
        <v>1391</v>
      </c>
      <c r="U1394" s="224">
        <f t="shared" si="76"/>
        <v>1</v>
      </c>
      <c r="V1394" s="225">
        <f t="shared" si="77"/>
        <v>3</v>
      </c>
      <c r="W1394" s="217"/>
      <c r="X1394" s="217"/>
      <c r="Y1394" s="217"/>
      <c r="Z1394" s="214"/>
      <c r="AA1394" s="214"/>
      <c r="AB1394" s="214"/>
      <c r="AC1394" s="214"/>
    </row>
    <row r="1395" spans="19:29" ht="8.4" customHeight="1">
      <c r="S1395" s="307">
        <f>INT((T1395-0)/6)+1</f>
        <v>233</v>
      </c>
      <c r="T1395" s="226">
        <f t="shared" si="78"/>
        <v>1392</v>
      </c>
      <c r="U1395" s="224">
        <f t="shared" si="76"/>
        <v>0</v>
      </c>
      <c r="V1395" s="225">
        <f t="shared" si="77"/>
        <v>0</v>
      </c>
      <c r="W1395" s="233">
        <f ca="1">$U1395*EWSpacingFt+XOffset+(PanArrayWidthHighEndFt-PanArrayWidthLowEndFt)/2</f>
        <v>0</v>
      </c>
      <c r="X1395" s="234">
        <f ca="1">$V1395*NSSpacingFt+YOffset+0</f>
        <v>0</v>
      </c>
      <c r="Y1395" s="235">
        <f ca="1">+$V1395*NSGradeFt+PedHeight+0</f>
        <v>7.401410761154855</v>
      </c>
      <c r="Z1395" s="214">
        <f ca="1">+$W1395</f>
        <v>0</v>
      </c>
      <c r="AA1395" s="214">
        <f ca="1">+$Y1395</f>
        <v>7.401410761154855</v>
      </c>
      <c r="AB1395" s="214">
        <f ca="1">+$X1395</f>
        <v>0</v>
      </c>
      <c r="AC1395" s="214">
        <f ca="1">+$W1395-XOffset</f>
        <v>0</v>
      </c>
    </row>
    <row r="1396" spans="19:29" ht="8.4" customHeight="1">
      <c r="S1396" s="307"/>
      <c r="T1396" s="226">
        <f t="shared" si="78"/>
        <v>1393</v>
      </c>
      <c r="U1396" s="224">
        <f t="shared" si="76"/>
        <v>0</v>
      </c>
      <c r="V1396" s="225">
        <f t="shared" si="77"/>
        <v>0</v>
      </c>
      <c r="W1396" s="236">
        <f ca="1">+$U1396*EWSpacingFt+XOffset+PanArrayWidthHighEndFt-(PanArrayWidthHighEndFt-PanArrayWidthLowEndFt)/2</f>
        <v>10.80282152230971</v>
      </c>
      <c r="X1396" s="240">
        <f ca="1">$V1396*NSSpacingFt+YOffset+0</f>
        <v>0</v>
      </c>
      <c r="Y1396" s="244">
        <f ca="1">+$V1396*NSGradeFt+PedHeight+0</f>
        <v>7.401410761154855</v>
      </c>
      <c r="Z1396" s="214">
        <f ca="1">+$W1396</f>
        <v>10.80282152230971</v>
      </c>
      <c r="AA1396" s="214">
        <f ca="1">+$Y1396</f>
        <v>7.401410761154855</v>
      </c>
      <c r="AB1396" s="214">
        <f ca="1">+$X1396</f>
        <v>0</v>
      </c>
      <c r="AC1396" s="214">
        <f ca="1">+$W1396-XOffset</f>
        <v>10.80282152230971</v>
      </c>
    </row>
    <row r="1397" spans="19:29" ht="8.4" customHeight="1">
      <c r="S1397" s="307"/>
      <c r="T1397" s="226">
        <f t="shared" si="78"/>
        <v>1394</v>
      </c>
      <c r="U1397" s="224">
        <f t="shared" si="76"/>
        <v>0</v>
      </c>
      <c r="V1397" s="225">
        <f t="shared" si="77"/>
        <v>0</v>
      </c>
      <c r="W1397" s="237">
        <f ca="1">$U1397*EWSpacingFt+XOffset+PanArrayWidthHighEndFt</f>
        <v>10.80282152230971</v>
      </c>
      <c r="X1397" s="241">
        <f ca="1">$V1397*NSSpacingFt+YOffset+PanArrayLenFt*COS(RADIANS(Latitude+DecAng))</f>
        <v>16.439632545931762</v>
      </c>
      <c r="Y1397" s="245">
        <f ca="1">+$V1397*NSGradeFt+PedHeight+PanArrayLenFt*SIN(RADIANS(Latitude+DecAng))</f>
        <v>7.401410761154855</v>
      </c>
      <c r="Z1397" s="214">
        <f ca="1">+$W1397</f>
        <v>10.80282152230971</v>
      </c>
      <c r="AA1397" s="214">
        <f ca="1">+$Y1397</f>
        <v>7.401410761154855</v>
      </c>
      <c r="AB1397" s="214">
        <f ca="1">+$X1397</f>
        <v>16.439632545931762</v>
      </c>
      <c r="AC1397" s="214">
        <f ca="1">+$W1397-XOffset</f>
        <v>10.80282152230971</v>
      </c>
    </row>
    <row r="1398" spans="19:29" ht="8.4" customHeight="1">
      <c r="S1398" s="307"/>
      <c r="T1398" s="226">
        <f t="shared" si="78"/>
        <v>1395</v>
      </c>
      <c r="U1398" s="224">
        <f t="shared" si="76"/>
        <v>0</v>
      </c>
      <c r="V1398" s="225">
        <f t="shared" si="77"/>
        <v>0</v>
      </c>
      <c r="W1398" s="238">
        <f ca="1">$U1398*EWSpacingFt+XOffset+0</f>
        <v>0</v>
      </c>
      <c r="X1398" s="242">
        <f ca="1">$V1398*NSSpacingFt+YOffset+PanArrayLenFt*COS(RADIANS(Latitude+DecAng))</f>
        <v>16.439632545931762</v>
      </c>
      <c r="Y1398" s="246">
        <f ca="1">+$V1398*NSGradeFt+PedHeight+PanArrayLenFt*SIN(RADIANS(Latitude+DecAng))</f>
        <v>7.401410761154855</v>
      </c>
      <c r="Z1398" s="214">
        <f ca="1">+$W1398</f>
        <v>0</v>
      </c>
      <c r="AA1398" s="214">
        <f ca="1">+$Y1398</f>
        <v>7.401410761154855</v>
      </c>
      <c r="AB1398" s="214">
        <f ca="1">+$X1398</f>
        <v>16.439632545931762</v>
      </c>
      <c r="AC1398" s="214">
        <f ca="1">+$W1398-XOffset</f>
        <v>0</v>
      </c>
    </row>
    <row r="1399" spans="19:29" ht="8.4" customHeight="1">
      <c r="S1399" s="307"/>
      <c r="T1399" s="226">
        <f t="shared" si="78"/>
        <v>1396</v>
      </c>
      <c r="U1399" s="224">
        <f t="shared" si="76"/>
        <v>0</v>
      </c>
      <c r="V1399" s="225">
        <f t="shared" si="77"/>
        <v>0</v>
      </c>
      <c r="W1399" s="239">
        <f ca="1">$U1399*EWSpacingFt+XOffset+(PanArrayWidthHighEndFt-PanArrayWidthLowEndFt)/2</f>
        <v>0</v>
      </c>
      <c r="X1399" s="243">
        <f ca="1">$V1399*NSSpacingFt+YOffset+0</f>
        <v>0</v>
      </c>
      <c r="Y1399" s="247">
        <f ca="1">+$V1399*NSGradeFt+PedHeight+0</f>
        <v>7.401410761154855</v>
      </c>
      <c r="Z1399" s="214">
        <f ca="1">+$W1399</f>
        <v>0</v>
      </c>
      <c r="AA1399" s="214">
        <f ca="1">+$Y1399</f>
        <v>7.401410761154855</v>
      </c>
      <c r="AB1399" s="214">
        <f ca="1">+$X1399</f>
        <v>0</v>
      </c>
      <c r="AC1399" s="214">
        <f ca="1">+$W1399-XOffset</f>
        <v>0</v>
      </c>
    </row>
    <row r="1400" spans="19:29" ht="8.4" customHeight="1">
      <c r="S1400" s="307"/>
      <c r="T1400" s="226">
        <f t="shared" si="78"/>
        <v>1397</v>
      </c>
      <c r="U1400" s="224">
        <f t="shared" si="76"/>
        <v>0</v>
      </c>
      <c r="V1400" s="225">
        <f t="shared" si="77"/>
        <v>0</v>
      </c>
      <c r="W1400" s="217"/>
      <c r="X1400" s="217"/>
      <c r="Y1400" s="217"/>
      <c r="Z1400" s="214"/>
      <c r="AA1400" s="214"/>
      <c r="AB1400" s="214"/>
      <c r="AC1400" s="214"/>
    </row>
    <row r="1401" spans="19:29" ht="8.4" customHeight="1">
      <c r="S1401" s="307">
        <f>INT((T1401-0)/6)+1</f>
        <v>234</v>
      </c>
      <c r="T1401" s="226">
        <f t="shared" si="78"/>
        <v>1398</v>
      </c>
      <c r="U1401" s="224">
        <f t="shared" si="76"/>
        <v>1</v>
      </c>
      <c r="V1401" s="225">
        <f t="shared" si="77"/>
        <v>0</v>
      </c>
      <c r="W1401" s="233">
        <f ca="1">$U1401*EWSpacingFt+XOffset+(PanArrayWidthHighEndFt-PanArrayWidthLowEndFt)/2</f>
        <v>30.000006832286932</v>
      </c>
      <c r="X1401" s="234">
        <f ca="1">$V1401*NSSpacingFt+YOffset+0</f>
        <v>0</v>
      </c>
      <c r="Y1401" s="235">
        <f ca="1">+$V1401*NSGradeFt+PedHeight+0</f>
        <v>7.401410761154855</v>
      </c>
      <c r="Z1401" s="214">
        <f ca="1">+$W1401</f>
        <v>30.000006832286932</v>
      </c>
      <c r="AA1401" s="214">
        <f ca="1">+$Y1401</f>
        <v>7.401410761154855</v>
      </c>
      <c r="AB1401" s="214">
        <f ca="1">+$X1401</f>
        <v>0</v>
      </c>
      <c r="AC1401" s="214">
        <f ca="1">+$W1401-XOffset</f>
        <v>30.000006832286932</v>
      </c>
    </row>
    <row r="1402" spans="19:29" ht="8.4" customHeight="1">
      <c r="S1402" s="307"/>
      <c r="T1402" s="226">
        <f t="shared" si="78"/>
        <v>1399</v>
      </c>
      <c r="U1402" s="224">
        <f t="shared" si="76"/>
        <v>1</v>
      </c>
      <c r="V1402" s="225">
        <f t="shared" si="77"/>
        <v>0</v>
      </c>
      <c r="W1402" s="236">
        <f ca="1">+$U1402*EWSpacingFt+XOffset+PanArrayWidthHighEndFt-(PanArrayWidthHighEndFt-PanArrayWidthLowEndFt)/2</f>
        <v>40.802828354596642</v>
      </c>
      <c r="X1402" s="240">
        <f ca="1">$V1402*NSSpacingFt+YOffset+0</f>
        <v>0</v>
      </c>
      <c r="Y1402" s="244">
        <f ca="1">+$V1402*NSGradeFt+PedHeight+0</f>
        <v>7.401410761154855</v>
      </c>
      <c r="Z1402" s="214">
        <f ca="1">+$W1402</f>
        <v>40.802828354596642</v>
      </c>
      <c r="AA1402" s="214">
        <f ca="1">+$Y1402</f>
        <v>7.401410761154855</v>
      </c>
      <c r="AB1402" s="214">
        <f ca="1">+$X1402</f>
        <v>0</v>
      </c>
      <c r="AC1402" s="214">
        <f ca="1">+$W1402-XOffset</f>
        <v>40.802828354596642</v>
      </c>
    </row>
    <row r="1403" spans="19:29" ht="8.4" customHeight="1">
      <c r="S1403" s="307"/>
      <c r="T1403" s="226">
        <f t="shared" si="78"/>
        <v>1400</v>
      </c>
      <c r="U1403" s="224">
        <f t="shared" si="76"/>
        <v>1</v>
      </c>
      <c r="V1403" s="225">
        <f t="shared" si="77"/>
        <v>0</v>
      </c>
      <c r="W1403" s="237">
        <f ca="1">$U1403*EWSpacingFt+XOffset+PanArrayWidthHighEndFt</f>
        <v>40.802828354596642</v>
      </c>
      <c r="X1403" s="241">
        <f ca="1">$V1403*NSSpacingFt+YOffset+PanArrayLenFt*COS(RADIANS(Latitude+DecAng))</f>
        <v>16.439632545931762</v>
      </c>
      <c r="Y1403" s="245">
        <f ca="1">+$V1403*NSGradeFt+PedHeight+PanArrayLenFt*SIN(RADIANS(Latitude+DecAng))</f>
        <v>7.401410761154855</v>
      </c>
      <c r="Z1403" s="214">
        <f ca="1">+$W1403</f>
        <v>40.802828354596642</v>
      </c>
      <c r="AA1403" s="214">
        <f ca="1">+$Y1403</f>
        <v>7.401410761154855</v>
      </c>
      <c r="AB1403" s="214">
        <f ca="1">+$X1403</f>
        <v>16.439632545931762</v>
      </c>
      <c r="AC1403" s="214">
        <f ca="1">+$W1403-XOffset</f>
        <v>40.802828354596642</v>
      </c>
    </row>
    <row r="1404" spans="19:29" ht="8.4" customHeight="1">
      <c r="S1404" s="307"/>
      <c r="T1404" s="226">
        <f t="shared" si="78"/>
        <v>1401</v>
      </c>
      <c r="U1404" s="224">
        <f t="shared" si="76"/>
        <v>1</v>
      </c>
      <c r="V1404" s="225">
        <f t="shared" si="77"/>
        <v>0</v>
      </c>
      <c r="W1404" s="238">
        <f ca="1">$U1404*EWSpacingFt+XOffset+0</f>
        <v>30.000006832286932</v>
      </c>
      <c r="X1404" s="242">
        <f ca="1">$V1404*NSSpacingFt+YOffset+PanArrayLenFt*COS(RADIANS(Latitude+DecAng))</f>
        <v>16.439632545931762</v>
      </c>
      <c r="Y1404" s="246">
        <f ca="1">+$V1404*NSGradeFt+PedHeight+PanArrayLenFt*SIN(RADIANS(Latitude+DecAng))</f>
        <v>7.401410761154855</v>
      </c>
      <c r="Z1404" s="214">
        <f ca="1">+$W1404</f>
        <v>30.000006832286932</v>
      </c>
      <c r="AA1404" s="214">
        <f ca="1">+$Y1404</f>
        <v>7.401410761154855</v>
      </c>
      <c r="AB1404" s="214">
        <f ca="1">+$X1404</f>
        <v>16.439632545931762</v>
      </c>
      <c r="AC1404" s="214">
        <f ca="1">+$W1404-XOffset</f>
        <v>30.000006832286932</v>
      </c>
    </row>
    <row r="1405" spans="19:29" ht="8.4" customHeight="1">
      <c r="S1405" s="307"/>
      <c r="T1405" s="226">
        <f t="shared" si="78"/>
        <v>1402</v>
      </c>
      <c r="U1405" s="224">
        <f t="shared" si="76"/>
        <v>1</v>
      </c>
      <c r="V1405" s="225">
        <f t="shared" si="77"/>
        <v>0</v>
      </c>
      <c r="W1405" s="239">
        <f ca="1">$U1405*EWSpacingFt+XOffset+(PanArrayWidthHighEndFt-PanArrayWidthLowEndFt)/2</f>
        <v>30.000006832286932</v>
      </c>
      <c r="X1405" s="243">
        <f ca="1">$V1405*NSSpacingFt+YOffset+0</f>
        <v>0</v>
      </c>
      <c r="Y1405" s="247">
        <f ca="1">+$V1405*NSGradeFt+PedHeight+0</f>
        <v>7.401410761154855</v>
      </c>
      <c r="Z1405" s="214">
        <f ca="1">+$W1405</f>
        <v>30.000006832286932</v>
      </c>
      <c r="AA1405" s="214">
        <f ca="1">+$Y1405</f>
        <v>7.401410761154855</v>
      </c>
      <c r="AB1405" s="214">
        <f ca="1">+$X1405</f>
        <v>0</v>
      </c>
      <c r="AC1405" s="214">
        <f ca="1">+$W1405-XOffset</f>
        <v>30.000006832286932</v>
      </c>
    </row>
    <row r="1406" spans="19:29" ht="8.4" customHeight="1">
      <c r="S1406" s="307"/>
      <c r="T1406" s="226">
        <f t="shared" si="78"/>
        <v>1403</v>
      </c>
      <c r="U1406" s="224">
        <f t="shared" si="76"/>
        <v>1</v>
      </c>
      <c r="V1406" s="225">
        <f t="shared" si="77"/>
        <v>0</v>
      </c>
      <c r="W1406" s="217"/>
      <c r="X1406" s="217"/>
      <c r="Y1406" s="217"/>
      <c r="Z1406" s="214"/>
      <c r="AA1406" s="214"/>
      <c r="AB1406" s="214"/>
      <c r="AC1406" s="214"/>
    </row>
    <row r="1407" spans="19:29" ht="8.4" customHeight="1">
      <c r="S1407" s="307">
        <f>INT((T1407-0)/6)+1</f>
        <v>235</v>
      </c>
      <c r="T1407" s="226">
        <f t="shared" si="78"/>
        <v>1404</v>
      </c>
      <c r="U1407" s="224">
        <f t="shared" si="76"/>
        <v>0</v>
      </c>
      <c r="V1407" s="225">
        <f t="shared" si="77"/>
        <v>1</v>
      </c>
      <c r="W1407" s="233">
        <f ca="1">$U1407*EWSpacingFt+XOffset+(PanArrayWidthHighEndFt-PanArrayWidthLowEndFt)/2</f>
        <v>0</v>
      </c>
      <c r="X1407" s="234">
        <f ca="1">$V1407*NSSpacingFt+YOffset+0</f>
        <v>17.999999999999989</v>
      </c>
      <c r="Y1407" s="235">
        <f ca="1">+$V1407*NSGradeFt+PedHeight+0</f>
        <v>7.401410761154855</v>
      </c>
      <c r="Z1407" s="214">
        <f ca="1">+$W1407</f>
        <v>0</v>
      </c>
      <c r="AA1407" s="214">
        <f ca="1">+$Y1407</f>
        <v>7.401410761154855</v>
      </c>
      <c r="AB1407" s="214">
        <f ca="1">+$X1407</f>
        <v>17.999999999999989</v>
      </c>
      <c r="AC1407" s="214">
        <f ca="1">+$W1407-XOffset</f>
        <v>0</v>
      </c>
    </row>
    <row r="1408" spans="19:29" ht="8.4" customHeight="1">
      <c r="S1408" s="307"/>
      <c r="T1408" s="226">
        <f t="shared" si="78"/>
        <v>1405</v>
      </c>
      <c r="U1408" s="224">
        <f t="shared" si="76"/>
        <v>0</v>
      </c>
      <c r="V1408" s="225">
        <f t="shared" si="77"/>
        <v>1</v>
      </c>
      <c r="W1408" s="236">
        <f ca="1">+$U1408*EWSpacingFt+XOffset+PanArrayWidthHighEndFt-(PanArrayWidthHighEndFt-PanArrayWidthLowEndFt)/2</f>
        <v>10.80282152230971</v>
      </c>
      <c r="X1408" s="240">
        <f ca="1">$V1408*NSSpacingFt+YOffset+0</f>
        <v>17.999999999999989</v>
      </c>
      <c r="Y1408" s="244">
        <f ca="1">+$V1408*NSGradeFt+PedHeight+0</f>
        <v>7.401410761154855</v>
      </c>
      <c r="Z1408" s="214">
        <f ca="1">+$W1408</f>
        <v>10.80282152230971</v>
      </c>
      <c r="AA1408" s="214">
        <f ca="1">+$Y1408</f>
        <v>7.401410761154855</v>
      </c>
      <c r="AB1408" s="214">
        <f ca="1">+$X1408</f>
        <v>17.999999999999989</v>
      </c>
      <c r="AC1408" s="214">
        <f ca="1">+$W1408-XOffset</f>
        <v>10.80282152230971</v>
      </c>
    </row>
    <row r="1409" spans="19:29" ht="8.4" customHeight="1">
      <c r="S1409" s="307"/>
      <c r="T1409" s="226">
        <f t="shared" si="78"/>
        <v>1406</v>
      </c>
      <c r="U1409" s="224">
        <f t="shared" si="76"/>
        <v>0</v>
      </c>
      <c r="V1409" s="225">
        <f t="shared" si="77"/>
        <v>1</v>
      </c>
      <c r="W1409" s="237">
        <f ca="1">$U1409*EWSpacingFt+XOffset+PanArrayWidthHighEndFt</f>
        <v>10.80282152230971</v>
      </c>
      <c r="X1409" s="241">
        <f ca="1">$V1409*NSSpacingFt+YOffset+PanArrayLenFt*COS(RADIANS(Latitude+DecAng))</f>
        <v>34.439632545931751</v>
      </c>
      <c r="Y1409" s="245">
        <f ca="1">+$V1409*NSGradeFt+PedHeight+PanArrayLenFt*SIN(RADIANS(Latitude+DecAng))</f>
        <v>7.401410761154855</v>
      </c>
      <c r="Z1409" s="214">
        <f ca="1">+$W1409</f>
        <v>10.80282152230971</v>
      </c>
      <c r="AA1409" s="214">
        <f ca="1">+$Y1409</f>
        <v>7.401410761154855</v>
      </c>
      <c r="AB1409" s="214">
        <f ca="1">+$X1409</f>
        <v>34.439632545931751</v>
      </c>
      <c r="AC1409" s="214">
        <f ca="1">+$W1409-XOffset</f>
        <v>10.80282152230971</v>
      </c>
    </row>
    <row r="1410" spans="19:29" ht="8.4" customHeight="1">
      <c r="S1410" s="307"/>
      <c r="T1410" s="226">
        <f t="shared" si="78"/>
        <v>1407</v>
      </c>
      <c r="U1410" s="224">
        <f t="shared" si="76"/>
        <v>0</v>
      </c>
      <c r="V1410" s="225">
        <f t="shared" si="77"/>
        <v>1</v>
      </c>
      <c r="W1410" s="238">
        <f ca="1">$U1410*EWSpacingFt+XOffset+0</f>
        <v>0</v>
      </c>
      <c r="X1410" s="242">
        <f ca="1">$V1410*NSSpacingFt+YOffset+PanArrayLenFt*COS(RADIANS(Latitude+DecAng))</f>
        <v>34.439632545931751</v>
      </c>
      <c r="Y1410" s="246">
        <f ca="1">+$V1410*NSGradeFt+PedHeight+PanArrayLenFt*SIN(RADIANS(Latitude+DecAng))</f>
        <v>7.401410761154855</v>
      </c>
      <c r="Z1410" s="214">
        <f ca="1">+$W1410</f>
        <v>0</v>
      </c>
      <c r="AA1410" s="214">
        <f ca="1">+$Y1410</f>
        <v>7.401410761154855</v>
      </c>
      <c r="AB1410" s="214">
        <f ca="1">+$X1410</f>
        <v>34.439632545931751</v>
      </c>
      <c r="AC1410" s="214">
        <f ca="1">+$W1410-XOffset</f>
        <v>0</v>
      </c>
    </row>
    <row r="1411" spans="19:29" ht="8.4" customHeight="1">
      <c r="S1411" s="307"/>
      <c r="T1411" s="226">
        <f t="shared" si="78"/>
        <v>1408</v>
      </c>
      <c r="U1411" s="224">
        <f t="shared" ref="U1411:U1474" si="79">+MOD(INT(T1411/6),ColumnsOfMounts)</f>
        <v>0</v>
      </c>
      <c r="V1411" s="225">
        <f t="shared" ref="V1411:V1474" si="80">+MOD(INT(T1411/6/ColumnsOfMounts),RowsOfMounts)</f>
        <v>1</v>
      </c>
      <c r="W1411" s="239">
        <f ca="1">$U1411*EWSpacingFt+XOffset+(PanArrayWidthHighEndFt-PanArrayWidthLowEndFt)/2</f>
        <v>0</v>
      </c>
      <c r="X1411" s="243">
        <f ca="1">$V1411*NSSpacingFt+YOffset+0</f>
        <v>17.999999999999989</v>
      </c>
      <c r="Y1411" s="247">
        <f ca="1">+$V1411*NSGradeFt+PedHeight+0</f>
        <v>7.401410761154855</v>
      </c>
      <c r="Z1411" s="214">
        <f ca="1">+$W1411</f>
        <v>0</v>
      </c>
      <c r="AA1411" s="214">
        <f ca="1">+$Y1411</f>
        <v>7.401410761154855</v>
      </c>
      <c r="AB1411" s="214">
        <f ca="1">+$X1411</f>
        <v>17.999999999999989</v>
      </c>
      <c r="AC1411" s="214">
        <f ca="1">+$W1411-XOffset</f>
        <v>0</v>
      </c>
    </row>
    <row r="1412" spans="19:29" ht="8.4" customHeight="1">
      <c r="S1412" s="307"/>
      <c r="T1412" s="226">
        <f t="shared" si="78"/>
        <v>1409</v>
      </c>
      <c r="U1412" s="224">
        <f t="shared" si="79"/>
        <v>0</v>
      </c>
      <c r="V1412" s="225">
        <f t="shared" si="80"/>
        <v>1</v>
      </c>
      <c r="W1412" s="217"/>
      <c r="X1412" s="217"/>
      <c r="Y1412" s="217"/>
      <c r="Z1412" s="214"/>
      <c r="AA1412" s="214"/>
      <c r="AB1412" s="214"/>
      <c r="AC1412" s="214"/>
    </row>
    <row r="1413" spans="19:29" ht="8.4" customHeight="1">
      <c r="S1413" s="307">
        <f>INT((T1413-0)/6)+1</f>
        <v>236</v>
      </c>
      <c r="T1413" s="226">
        <f t="shared" si="78"/>
        <v>1410</v>
      </c>
      <c r="U1413" s="224">
        <f t="shared" si="79"/>
        <v>1</v>
      </c>
      <c r="V1413" s="225">
        <f t="shared" si="80"/>
        <v>1</v>
      </c>
      <c r="W1413" s="233">
        <f ca="1">$U1413*EWSpacingFt+XOffset+(PanArrayWidthHighEndFt-PanArrayWidthLowEndFt)/2</f>
        <v>30.000006832286932</v>
      </c>
      <c r="X1413" s="234">
        <f ca="1">$V1413*NSSpacingFt+YOffset+0</f>
        <v>17.999999999999989</v>
      </c>
      <c r="Y1413" s="235">
        <f ca="1">+$V1413*NSGradeFt+PedHeight+0</f>
        <v>7.401410761154855</v>
      </c>
      <c r="Z1413" s="214">
        <f ca="1">+$W1413</f>
        <v>30.000006832286932</v>
      </c>
      <c r="AA1413" s="214">
        <f ca="1">+$Y1413</f>
        <v>7.401410761154855</v>
      </c>
      <c r="AB1413" s="214">
        <f ca="1">+$X1413</f>
        <v>17.999999999999989</v>
      </c>
      <c r="AC1413" s="214">
        <f ca="1">+$W1413-XOffset</f>
        <v>30.000006832286932</v>
      </c>
    </row>
    <row r="1414" spans="19:29" ht="8.4" customHeight="1">
      <c r="S1414" s="307"/>
      <c r="T1414" s="226">
        <f t="shared" si="78"/>
        <v>1411</v>
      </c>
      <c r="U1414" s="224">
        <f t="shared" si="79"/>
        <v>1</v>
      </c>
      <c r="V1414" s="225">
        <f t="shared" si="80"/>
        <v>1</v>
      </c>
      <c r="W1414" s="236">
        <f ca="1">+$U1414*EWSpacingFt+XOffset+PanArrayWidthHighEndFt-(PanArrayWidthHighEndFt-PanArrayWidthLowEndFt)/2</f>
        <v>40.802828354596642</v>
      </c>
      <c r="X1414" s="240">
        <f ca="1">$V1414*NSSpacingFt+YOffset+0</f>
        <v>17.999999999999989</v>
      </c>
      <c r="Y1414" s="244">
        <f ca="1">+$V1414*NSGradeFt+PedHeight+0</f>
        <v>7.401410761154855</v>
      </c>
      <c r="Z1414" s="214">
        <f ca="1">+$W1414</f>
        <v>40.802828354596642</v>
      </c>
      <c r="AA1414" s="214">
        <f ca="1">+$Y1414</f>
        <v>7.401410761154855</v>
      </c>
      <c r="AB1414" s="214">
        <f ca="1">+$X1414</f>
        <v>17.999999999999989</v>
      </c>
      <c r="AC1414" s="214">
        <f ca="1">+$W1414-XOffset</f>
        <v>40.802828354596642</v>
      </c>
    </row>
    <row r="1415" spans="19:29" ht="8.4" customHeight="1">
      <c r="S1415" s="307"/>
      <c r="T1415" s="226">
        <f t="shared" si="78"/>
        <v>1412</v>
      </c>
      <c r="U1415" s="224">
        <f t="shared" si="79"/>
        <v>1</v>
      </c>
      <c r="V1415" s="225">
        <f t="shared" si="80"/>
        <v>1</v>
      </c>
      <c r="W1415" s="237">
        <f ca="1">$U1415*EWSpacingFt+XOffset+PanArrayWidthHighEndFt</f>
        <v>40.802828354596642</v>
      </c>
      <c r="X1415" s="241">
        <f ca="1">$V1415*NSSpacingFt+YOffset+PanArrayLenFt*COS(RADIANS(Latitude+DecAng))</f>
        <v>34.439632545931751</v>
      </c>
      <c r="Y1415" s="245">
        <f ca="1">+$V1415*NSGradeFt+PedHeight+PanArrayLenFt*SIN(RADIANS(Latitude+DecAng))</f>
        <v>7.401410761154855</v>
      </c>
      <c r="Z1415" s="214">
        <f ca="1">+$W1415</f>
        <v>40.802828354596642</v>
      </c>
      <c r="AA1415" s="214">
        <f ca="1">+$Y1415</f>
        <v>7.401410761154855</v>
      </c>
      <c r="AB1415" s="214">
        <f ca="1">+$X1415</f>
        <v>34.439632545931751</v>
      </c>
      <c r="AC1415" s="214">
        <f ca="1">+$W1415-XOffset</f>
        <v>40.802828354596642</v>
      </c>
    </row>
    <row r="1416" spans="19:29" ht="8.4" customHeight="1">
      <c r="S1416" s="307"/>
      <c r="T1416" s="226">
        <f t="shared" si="78"/>
        <v>1413</v>
      </c>
      <c r="U1416" s="224">
        <f t="shared" si="79"/>
        <v>1</v>
      </c>
      <c r="V1416" s="225">
        <f t="shared" si="80"/>
        <v>1</v>
      </c>
      <c r="W1416" s="238">
        <f ca="1">$U1416*EWSpacingFt+XOffset+0</f>
        <v>30.000006832286932</v>
      </c>
      <c r="X1416" s="242">
        <f ca="1">$V1416*NSSpacingFt+YOffset+PanArrayLenFt*COS(RADIANS(Latitude+DecAng))</f>
        <v>34.439632545931751</v>
      </c>
      <c r="Y1416" s="246">
        <f ca="1">+$V1416*NSGradeFt+PedHeight+PanArrayLenFt*SIN(RADIANS(Latitude+DecAng))</f>
        <v>7.401410761154855</v>
      </c>
      <c r="Z1416" s="214">
        <f ca="1">+$W1416</f>
        <v>30.000006832286932</v>
      </c>
      <c r="AA1416" s="214">
        <f ca="1">+$Y1416</f>
        <v>7.401410761154855</v>
      </c>
      <c r="AB1416" s="214">
        <f ca="1">+$X1416</f>
        <v>34.439632545931751</v>
      </c>
      <c r="AC1416" s="214">
        <f ca="1">+$W1416-XOffset</f>
        <v>30.000006832286932</v>
      </c>
    </row>
    <row r="1417" spans="19:29" ht="8.4" customHeight="1">
      <c r="S1417" s="307"/>
      <c r="T1417" s="226">
        <f t="shared" si="78"/>
        <v>1414</v>
      </c>
      <c r="U1417" s="224">
        <f t="shared" si="79"/>
        <v>1</v>
      </c>
      <c r="V1417" s="225">
        <f t="shared" si="80"/>
        <v>1</v>
      </c>
      <c r="W1417" s="239">
        <f ca="1">$U1417*EWSpacingFt+XOffset+(PanArrayWidthHighEndFt-PanArrayWidthLowEndFt)/2</f>
        <v>30.000006832286932</v>
      </c>
      <c r="X1417" s="243">
        <f ca="1">$V1417*NSSpacingFt+YOffset+0</f>
        <v>17.999999999999989</v>
      </c>
      <c r="Y1417" s="247">
        <f ca="1">+$V1417*NSGradeFt+PedHeight+0</f>
        <v>7.401410761154855</v>
      </c>
      <c r="Z1417" s="214">
        <f ca="1">+$W1417</f>
        <v>30.000006832286932</v>
      </c>
      <c r="AA1417" s="214">
        <f ca="1">+$Y1417</f>
        <v>7.401410761154855</v>
      </c>
      <c r="AB1417" s="214">
        <f ca="1">+$X1417</f>
        <v>17.999999999999989</v>
      </c>
      <c r="AC1417" s="214">
        <f ca="1">+$W1417-XOffset</f>
        <v>30.000006832286932</v>
      </c>
    </row>
    <row r="1418" spans="19:29" ht="8.4" customHeight="1">
      <c r="S1418" s="307"/>
      <c r="T1418" s="226">
        <f t="shared" si="78"/>
        <v>1415</v>
      </c>
      <c r="U1418" s="224">
        <f t="shared" si="79"/>
        <v>1</v>
      </c>
      <c r="V1418" s="225">
        <f t="shared" si="80"/>
        <v>1</v>
      </c>
      <c r="W1418" s="217"/>
      <c r="X1418" s="217"/>
      <c r="Y1418" s="217"/>
      <c r="Z1418" s="214"/>
      <c r="AA1418" s="214"/>
      <c r="AB1418" s="214"/>
      <c r="AC1418" s="214"/>
    </row>
    <row r="1419" spans="19:29" ht="8.4" customHeight="1">
      <c r="S1419" s="307">
        <f>INT((T1419-0)/6)+1</f>
        <v>237</v>
      </c>
      <c r="T1419" s="226">
        <f t="shared" si="78"/>
        <v>1416</v>
      </c>
      <c r="U1419" s="224">
        <f t="shared" si="79"/>
        <v>0</v>
      </c>
      <c r="V1419" s="225">
        <f t="shared" si="80"/>
        <v>2</v>
      </c>
      <c r="W1419" s="233">
        <f ca="1">$U1419*EWSpacingFt+XOffset+(PanArrayWidthHighEndFt-PanArrayWidthLowEndFt)/2</f>
        <v>0</v>
      </c>
      <c r="X1419" s="234">
        <f ca="1">$V1419*NSSpacingFt+YOffset+0</f>
        <v>35.999999999999979</v>
      </c>
      <c r="Y1419" s="235">
        <f ca="1">+$V1419*NSGradeFt+PedHeight+0</f>
        <v>7.401410761154855</v>
      </c>
      <c r="Z1419" s="214">
        <f ca="1">+$W1419</f>
        <v>0</v>
      </c>
      <c r="AA1419" s="214">
        <f ca="1">+$Y1419</f>
        <v>7.401410761154855</v>
      </c>
      <c r="AB1419" s="214">
        <f ca="1">+$X1419</f>
        <v>35.999999999999979</v>
      </c>
      <c r="AC1419" s="214">
        <f ca="1">+$W1419-XOffset</f>
        <v>0</v>
      </c>
    </row>
    <row r="1420" spans="19:29" ht="8.4" customHeight="1">
      <c r="S1420" s="307"/>
      <c r="T1420" s="226">
        <f t="shared" si="78"/>
        <v>1417</v>
      </c>
      <c r="U1420" s="224">
        <f t="shared" si="79"/>
        <v>0</v>
      </c>
      <c r="V1420" s="225">
        <f t="shared" si="80"/>
        <v>2</v>
      </c>
      <c r="W1420" s="236">
        <f ca="1">+$U1420*EWSpacingFt+XOffset+PanArrayWidthHighEndFt-(PanArrayWidthHighEndFt-PanArrayWidthLowEndFt)/2</f>
        <v>10.80282152230971</v>
      </c>
      <c r="X1420" s="240">
        <f ca="1">$V1420*NSSpacingFt+YOffset+0</f>
        <v>35.999999999999979</v>
      </c>
      <c r="Y1420" s="244">
        <f ca="1">+$V1420*NSGradeFt+PedHeight+0</f>
        <v>7.401410761154855</v>
      </c>
      <c r="Z1420" s="214">
        <f ca="1">+$W1420</f>
        <v>10.80282152230971</v>
      </c>
      <c r="AA1420" s="214">
        <f ca="1">+$Y1420</f>
        <v>7.401410761154855</v>
      </c>
      <c r="AB1420" s="214">
        <f ca="1">+$X1420</f>
        <v>35.999999999999979</v>
      </c>
      <c r="AC1420" s="214">
        <f ca="1">+$W1420-XOffset</f>
        <v>10.80282152230971</v>
      </c>
    </row>
    <row r="1421" spans="19:29" ht="8.4" customHeight="1">
      <c r="S1421" s="307"/>
      <c r="T1421" s="226">
        <f t="shared" si="78"/>
        <v>1418</v>
      </c>
      <c r="U1421" s="224">
        <f t="shared" si="79"/>
        <v>0</v>
      </c>
      <c r="V1421" s="225">
        <f t="shared" si="80"/>
        <v>2</v>
      </c>
      <c r="W1421" s="237">
        <f ca="1">$U1421*EWSpacingFt+XOffset+PanArrayWidthHighEndFt</f>
        <v>10.80282152230971</v>
      </c>
      <c r="X1421" s="241">
        <f ca="1">$V1421*NSSpacingFt+YOffset+PanArrayLenFt*COS(RADIANS(Latitude+DecAng))</f>
        <v>52.439632545931744</v>
      </c>
      <c r="Y1421" s="245">
        <f ca="1">+$V1421*NSGradeFt+PedHeight+PanArrayLenFt*SIN(RADIANS(Latitude+DecAng))</f>
        <v>7.401410761154855</v>
      </c>
      <c r="Z1421" s="214">
        <f ca="1">+$W1421</f>
        <v>10.80282152230971</v>
      </c>
      <c r="AA1421" s="214">
        <f ca="1">+$Y1421</f>
        <v>7.401410761154855</v>
      </c>
      <c r="AB1421" s="214">
        <f ca="1">+$X1421</f>
        <v>52.439632545931744</v>
      </c>
      <c r="AC1421" s="214">
        <f ca="1">+$W1421-XOffset</f>
        <v>10.80282152230971</v>
      </c>
    </row>
    <row r="1422" spans="19:29" ht="8.4" customHeight="1">
      <c r="S1422" s="307"/>
      <c r="T1422" s="226">
        <f t="shared" si="78"/>
        <v>1419</v>
      </c>
      <c r="U1422" s="224">
        <f t="shared" si="79"/>
        <v>0</v>
      </c>
      <c r="V1422" s="225">
        <f t="shared" si="80"/>
        <v>2</v>
      </c>
      <c r="W1422" s="238">
        <f ca="1">$U1422*EWSpacingFt+XOffset+0</f>
        <v>0</v>
      </c>
      <c r="X1422" s="242">
        <f ca="1">$V1422*NSSpacingFt+YOffset+PanArrayLenFt*COS(RADIANS(Latitude+DecAng))</f>
        <v>52.439632545931744</v>
      </c>
      <c r="Y1422" s="246">
        <f ca="1">+$V1422*NSGradeFt+PedHeight+PanArrayLenFt*SIN(RADIANS(Latitude+DecAng))</f>
        <v>7.401410761154855</v>
      </c>
      <c r="Z1422" s="214">
        <f ca="1">+$W1422</f>
        <v>0</v>
      </c>
      <c r="AA1422" s="214">
        <f ca="1">+$Y1422</f>
        <v>7.401410761154855</v>
      </c>
      <c r="AB1422" s="214">
        <f ca="1">+$X1422</f>
        <v>52.439632545931744</v>
      </c>
      <c r="AC1422" s="214">
        <f ca="1">+$W1422-XOffset</f>
        <v>0</v>
      </c>
    </row>
    <row r="1423" spans="19:29" ht="8.4" customHeight="1">
      <c r="S1423" s="307"/>
      <c r="T1423" s="226">
        <f t="shared" si="78"/>
        <v>1420</v>
      </c>
      <c r="U1423" s="224">
        <f t="shared" si="79"/>
        <v>0</v>
      </c>
      <c r="V1423" s="225">
        <f t="shared" si="80"/>
        <v>2</v>
      </c>
      <c r="W1423" s="239">
        <f ca="1">$U1423*EWSpacingFt+XOffset+(PanArrayWidthHighEndFt-PanArrayWidthLowEndFt)/2</f>
        <v>0</v>
      </c>
      <c r="X1423" s="243">
        <f ca="1">$V1423*NSSpacingFt+YOffset+0</f>
        <v>35.999999999999979</v>
      </c>
      <c r="Y1423" s="247">
        <f ca="1">+$V1423*NSGradeFt+PedHeight+0</f>
        <v>7.401410761154855</v>
      </c>
      <c r="Z1423" s="214">
        <f ca="1">+$W1423</f>
        <v>0</v>
      </c>
      <c r="AA1423" s="214">
        <f ca="1">+$Y1423</f>
        <v>7.401410761154855</v>
      </c>
      <c r="AB1423" s="214">
        <f ca="1">+$X1423</f>
        <v>35.999999999999979</v>
      </c>
      <c r="AC1423" s="214">
        <f ca="1">+$W1423-XOffset</f>
        <v>0</v>
      </c>
    </row>
    <row r="1424" spans="19:29" ht="8.4" customHeight="1">
      <c r="S1424" s="307"/>
      <c r="T1424" s="226">
        <f t="shared" si="78"/>
        <v>1421</v>
      </c>
      <c r="U1424" s="224">
        <f t="shared" si="79"/>
        <v>0</v>
      </c>
      <c r="V1424" s="225">
        <f t="shared" si="80"/>
        <v>2</v>
      </c>
      <c r="W1424" s="217"/>
      <c r="X1424" s="217"/>
      <c r="Y1424" s="217"/>
      <c r="Z1424" s="214"/>
      <c r="AA1424" s="214"/>
      <c r="AB1424" s="214"/>
      <c r="AC1424" s="214"/>
    </row>
    <row r="1425" spans="19:29" ht="8.4" customHeight="1">
      <c r="S1425" s="307">
        <f>INT((T1425-0)/6)+1</f>
        <v>238</v>
      </c>
      <c r="T1425" s="226">
        <f t="shared" si="78"/>
        <v>1422</v>
      </c>
      <c r="U1425" s="224">
        <f t="shared" si="79"/>
        <v>1</v>
      </c>
      <c r="V1425" s="225">
        <f t="shared" si="80"/>
        <v>2</v>
      </c>
      <c r="W1425" s="233">
        <f ca="1">$U1425*EWSpacingFt+XOffset+(PanArrayWidthHighEndFt-PanArrayWidthLowEndFt)/2</f>
        <v>30.000006832286932</v>
      </c>
      <c r="X1425" s="234">
        <f ca="1">$V1425*NSSpacingFt+YOffset+0</f>
        <v>35.999999999999979</v>
      </c>
      <c r="Y1425" s="235">
        <f ca="1">+$V1425*NSGradeFt+PedHeight+0</f>
        <v>7.401410761154855</v>
      </c>
      <c r="Z1425" s="214">
        <f ca="1">+$W1425</f>
        <v>30.000006832286932</v>
      </c>
      <c r="AA1425" s="214">
        <f ca="1">+$Y1425</f>
        <v>7.401410761154855</v>
      </c>
      <c r="AB1425" s="214">
        <f ca="1">+$X1425</f>
        <v>35.999999999999979</v>
      </c>
      <c r="AC1425" s="214">
        <f ca="1">+$W1425-XOffset</f>
        <v>30.000006832286932</v>
      </c>
    </row>
    <row r="1426" spans="19:29" ht="8.4" customHeight="1">
      <c r="S1426" s="307"/>
      <c r="T1426" s="226">
        <f t="shared" si="78"/>
        <v>1423</v>
      </c>
      <c r="U1426" s="224">
        <f t="shared" si="79"/>
        <v>1</v>
      </c>
      <c r="V1426" s="225">
        <f t="shared" si="80"/>
        <v>2</v>
      </c>
      <c r="W1426" s="236">
        <f ca="1">+$U1426*EWSpacingFt+XOffset+PanArrayWidthHighEndFt-(PanArrayWidthHighEndFt-PanArrayWidthLowEndFt)/2</f>
        <v>40.802828354596642</v>
      </c>
      <c r="X1426" s="240">
        <f ca="1">$V1426*NSSpacingFt+YOffset+0</f>
        <v>35.999999999999979</v>
      </c>
      <c r="Y1426" s="244">
        <f ca="1">+$V1426*NSGradeFt+PedHeight+0</f>
        <v>7.401410761154855</v>
      </c>
      <c r="Z1426" s="214">
        <f ca="1">+$W1426</f>
        <v>40.802828354596642</v>
      </c>
      <c r="AA1426" s="214">
        <f ca="1">+$Y1426</f>
        <v>7.401410761154855</v>
      </c>
      <c r="AB1426" s="214">
        <f ca="1">+$X1426</f>
        <v>35.999999999999979</v>
      </c>
      <c r="AC1426" s="214">
        <f ca="1">+$W1426-XOffset</f>
        <v>40.802828354596642</v>
      </c>
    </row>
    <row r="1427" spans="19:29" ht="8.4" customHeight="1">
      <c r="S1427" s="307"/>
      <c r="T1427" s="226">
        <f t="shared" si="78"/>
        <v>1424</v>
      </c>
      <c r="U1427" s="224">
        <f t="shared" si="79"/>
        <v>1</v>
      </c>
      <c r="V1427" s="225">
        <f t="shared" si="80"/>
        <v>2</v>
      </c>
      <c r="W1427" s="237">
        <f ca="1">$U1427*EWSpacingFt+XOffset+PanArrayWidthHighEndFt</f>
        <v>40.802828354596642</v>
      </c>
      <c r="X1427" s="241">
        <f ca="1">$V1427*NSSpacingFt+YOffset+PanArrayLenFt*COS(RADIANS(Latitude+DecAng))</f>
        <v>52.439632545931744</v>
      </c>
      <c r="Y1427" s="245">
        <f ca="1">+$V1427*NSGradeFt+PedHeight+PanArrayLenFt*SIN(RADIANS(Latitude+DecAng))</f>
        <v>7.401410761154855</v>
      </c>
      <c r="Z1427" s="214">
        <f ca="1">+$W1427</f>
        <v>40.802828354596642</v>
      </c>
      <c r="AA1427" s="214">
        <f ca="1">+$Y1427</f>
        <v>7.401410761154855</v>
      </c>
      <c r="AB1427" s="214">
        <f ca="1">+$X1427</f>
        <v>52.439632545931744</v>
      </c>
      <c r="AC1427" s="214">
        <f ca="1">+$W1427-XOffset</f>
        <v>40.802828354596642</v>
      </c>
    </row>
    <row r="1428" spans="19:29" ht="8.4" customHeight="1">
      <c r="S1428" s="307"/>
      <c r="T1428" s="226">
        <f t="shared" si="78"/>
        <v>1425</v>
      </c>
      <c r="U1428" s="224">
        <f t="shared" si="79"/>
        <v>1</v>
      </c>
      <c r="V1428" s="225">
        <f t="shared" si="80"/>
        <v>2</v>
      </c>
      <c r="W1428" s="238">
        <f ca="1">$U1428*EWSpacingFt+XOffset+0</f>
        <v>30.000006832286932</v>
      </c>
      <c r="X1428" s="242">
        <f ca="1">$V1428*NSSpacingFt+YOffset+PanArrayLenFt*COS(RADIANS(Latitude+DecAng))</f>
        <v>52.439632545931744</v>
      </c>
      <c r="Y1428" s="246">
        <f ca="1">+$V1428*NSGradeFt+PedHeight+PanArrayLenFt*SIN(RADIANS(Latitude+DecAng))</f>
        <v>7.401410761154855</v>
      </c>
      <c r="Z1428" s="214">
        <f ca="1">+$W1428</f>
        <v>30.000006832286932</v>
      </c>
      <c r="AA1428" s="214">
        <f ca="1">+$Y1428</f>
        <v>7.401410761154855</v>
      </c>
      <c r="AB1428" s="214">
        <f ca="1">+$X1428</f>
        <v>52.439632545931744</v>
      </c>
      <c r="AC1428" s="214">
        <f ca="1">+$W1428-XOffset</f>
        <v>30.000006832286932</v>
      </c>
    </row>
    <row r="1429" spans="19:29" ht="8.4" customHeight="1">
      <c r="S1429" s="307"/>
      <c r="T1429" s="226">
        <f t="shared" ref="T1429:T1442" si="81">+T1428+1</f>
        <v>1426</v>
      </c>
      <c r="U1429" s="224">
        <f t="shared" si="79"/>
        <v>1</v>
      </c>
      <c r="V1429" s="225">
        <f t="shared" si="80"/>
        <v>2</v>
      </c>
      <c r="W1429" s="239">
        <f ca="1">$U1429*EWSpacingFt+XOffset+(PanArrayWidthHighEndFt-PanArrayWidthLowEndFt)/2</f>
        <v>30.000006832286932</v>
      </c>
      <c r="X1429" s="243">
        <f ca="1">$V1429*NSSpacingFt+YOffset+0</f>
        <v>35.999999999999979</v>
      </c>
      <c r="Y1429" s="247">
        <f ca="1">+$V1429*NSGradeFt+PedHeight+0</f>
        <v>7.401410761154855</v>
      </c>
      <c r="Z1429" s="214">
        <f ca="1">+$W1429</f>
        <v>30.000006832286932</v>
      </c>
      <c r="AA1429" s="214">
        <f ca="1">+$Y1429</f>
        <v>7.401410761154855</v>
      </c>
      <c r="AB1429" s="214">
        <f ca="1">+$X1429</f>
        <v>35.999999999999979</v>
      </c>
      <c r="AC1429" s="214">
        <f ca="1">+$W1429-XOffset</f>
        <v>30.000006832286932</v>
      </c>
    </row>
    <row r="1430" spans="19:29" ht="8.4" customHeight="1">
      <c r="S1430" s="307"/>
      <c r="T1430" s="226">
        <f t="shared" si="81"/>
        <v>1427</v>
      </c>
      <c r="U1430" s="224">
        <f t="shared" si="79"/>
        <v>1</v>
      </c>
      <c r="V1430" s="225">
        <f t="shared" si="80"/>
        <v>2</v>
      </c>
      <c r="W1430" s="217"/>
      <c r="X1430" s="217"/>
      <c r="Y1430" s="217"/>
      <c r="Z1430" s="214"/>
      <c r="AA1430" s="214"/>
      <c r="AB1430" s="214"/>
      <c r="AC1430" s="214"/>
    </row>
    <row r="1431" spans="19:29" ht="8.4" customHeight="1">
      <c r="S1431" s="307">
        <f>INT((T1431-0)/6)+1</f>
        <v>239</v>
      </c>
      <c r="T1431" s="226">
        <f t="shared" si="81"/>
        <v>1428</v>
      </c>
      <c r="U1431" s="224">
        <f t="shared" si="79"/>
        <v>0</v>
      </c>
      <c r="V1431" s="225">
        <f t="shared" si="80"/>
        <v>3</v>
      </c>
      <c r="W1431" s="233">
        <f ca="1">$U1431*EWSpacingFt+XOffset+(PanArrayWidthHighEndFt-PanArrayWidthLowEndFt)/2</f>
        <v>0</v>
      </c>
      <c r="X1431" s="234">
        <f ca="1">$V1431*NSSpacingFt+YOffset+0</f>
        <v>53.999999999999972</v>
      </c>
      <c r="Y1431" s="235">
        <f ca="1">+$V1431*NSGradeFt+PedHeight+0</f>
        <v>7.401410761154855</v>
      </c>
      <c r="Z1431" s="214">
        <f ca="1">+$W1431</f>
        <v>0</v>
      </c>
      <c r="AA1431" s="214">
        <f ca="1">+$Y1431</f>
        <v>7.401410761154855</v>
      </c>
      <c r="AB1431" s="214">
        <f ca="1">+$X1431</f>
        <v>53.999999999999972</v>
      </c>
      <c r="AC1431" s="214">
        <f ca="1">+$W1431-XOffset</f>
        <v>0</v>
      </c>
    </row>
    <row r="1432" spans="19:29" ht="8.4" customHeight="1">
      <c r="S1432" s="307"/>
      <c r="T1432" s="226">
        <f t="shared" si="81"/>
        <v>1429</v>
      </c>
      <c r="U1432" s="224">
        <f t="shared" si="79"/>
        <v>0</v>
      </c>
      <c r="V1432" s="225">
        <f t="shared" si="80"/>
        <v>3</v>
      </c>
      <c r="W1432" s="236">
        <f ca="1">+$U1432*EWSpacingFt+XOffset+PanArrayWidthHighEndFt-(PanArrayWidthHighEndFt-PanArrayWidthLowEndFt)/2</f>
        <v>10.80282152230971</v>
      </c>
      <c r="X1432" s="240">
        <f ca="1">$V1432*NSSpacingFt+YOffset+0</f>
        <v>53.999999999999972</v>
      </c>
      <c r="Y1432" s="244">
        <f ca="1">+$V1432*NSGradeFt+PedHeight+0</f>
        <v>7.401410761154855</v>
      </c>
      <c r="Z1432" s="214">
        <f ca="1">+$W1432</f>
        <v>10.80282152230971</v>
      </c>
      <c r="AA1432" s="214">
        <f ca="1">+$Y1432</f>
        <v>7.401410761154855</v>
      </c>
      <c r="AB1432" s="214">
        <f ca="1">+$X1432</f>
        <v>53.999999999999972</v>
      </c>
      <c r="AC1432" s="214">
        <f ca="1">+$W1432-XOffset</f>
        <v>10.80282152230971</v>
      </c>
    </row>
    <row r="1433" spans="19:29" ht="8.4" customHeight="1">
      <c r="S1433" s="307"/>
      <c r="T1433" s="226">
        <f t="shared" si="81"/>
        <v>1430</v>
      </c>
      <c r="U1433" s="224">
        <f t="shared" si="79"/>
        <v>0</v>
      </c>
      <c r="V1433" s="225">
        <f t="shared" si="80"/>
        <v>3</v>
      </c>
      <c r="W1433" s="237">
        <f ca="1">$U1433*EWSpacingFt+XOffset+PanArrayWidthHighEndFt</f>
        <v>10.80282152230971</v>
      </c>
      <c r="X1433" s="241">
        <f ca="1">$V1433*NSSpacingFt+YOffset+PanArrayLenFt*COS(RADIANS(Latitude+DecAng))</f>
        <v>70.43963254593173</v>
      </c>
      <c r="Y1433" s="245">
        <f ca="1">+$V1433*NSGradeFt+PedHeight+PanArrayLenFt*SIN(RADIANS(Latitude+DecAng))</f>
        <v>7.401410761154855</v>
      </c>
      <c r="Z1433" s="214">
        <f ca="1">+$W1433</f>
        <v>10.80282152230971</v>
      </c>
      <c r="AA1433" s="214">
        <f ca="1">+$Y1433</f>
        <v>7.401410761154855</v>
      </c>
      <c r="AB1433" s="214">
        <f ca="1">+$X1433</f>
        <v>70.43963254593173</v>
      </c>
      <c r="AC1433" s="214">
        <f ca="1">+$W1433-XOffset</f>
        <v>10.80282152230971</v>
      </c>
    </row>
    <row r="1434" spans="19:29" ht="8.4" customHeight="1">
      <c r="S1434" s="307"/>
      <c r="T1434" s="226">
        <f t="shared" si="81"/>
        <v>1431</v>
      </c>
      <c r="U1434" s="224">
        <f t="shared" si="79"/>
        <v>0</v>
      </c>
      <c r="V1434" s="225">
        <f t="shared" si="80"/>
        <v>3</v>
      </c>
      <c r="W1434" s="238">
        <f ca="1">$U1434*EWSpacingFt+XOffset+0</f>
        <v>0</v>
      </c>
      <c r="X1434" s="242">
        <f ca="1">$V1434*NSSpacingFt+YOffset+PanArrayLenFt*COS(RADIANS(Latitude+DecAng))</f>
        <v>70.43963254593173</v>
      </c>
      <c r="Y1434" s="246">
        <f ca="1">+$V1434*NSGradeFt+PedHeight+PanArrayLenFt*SIN(RADIANS(Latitude+DecAng))</f>
        <v>7.401410761154855</v>
      </c>
      <c r="Z1434" s="214">
        <f ca="1">+$W1434</f>
        <v>0</v>
      </c>
      <c r="AA1434" s="214">
        <f ca="1">+$Y1434</f>
        <v>7.401410761154855</v>
      </c>
      <c r="AB1434" s="214">
        <f ca="1">+$X1434</f>
        <v>70.43963254593173</v>
      </c>
      <c r="AC1434" s="214">
        <f ca="1">+$W1434-XOffset</f>
        <v>0</v>
      </c>
    </row>
    <row r="1435" spans="19:29" ht="8.4" customHeight="1">
      <c r="S1435" s="307"/>
      <c r="T1435" s="226">
        <f t="shared" si="81"/>
        <v>1432</v>
      </c>
      <c r="U1435" s="224">
        <f t="shared" si="79"/>
        <v>0</v>
      </c>
      <c r="V1435" s="225">
        <f t="shared" si="80"/>
        <v>3</v>
      </c>
      <c r="W1435" s="239">
        <f ca="1">$U1435*EWSpacingFt+XOffset+(PanArrayWidthHighEndFt-PanArrayWidthLowEndFt)/2</f>
        <v>0</v>
      </c>
      <c r="X1435" s="243">
        <f ca="1">$V1435*NSSpacingFt+YOffset+0</f>
        <v>53.999999999999972</v>
      </c>
      <c r="Y1435" s="247">
        <f ca="1">+$V1435*NSGradeFt+PedHeight+0</f>
        <v>7.401410761154855</v>
      </c>
      <c r="Z1435" s="214">
        <f ca="1">+$W1435</f>
        <v>0</v>
      </c>
      <c r="AA1435" s="214">
        <f ca="1">+$Y1435</f>
        <v>7.401410761154855</v>
      </c>
      <c r="AB1435" s="214">
        <f ca="1">+$X1435</f>
        <v>53.999999999999972</v>
      </c>
      <c r="AC1435" s="214">
        <f ca="1">+$W1435-XOffset</f>
        <v>0</v>
      </c>
    </row>
    <row r="1436" spans="19:29" ht="8.4" customHeight="1">
      <c r="S1436" s="307"/>
      <c r="T1436" s="226">
        <f t="shared" si="81"/>
        <v>1433</v>
      </c>
      <c r="U1436" s="224">
        <f t="shared" si="79"/>
        <v>0</v>
      </c>
      <c r="V1436" s="225">
        <f t="shared" si="80"/>
        <v>3</v>
      </c>
      <c r="W1436" s="217"/>
      <c r="X1436" s="217"/>
      <c r="Y1436" s="217"/>
      <c r="Z1436" s="214"/>
      <c r="AA1436" s="214"/>
      <c r="AB1436" s="214"/>
      <c r="AC1436" s="214"/>
    </row>
    <row r="1437" spans="19:29" ht="8.4" customHeight="1">
      <c r="S1437" s="307">
        <f>INT((T1437-0)/6)+1</f>
        <v>240</v>
      </c>
      <c r="T1437" s="226">
        <f t="shared" si="81"/>
        <v>1434</v>
      </c>
      <c r="U1437" s="224">
        <f t="shared" si="79"/>
        <v>1</v>
      </c>
      <c r="V1437" s="225">
        <f t="shared" si="80"/>
        <v>3</v>
      </c>
      <c r="W1437" s="233">
        <f ca="1">$U1437*EWSpacingFt+XOffset+(PanArrayWidthHighEndFt-PanArrayWidthLowEndFt)/2</f>
        <v>30.000006832286932</v>
      </c>
      <c r="X1437" s="234">
        <f ca="1">$V1437*NSSpacingFt+YOffset+0</f>
        <v>53.999999999999972</v>
      </c>
      <c r="Y1437" s="235">
        <f ca="1">+$V1437*NSGradeFt+PedHeight+0</f>
        <v>7.401410761154855</v>
      </c>
      <c r="Z1437" s="214">
        <f ca="1">+$W1437</f>
        <v>30.000006832286932</v>
      </c>
      <c r="AA1437" s="214">
        <f ca="1">+$Y1437</f>
        <v>7.401410761154855</v>
      </c>
      <c r="AB1437" s="214">
        <f ca="1">+$X1437</f>
        <v>53.999999999999972</v>
      </c>
      <c r="AC1437" s="214">
        <f ca="1">+$W1437-XOffset</f>
        <v>30.000006832286932</v>
      </c>
    </row>
    <row r="1438" spans="19:29" ht="8.4" customHeight="1">
      <c r="S1438" s="307"/>
      <c r="T1438" s="226">
        <f t="shared" si="81"/>
        <v>1435</v>
      </c>
      <c r="U1438" s="224">
        <f t="shared" si="79"/>
        <v>1</v>
      </c>
      <c r="V1438" s="225">
        <f t="shared" si="80"/>
        <v>3</v>
      </c>
      <c r="W1438" s="236">
        <f ca="1">+$U1438*EWSpacingFt+XOffset+PanArrayWidthHighEndFt-(PanArrayWidthHighEndFt-PanArrayWidthLowEndFt)/2</f>
        <v>40.802828354596642</v>
      </c>
      <c r="X1438" s="240">
        <f ca="1">$V1438*NSSpacingFt+YOffset+0</f>
        <v>53.999999999999972</v>
      </c>
      <c r="Y1438" s="244">
        <f ca="1">+$V1438*NSGradeFt+PedHeight+0</f>
        <v>7.401410761154855</v>
      </c>
      <c r="Z1438" s="214">
        <f ca="1">+$W1438</f>
        <v>40.802828354596642</v>
      </c>
      <c r="AA1438" s="214">
        <f ca="1">+$Y1438</f>
        <v>7.401410761154855</v>
      </c>
      <c r="AB1438" s="214">
        <f ca="1">+$X1438</f>
        <v>53.999999999999972</v>
      </c>
      <c r="AC1438" s="214">
        <f ca="1">+$W1438-XOffset</f>
        <v>40.802828354596642</v>
      </c>
    </row>
    <row r="1439" spans="19:29" ht="8.4" customHeight="1">
      <c r="S1439" s="307"/>
      <c r="T1439" s="226">
        <f t="shared" si="81"/>
        <v>1436</v>
      </c>
      <c r="U1439" s="224">
        <f t="shared" si="79"/>
        <v>1</v>
      </c>
      <c r="V1439" s="225">
        <f t="shared" si="80"/>
        <v>3</v>
      </c>
      <c r="W1439" s="237">
        <f ca="1">$U1439*EWSpacingFt+XOffset+PanArrayWidthHighEndFt</f>
        <v>40.802828354596642</v>
      </c>
      <c r="X1439" s="241">
        <f ca="1">$V1439*NSSpacingFt+YOffset+PanArrayLenFt*COS(RADIANS(Latitude+DecAng))</f>
        <v>70.43963254593173</v>
      </c>
      <c r="Y1439" s="245">
        <f ca="1">+$V1439*NSGradeFt+PedHeight+PanArrayLenFt*SIN(RADIANS(Latitude+DecAng))</f>
        <v>7.401410761154855</v>
      </c>
      <c r="Z1439" s="214">
        <f ca="1">+$W1439</f>
        <v>40.802828354596642</v>
      </c>
      <c r="AA1439" s="214">
        <f ca="1">+$Y1439</f>
        <v>7.401410761154855</v>
      </c>
      <c r="AB1439" s="214">
        <f ca="1">+$X1439</f>
        <v>70.43963254593173</v>
      </c>
      <c r="AC1439" s="214">
        <f ca="1">+$W1439-XOffset</f>
        <v>40.802828354596642</v>
      </c>
    </row>
    <row r="1440" spans="19:29" ht="8.4" customHeight="1">
      <c r="S1440" s="307"/>
      <c r="T1440" s="226">
        <f t="shared" si="81"/>
        <v>1437</v>
      </c>
      <c r="U1440" s="224">
        <f t="shared" si="79"/>
        <v>1</v>
      </c>
      <c r="V1440" s="225">
        <f t="shared" si="80"/>
        <v>3</v>
      </c>
      <c r="W1440" s="238">
        <f ca="1">$U1440*EWSpacingFt+XOffset+0</f>
        <v>30.000006832286932</v>
      </c>
      <c r="X1440" s="242">
        <f ca="1">$V1440*NSSpacingFt+YOffset+PanArrayLenFt*COS(RADIANS(Latitude+DecAng))</f>
        <v>70.43963254593173</v>
      </c>
      <c r="Y1440" s="246">
        <f ca="1">+$V1440*NSGradeFt+PedHeight+PanArrayLenFt*SIN(RADIANS(Latitude+DecAng))</f>
        <v>7.401410761154855</v>
      </c>
      <c r="Z1440" s="214">
        <f ca="1">+$W1440</f>
        <v>30.000006832286932</v>
      </c>
      <c r="AA1440" s="214">
        <f ca="1">+$Y1440</f>
        <v>7.401410761154855</v>
      </c>
      <c r="AB1440" s="214">
        <f ca="1">+$X1440</f>
        <v>70.43963254593173</v>
      </c>
      <c r="AC1440" s="214">
        <f ca="1">+$W1440-XOffset</f>
        <v>30.000006832286932</v>
      </c>
    </row>
    <row r="1441" spans="19:29" ht="8.4" customHeight="1">
      <c r="S1441" s="307"/>
      <c r="T1441" s="226">
        <f t="shared" si="81"/>
        <v>1438</v>
      </c>
      <c r="U1441" s="224">
        <f t="shared" si="79"/>
        <v>1</v>
      </c>
      <c r="V1441" s="225">
        <f t="shared" si="80"/>
        <v>3</v>
      </c>
      <c r="W1441" s="239">
        <f ca="1">$U1441*EWSpacingFt+XOffset+(PanArrayWidthHighEndFt-PanArrayWidthLowEndFt)/2</f>
        <v>30.000006832286932</v>
      </c>
      <c r="X1441" s="243">
        <f ca="1">$V1441*NSSpacingFt+YOffset+0</f>
        <v>53.999999999999972</v>
      </c>
      <c r="Y1441" s="247">
        <f ca="1">+$V1441*NSGradeFt+PedHeight+0</f>
        <v>7.401410761154855</v>
      </c>
      <c r="Z1441" s="214">
        <f ca="1">+$W1441</f>
        <v>30.000006832286932</v>
      </c>
      <c r="AA1441" s="214">
        <f ca="1">+$Y1441</f>
        <v>7.401410761154855</v>
      </c>
      <c r="AB1441" s="214">
        <f ca="1">+$X1441</f>
        <v>53.999999999999972</v>
      </c>
      <c r="AC1441" s="214">
        <f ca="1">+$W1441-XOffset</f>
        <v>30.000006832286932</v>
      </c>
    </row>
    <row r="1442" spans="19:29" ht="8.4" customHeight="1">
      <c r="S1442" s="307"/>
      <c r="T1442" s="226">
        <f t="shared" si="81"/>
        <v>1439</v>
      </c>
      <c r="U1442" s="224">
        <f t="shared" si="79"/>
        <v>1</v>
      </c>
      <c r="V1442" s="225">
        <f t="shared" si="80"/>
        <v>3</v>
      </c>
      <c r="W1442" s="217"/>
      <c r="X1442" s="217"/>
      <c r="Y1442" s="217"/>
      <c r="Z1442" s="214"/>
      <c r="AA1442" s="214"/>
      <c r="AB1442" s="214"/>
      <c r="AC1442" s="214"/>
    </row>
    <row r="1443" spans="19:29" ht="8.4" customHeight="1">
      <c r="S1443" s="307">
        <f>INT((T1443-0)/6)+1</f>
        <v>241</v>
      </c>
      <c r="T1443" s="226">
        <f>+T1442+1</f>
        <v>1440</v>
      </c>
      <c r="U1443" s="224">
        <f t="shared" si="79"/>
        <v>0</v>
      </c>
      <c r="V1443" s="225">
        <f t="shared" si="80"/>
        <v>0</v>
      </c>
      <c r="W1443" s="233">
        <f ca="1">$U1443*EWSpacingFt+XOffset+(PanArrayWidthHighEndFt-PanArrayWidthLowEndFt)/2</f>
        <v>0</v>
      </c>
      <c r="X1443" s="234">
        <f ca="1">$V1443*NSSpacingFt+YOffset+0</f>
        <v>0</v>
      </c>
      <c r="Y1443" s="235">
        <f ca="1">+$V1443*NSGradeFt+PedHeight+0</f>
        <v>7.401410761154855</v>
      </c>
      <c r="Z1443" s="214">
        <f ca="1">+$W1443</f>
        <v>0</v>
      </c>
      <c r="AA1443" s="214">
        <f ca="1">+$Y1443</f>
        <v>7.401410761154855</v>
      </c>
      <c r="AB1443" s="214">
        <f ca="1">+$X1443</f>
        <v>0</v>
      </c>
      <c r="AC1443" s="214">
        <f ca="1">+$W1443-XOffset</f>
        <v>0</v>
      </c>
    </row>
    <row r="1444" spans="19:29" ht="8.4" customHeight="1">
      <c r="S1444" s="307"/>
      <c r="T1444" s="226">
        <f>+T1443+1</f>
        <v>1441</v>
      </c>
      <c r="U1444" s="224">
        <f t="shared" si="79"/>
        <v>0</v>
      </c>
      <c r="V1444" s="225">
        <f t="shared" si="80"/>
        <v>0</v>
      </c>
      <c r="W1444" s="236">
        <f ca="1">+$U1444*EWSpacingFt+XOffset+PanArrayWidthHighEndFt-(PanArrayWidthHighEndFt-PanArrayWidthLowEndFt)/2</f>
        <v>10.80282152230971</v>
      </c>
      <c r="X1444" s="240">
        <f ca="1">$V1444*NSSpacingFt+YOffset+0</f>
        <v>0</v>
      </c>
      <c r="Y1444" s="244">
        <f ca="1">+$V1444*NSGradeFt+PedHeight+0</f>
        <v>7.401410761154855</v>
      </c>
      <c r="Z1444" s="214">
        <f ca="1">+$W1444</f>
        <v>10.80282152230971</v>
      </c>
      <c r="AA1444" s="214">
        <f ca="1">+$Y1444</f>
        <v>7.401410761154855</v>
      </c>
      <c r="AB1444" s="214">
        <f ca="1">+$X1444</f>
        <v>0</v>
      </c>
      <c r="AC1444" s="214">
        <f ca="1">+$W1444-XOffset</f>
        <v>10.80282152230971</v>
      </c>
    </row>
    <row r="1445" spans="19:29" ht="8.4" customHeight="1">
      <c r="S1445" s="307"/>
      <c r="T1445" s="226">
        <f t="shared" ref="T1445:T1508" si="82">+T1444+1</f>
        <v>1442</v>
      </c>
      <c r="U1445" s="224">
        <f t="shared" si="79"/>
        <v>0</v>
      </c>
      <c r="V1445" s="225">
        <f t="shared" si="80"/>
        <v>0</v>
      </c>
      <c r="W1445" s="237">
        <f ca="1">$U1445*EWSpacingFt+XOffset+PanArrayWidthHighEndFt</f>
        <v>10.80282152230971</v>
      </c>
      <c r="X1445" s="241">
        <f ca="1">$V1445*NSSpacingFt+YOffset+PanArrayLenFt*COS(RADIANS(Latitude+DecAng))</f>
        <v>16.439632545931762</v>
      </c>
      <c r="Y1445" s="245">
        <f ca="1">+$V1445*NSGradeFt+PedHeight+PanArrayLenFt*SIN(RADIANS(Latitude+DecAng))</f>
        <v>7.401410761154855</v>
      </c>
      <c r="Z1445" s="214">
        <f ca="1">+$W1445</f>
        <v>10.80282152230971</v>
      </c>
      <c r="AA1445" s="214">
        <f ca="1">+$Y1445</f>
        <v>7.401410761154855</v>
      </c>
      <c r="AB1445" s="214">
        <f ca="1">+$X1445</f>
        <v>16.439632545931762</v>
      </c>
      <c r="AC1445" s="214">
        <f ca="1">+$W1445-XOffset</f>
        <v>10.80282152230971</v>
      </c>
    </row>
    <row r="1446" spans="19:29" ht="8.4" customHeight="1">
      <c r="S1446" s="307"/>
      <c r="T1446" s="226">
        <f t="shared" si="82"/>
        <v>1443</v>
      </c>
      <c r="U1446" s="224">
        <f t="shared" si="79"/>
        <v>0</v>
      </c>
      <c r="V1446" s="225">
        <f t="shared" si="80"/>
        <v>0</v>
      </c>
      <c r="W1446" s="238">
        <f ca="1">$U1446*EWSpacingFt+XOffset+0</f>
        <v>0</v>
      </c>
      <c r="X1446" s="242">
        <f ca="1">$V1446*NSSpacingFt+YOffset+PanArrayLenFt*COS(RADIANS(Latitude+DecAng))</f>
        <v>16.439632545931762</v>
      </c>
      <c r="Y1446" s="246">
        <f ca="1">+$V1446*NSGradeFt+PedHeight+PanArrayLenFt*SIN(RADIANS(Latitude+DecAng))</f>
        <v>7.401410761154855</v>
      </c>
      <c r="Z1446" s="214">
        <f ca="1">+$W1446</f>
        <v>0</v>
      </c>
      <c r="AA1446" s="214">
        <f ca="1">+$Y1446</f>
        <v>7.401410761154855</v>
      </c>
      <c r="AB1446" s="214">
        <f ca="1">+$X1446</f>
        <v>16.439632545931762</v>
      </c>
      <c r="AC1446" s="214">
        <f ca="1">+$W1446-XOffset</f>
        <v>0</v>
      </c>
    </row>
    <row r="1447" spans="19:29" ht="8.4" customHeight="1">
      <c r="S1447" s="307"/>
      <c r="T1447" s="226">
        <f t="shared" si="82"/>
        <v>1444</v>
      </c>
      <c r="U1447" s="224">
        <f t="shared" si="79"/>
        <v>0</v>
      </c>
      <c r="V1447" s="225">
        <f t="shared" si="80"/>
        <v>0</v>
      </c>
      <c r="W1447" s="239">
        <f ca="1">$U1447*EWSpacingFt+XOffset+(PanArrayWidthHighEndFt-PanArrayWidthLowEndFt)/2</f>
        <v>0</v>
      </c>
      <c r="X1447" s="243">
        <f ca="1">$V1447*NSSpacingFt+YOffset+0</f>
        <v>0</v>
      </c>
      <c r="Y1447" s="247">
        <f ca="1">+$V1447*NSGradeFt+PedHeight+0</f>
        <v>7.401410761154855</v>
      </c>
      <c r="Z1447" s="214">
        <f ca="1">+$W1447</f>
        <v>0</v>
      </c>
      <c r="AA1447" s="214">
        <f ca="1">+$Y1447</f>
        <v>7.401410761154855</v>
      </c>
      <c r="AB1447" s="214">
        <f ca="1">+$X1447</f>
        <v>0</v>
      </c>
      <c r="AC1447" s="214">
        <f ca="1">+$W1447-XOffset</f>
        <v>0</v>
      </c>
    </row>
    <row r="1448" spans="19:29" ht="8.4" customHeight="1">
      <c r="S1448" s="307"/>
      <c r="T1448" s="226">
        <f t="shared" si="82"/>
        <v>1445</v>
      </c>
      <c r="U1448" s="224">
        <f t="shared" si="79"/>
        <v>0</v>
      </c>
      <c r="V1448" s="225">
        <f t="shared" si="80"/>
        <v>0</v>
      </c>
      <c r="W1448" s="217"/>
      <c r="X1448" s="217"/>
      <c r="Y1448" s="217"/>
      <c r="Z1448" s="214"/>
      <c r="AA1448" s="214"/>
      <c r="AB1448" s="214"/>
      <c r="AC1448" s="214"/>
    </row>
    <row r="1449" spans="19:29" ht="8.4" customHeight="1">
      <c r="S1449" s="307">
        <f>INT((T1449-0)/6)+1</f>
        <v>242</v>
      </c>
      <c r="T1449" s="226">
        <f t="shared" si="82"/>
        <v>1446</v>
      </c>
      <c r="U1449" s="224">
        <f t="shared" si="79"/>
        <v>1</v>
      </c>
      <c r="V1449" s="225">
        <f t="shared" si="80"/>
        <v>0</v>
      </c>
      <c r="W1449" s="233">
        <f ca="1">$U1449*EWSpacingFt+XOffset+(PanArrayWidthHighEndFt-PanArrayWidthLowEndFt)/2</f>
        <v>30.000006832286932</v>
      </c>
      <c r="X1449" s="234">
        <f ca="1">$V1449*NSSpacingFt+YOffset+0</f>
        <v>0</v>
      </c>
      <c r="Y1449" s="235">
        <f ca="1">+$V1449*NSGradeFt+PedHeight+0</f>
        <v>7.401410761154855</v>
      </c>
      <c r="Z1449" s="214">
        <f ca="1">+$W1449</f>
        <v>30.000006832286932</v>
      </c>
      <c r="AA1449" s="214">
        <f ca="1">+$Y1449</f>
        <v>7.401410761154855</v>
      </c>
      <c r="AB1449" s="214">
        <f ca="1">+$X1449</f>
        <v>0</v>
      </c>
      <c r="AC1449" s="214">
        <f ca="1">+$W1449-XOffset</f>
        <v>30.000006832286932</v>
      </c>
    </row>
    <row r="1450" spans="19:29" ht="8.4" customHeight="1">
      <c r="S1450" s="307"/>
      <c r="T1450" s="226">
        <f t="shared" si="82"/>
        <v>1447</v>
      </c>
      <c r="U1450" s="224">
        <f t="shared" si="79"/>
        <v>1</v>
      </c>
      <c r="V1450" s="225">
        <f t="shared" si="80"/>
        <v>0</v>
      </c>
      <c r="W1450" s="236">
        <f ca="1">+$U1450*EWSpacingFt+XOffset+PanArrayWidthHighEndFt-(PanArrayWidthHighEndFt-PanArrayWidthLowEndFt)/2</f>
        <v>40.802828354596642</v>
      </c>
      <c r="X1450" s="240">
        <f ca="1">$V1450*NSSpacingFt+YOffset+0</f>
        <v>0</v>
      </c>
      <c r="Y1450" s="244">
        <f ca="1">+$V1450*NSGradeFt+PedHeight+0</f>
        <v>7.401410761154855</v>
      </c>
      <c r="Z1450" s="214">
        <f ca="1">+$W1450</f>
        <v>40.802828354596642</v>
      </c>
      <c r="AA1450" s="214">
        <f ca="1">+$Y1450</f>
        <v>7.401410761154855</v>
      </c>
      <c r="AB1450" s="214">
        <f ca="1">+$X1450</f>
        <v>0</v>
      </c>
      <c r="AC1450" s="214">
        <f ca="1">+$W1450-XOffset</f>
        <v>40.802828354596642</v>
      </c>
    </row>
    <row r="1451" spans="19:29" ht="8.4" customHeight="1">
      <c r="S1451" s="307"/>
      <c r="T1451" s="226">
        <f t="shared" si="82"/>
        <v>1448</v>
      </c>
      <c r="U1451" s="224">
        <f t="shared" si="79"/>
        <v>1</v>
      </c>
      <c r="V1451" s="225">
        <f t="shared" si="80"/>
        <v>0</v>
      </c>
      <c r="W1451" s="237">
        <f ca="1">$U1451*EWSpacingFt+XOffset+PanArrayWidthHighEndFt</f>
        <v>40.802828354596642</v>
      </c>
      <c r="X1451" s="241">
        <f ca="1">$V1451*NSSpacingFt+YOffset+PanArrayLenFt*COS(RADIANS(Latitude+DecAng))</f>
        <v>16.439632545931762</v>
      </c>
      <c r="Y1451" s="245">
        <f ca="1">+$V1451*NSGradeFt+PedHeight+PanArrayLenFt*SIN(RADIANS(Latitude+DecAng))</f>
        <v>7.401410761154855</v>
      </c>
      <c r="Z1451" s="214">
        <f ca="1">+$W1451</f>
        <v>40.802828354596642</v>
      </c>
      <c r="AA1451" s="214">
        <f ca="1">+$Y1451</f>
        <v>7.401410761154855</v>
      </c>
      <c r="AB1451" s="214">
        <f ca="1">+$X1451</f>
        <v>16.439632545931762</v>
      </c>
      <c r="AC1451" s="214">
        <f ca="1">+$W1451-XOffset</f>
        <v>40.802828354596642</v>
      </c>
    </row>
    <row r="1452" spans="19:29" ht="8.4" customHeight="1">
      <c r="S1452" s="307"/>
      <c r="T1452" s="226">
        <f t="shared" si="82"/>
        <v>1449</v>
      </c>
      <c r="U1452" s="224">
        <f t="shared" si="79"/>
        <v>1</v>
      </c>
      <c r="V1452" s="225">
        <f t="shared" si="80"/>
        <v>0</v>
      </c>
      <c r="W1452" s="238">
        <f ca="1">$U1452*EWSpacingFt+XOffset+0</f>
        <v>30.000006832286932</v>
      </c>
      <c r="X1452" s="242">
        <f ca="1">$V1452*NSSpacingFt+YOffset+PanArrayLenFt*COS(RADIANS(Latitude+DecAng))</f>
        <v>16.439632545931762</v>
      </c>
      <c r="Y1452" s="246">
        <f ca="1">+$V1452*NSGradeFt+PedHeight+PanArrayLenFt*SIN(RADIANS(Latitude+DecAng))</f>
        <v>7.401410761154855</v>
      </c>
      <c r="Z1452" s="214">
        <f ca="1">+$W1452</f>
        <v>30.000006832286932</v>
      </c>
      <c r="AA1452" s="214">
        <f ca="1">+$Y1452</f>
        <v>7.401410761154855</v>
      </c>
      <c r="AB1452" s="214">
        <f ca="1">+$X1452</f>
        <v>16.439632545931762</v>
      </c>
      <c r="AC1452" s="214">
        <f ca="1">+$W1452-XOffset</f>
        <v>30.000006832286932</v>
      </c>
    </row>
    <row r="1453" spans="19:29" ht="8.4" customHeight="1">
      <c r="S1453" s="307"/>
      <c r="T1453" s="226">
        <f t="shared" si="82"/>
        <v>1450</v>
      </c>
      <c r="U1453" s="224">
        <f t="shared" si="79"/>
        <v>1</v>
      </c>
      <c r="V1453" s="225">
        <f t="shared" si="80"/>
        <v>0</v>
      </c>
      <c r="W1453" s="239">
        <f ca="1">$U1453*EWSpacingFt+XOffset+(PanArrayWidthHighEndFt-PanArrayWidthLowEndFt)/2</f>
        <v>30.000006832286932</v>
      </c>
      <c r="X1453" s="243">
        <f ca="1">$V1453*NSSpacingFt+YOffset+0</f>
        <v>0</v>
      </c>
      <c r="Y1453" s="247">
        <f ca="1">+$V1453*NSGradeFt+PedHeight+0</f>
        <v>7.401410761154855</v>
      </c>
      <c r="Z1453" s="214">
        <f ca="1">+$W1453</f>
        <v>30.000006832286932</v>
      </c>
      <c r="AA1453" s="214">
        <f ca="1">+$Y1453</f>
        <v>7.401410761154855</v>
      </c>
      <c r="AB1453" s="214">
        <f ca="1">+$X1453</f>
        <v>0</v>
      </c>
      <c r="AC1453" s="214">
        <f ca="1">+$W1453-XOffset</f>
        <v>30.000006832286932</v>
      </c>
    </row>
    <row r="1454" spans="19:29" ht="8.4" customHeight="1">
      <c r="S1454" s="307"/>
      <c r="T1454" s="226">
        <f t="shared" si="82"/>
        <v>1451</v>
      </c>
      <c r="U1454" s="224">
        <f t="shared" si="79"/>
        <v>1</v>
      </c>
      <c r="V1454" s="225">
        <f t="shared" si="80"/>
        <v>0</v>
      </c>
      <c r="W1454" s="217"/>
      <c r="X1454" s="217"/>
      <c r="Y1454" s="217"/>
      <c r="Z1454" s="214"/>
      <c r="AA1454" s="214"/>
      <c r="AB1454" s="214"/>
      <c r="AC1454" s="214"/>
    </row>
    <row r="1455" spans="19:29" ht="8.4" customHeight="1">
      <c r="S1455" s="307">
        <f>INT((T1455-0)/6)+1</f>
        <v>243</v>
      </c>
      <c r="T1455" s="226">
        <f t="shared" si="82"/>
        <v>1452</v>
      </c>
      <c r="U1455" s="224">
        <f t="shared" si="79"/>
        <v>0</v>
      </c>
      <c r="V1455" s="225">
        <f t="shared" si="80"/>
        <v>1</v>
      </c>
      <c r="W1455" s="233">
        <f ca="1">$U1455*EWSpacingFt+XOffset+(PanArrayWidthHighEndFt-PanArrayWidthLowEndFt)/2</f>
        <v>0</v>
      </c>
      <c r="X1455" s="234">
        <f ca="1">$V1455*NSSpacingFt+YOffset+0</f>
        <v>17.999999999999989</v>
      </c>
      <c r="Y1455" s="235">
        <f ca="1">+$V1455*NSGradeFt+PedHeight+0</f>
        <v>7.401410761154855</v>
      </c>
      <c r="Z1455" s="214">
        <f ca="1">+$W1455</f>
        <v>0</v>
      </c>
      <c r="AA1455" s="214">
        <f ca="1">+$Y1455</f>
        <v>7.401410761154855</v>
      </c>
      <c r="AB1455" s="214">
        <f ca="1">+$X1455</f>
        <v>17.999999999999989</v>
      </c>
      <c r="AC1455" s="214">
        <f ca="1">+$W1455-XOffset</f>
        <v>0</v>
      </c>
    </row>
    <row r="1456" spans="19:29" ht="8.4" customHeight="1">
      <c r="S1456" s="307"/>
      <c r="T1456" s="226">
        <f t="shared" si="82"/>
        <v>1453</v>
      </c>
      <c r="U1456" s="224">
        <f t="shared" si="79"/>
        <v>0</v>
      </c>
      <c r="V1456" s="225">
        <f t="shared" si="80"/>
        <v>1</v>
      </c>
      <c r="W1456" s="236">
        <f ca="1">+$U1456*EWSpacingFt+XOffset+PanArrayWidthHighEndFt-(PanArrayWidthHighEndFt-PanArrayWidthLowEndFt)/2</f>
        <v>10.80282152230971</v>
      </c>
      <c r="X1456" s="240">
        <f ca="1">$V1456*NSSpacingFt+YOffset+0</f>
        <v>17.999999999999989</v>
      </c>
      <c r="Y1456" s="244">
        <f ca="1">+$V1456*NSGradeFt+PedHeight+0</f>
        <v>7.401410761154855</v>
      </c>
      <c r="Z1456" s="214">
        <f ca="1">+$W1456</f>
        <v>10.80282152230971</v>
      </c>
      <c r="AA1456" s="214">
        <f ca="1">+$Y1456</f>
        <v>7.401410761154855</v>
      </c>
      <c r="AB1456" s="214">
        <f ca="1">+$X1456</f>
        <v>17.999999999999989</v>
      </c>
      <c r="AC1456" s="214">
        <f ca="1">+$W1456-XOffset</f>
        <v>10.80282152230971</v>
      </c>
    </row>
    <row r="1457" spans="19:29" ht="8.4" customHeight="1">
      <c r="S1457" s="307"/>
      <c r="T1457" s="226">
        <f t="shared" si="82"/>
        <v>1454</v>
      </c>
      <c r="U1457" s="224">
        <f t="shared" si="79"/>
        <v>0</v>
      </c>
      <c r="V1457" s="225">
        <f t="shared" si="80"/>
        <v>1</v>
      </c>
      <c r="W1457" s="237">
        <f ca="1">$U1457*EWSpacingFt+XOffset+PanArrayWidthHighEndFt</f>
        <v>10.80282152230971</v>
      </c>
      <c r="X1457" s="241">
        <f ca="1">$V1457*NSSpacingFt+YOffset+PanArrayLenFt*COS(RADIANS(Latitude+DecAng))</f>
        <v>34.439632545931751</v>
      </c>
      <c r="Y1457" s="245">
        <f ca="1">+$V1457*NSGradeFt+PedHeight+PanArrayLenFt*SIN(RADIANS(Latitude+DecAng))</f>
        <v>7.401410761154855</v>
      </c>
      <c r="Z1457" s="214">
        <f ca="1">+$W1457</f>
        <v>10.80282152230971</v>
      </c>
      <c r="AA1457" s="214">
        <f ca="1">+$Y1457</f>
        <v>7.401410761154855</v>
      </c>
      <c r="AB1457" s="214">
        <f ca="1">+$X1457</f>
        <v>34.439632545931751</v>
      </c>
      <c r="AC1457" s="214">
        <f ca="1">+$W1457-XOffset</f>
        <v>10.80282152230971</v>
      </c>
    </row>
    <row r="1458" spans="19:29" ht="8.4" customHeight="1">
      <c r="S1458" s="307"/>
      <c r="T1458" s="226">
        <f t="shared" si="82"/>
        <v>1455</v>
      </c>
      <c r="U1458" s="224">
        <f t="shared" si="79"/>
        <v>0</v>
      </c>
      <c r="V1458" s="225">
        <f t="shared" si="80"/>
        <v>1</v>
      </c>
      <c r="W1458" s="238">
        <f ca="1">$U1458*EWSpacingFt+XOffset+0</f>
        <v>0</v>
      </c>
      <c r="X1458" s="242">
        <f ca="1">$V1458*NSSpacingFt+YOffset+PanArrayLenFt*COS(RADIANS(Latitude+DecAng))</f>
        <v>34.439632545931751</v>
      </c>
      <c r="Y1458" s="246">
        <f ca="1">+$V1458*NSGradeFt+PedHeight+PanArrayLenFt*SIN(RADIANS(Latitude+DecAng))</f>
        <v>7.401410761154855</v>
      </c>
      <c r="Z1458" s="214">
        <f ca="1">+$W1458</f>
        <v>0</v>
      </c>
      <c r="AA1458" s="214">
        <f ca="1">+$Y1458</f>
        <v>7.401410761154855</v>
      </c>
      <c r="AB1458" s="214">
        <f ca="1">+$X1458</f>
        <v>34.439632545931751</v>
      </c>
      <c r="AC1458" s="214">
        <f ca="1">+$W1458-XOffset</f>
        <v>0</v>
      </c>
    </row>
    <row r="1459" spans="19:29" ht="8.4" customHeight="1">
      <c r="S1459" s="307"/>
      <c r="T1459" s="226">
        <f t="shared" si="82"/>
        <v>1456</v>
      </c>
      <c r="U1459" s="224">
        <f t="shared" si="79"/>
        <v>0</v>
      </c>
      <c r="V1459" s="225">
        <f t="shared" si="80"/>
        <v>1</v>
      </c>
      <c r="W1459" s="239">
        <f ca="1">$U1459*EWSpacingFt+XOffset+(PanArrayWidthHighEndFt-PanArrayWidthLowEndFt)/2</f>
        <v>0</v>
      </c>
      <c r="X1459" s="243">
        <f ca="1">$V1459*NSSpacingFt+YOffset+0</f>
        <v>17.999999999999989</v>
      </c>
      <c r="Y1459" s="247">
        <f ca="1">+$V1459*NSGradeFt+PedHeight+0</f>
        <v>7.401410761154855</v>
      </c>
      <c r="Z1459" s="214">
        <f ca="1">+$W1459</f>
        <v>0</v>
      </c>
      <c r="AA1459" s="214">
        <f ca="1">+$Y1459</f>
        <v>7.401410761154855</v>
      </c>
      <c r="AB1459" s="214">
        <f ca="1">+$X1459</f>
        <v>17.999999999999989</v>
      </c>
      <c r="AC1459" s="214">
        <f ca="1">+$W1459-XOffset</f>
        <v>0</v>
      </c>
    </row>
    <row r="1460" spans="19:29" ht="8.4" customHeight="1">
      <c r="S1460" s="307"/>
      <c r="T1460" s="226">
        <f t="shared" si="82"/>
        <v>1457</v>
      </c>
      <c r="U1460" s="224">
        <f t="shared" si="79"/>
        <v>0</v>
      </c>
      <c r="V1460" s="225">
        <f t="shared" si="80"/>
        <v>1</v>
      </c>
      <c r="W1460" s="217"/>
      <c r="X1460" s="217"/>
      <c r="Y1460" s="217"/>
      <c r="Z1460" s="214"/>
      <c r="AA1460" s="214"/>
      <c r="AB1460" s="214"/>
      <c r="AC1460" s="214"/>
    </row>
    <row r="1461" spans="19:29" ht="8.4" customHeight="1">
      <c r="S1461" s="307">
        <f>INT((T1461-0)/6)+1</f>
        <v>244</v>
      </c>
      <c r="T1461" s="226">
        <f t="shared" si="82"/>
        <v>1458</v>
      </c>
      <c r="U1461" s="224">
        <f t="shared" si="79"/>
        <v>1</v>
      </c>
      <c r="V1461" s="225">
        <f t="shared" si="80"/>
        <v>1</v>
      </c>
      <c r="W1461" s="233">
        <f ca="1">$U1461*EWSpacingFt+XOffset+(PanArrayWidthHighEndFt-PanArrayWidthLowEndFt)/2</f>
        <v>30.000006832286932</v>
      </c>
      <c r="X1461" s="234">
        <f ca="1">$V1461*NSSpacingFt+YOffset+0</f>
        <v>17.999999999999989</v>
      </c>
      <c r="Y1461" s="235">
        <f ca="1">+$V1461*NSGradeFt+PedHeight+0</f>
        <v>7.401410761154855</v>
      </c>
      <c r="Z1461" s="214">
        <f ca="1">+$W1461</f>
        <v>30.000006832286932</v>
      </c>
      <c r="AA1461" s="214">
        <f ca="1">+$Y1461</f>
        <v>7.401410761154855</v>
      </c>
      <c r="AB1461" s="214">
        <f ca="1">+$X1461</f>
        <v>17.999999999999989</v>
      </c>
      <c r="AC1461" s="214">
        <f ca="1">+$W1461-XOffset</f>
        <v>30.000006832286932</v>
      </c>
    </row>
    <row r="1462" spans="19:29" ht="8.4" customHeight="1">
      <c r="S1462" s="307"/>
      <c r="T1462" s="226">
        <f t="shared" si="82"/>
        <v>1459</v>
      </c>
      <c r="U1462" s="224">
        <f t="shared" si="79"/>
        <v>1</v>
      </c>
      <c r="V1462" s="225">
        <f t="shared" si="80"/>
        <v>1</v>
      </c>
      <c r="W1462" s="236">
        <f ca="1">+$U1462*EWSpacingFt+XOffset+PanArrayWidthHighEndFt-(PanArrayWidthHighEndFt-PanArrayWidthLowEndFt)/2</f>
        <v>40.802828354596642</v>
      </c>
      <c r="X1462" s="240">
        <f ca="1">$V1462*NSSpacingFt+YOffset+0</f>
        <v>17.999999999999989</v>
      </c>
      <c r="Y1462" s="244">
        <f ca="1">+$V1462*NSGradeFt+PedHeight+0</f>
        <v>7.401410761154855</v>
      </c>
      <c r="Z1462" s="214">
        <f ca="1">+$W1462</f>
        <v>40.802828354596642</v>
      </c>
      <c r="AA1462" s="214">
        <f ca="1">+$Y1462</f>
        <v>7.401410761154855</v>
      </c>
      <c r="AB1462" s="214">
        <f ca="1">+$X1462</f>
        <v>17.999999999999989</v>
      </c>
      <c r="AC1462" s="214">
        <f ca="1">+$W1462-XOffset</f>
        <v>40.802828354596642</v>
      </c>
    </row>
    <row r="1463" spans="19:29" ht="8.4" customHeight="1">
      <c r="S1463" s="307"/>
      <c r="T1463" s="226">
        <f t="shared" si="82"/>
        <v>1460</v>
      </c>
      <c r="U1463" s="224">
        <f t="shared" si="79"/>
        <v>1</v>
      </c>
      <c r="V1463" s="225">
        <f t="shared" si="80"/>
        <v>1</v>
      </c>
      <c r="W1463" s="237">
        <f ca="1">$U1463*EWSpacingFt+XOffset+PanArrayWidthHighEndFt</f>
        <v>40.802828354596642</v>
      </c>
      <c r="X1463" s="241">
        <f ca="1">$V1463*NSSpacingFt+YOffset+PanArrayLenFt*COS(RADIANS(Latitude+DecAng))</f>
        <v>34.439632545931751</v>
      </c>
      <c r="Y1463" s="245">
        <f ca="1">+$V1463*NSGradeFt+PedHeight+PanArrayLenFt*SIN(RADIANS(Latitude+DecAng))</f>
        <v>7.401410761154855</v>
      </c>
      <c r="Z1463" s="214">
        <f ca="1">+$W1463</f>
        <v>40.802828354596642</v>
      </c>
      <c r="AA1463" s="214">
        <f ca="1">+$Y1463</f>
        <v>7.401410761154855</v>
      </c>
      <c r="AB1463" s="214">
        <f ca="1">+$X1463</f>
        <v>34.439632545931751</v>
      </c>
      <c r="AC1463" s="214">
        <f ca="1">+$W1463-XOffset</f>
        <v>40.802828354596642</v>
      </c>
    </row>
    <row r="1464" spans="19:29" ht="8.4" customHeight="1">
      <c r="S1464" s="307"/>
      <c r="T1464" s="226">
        <f t="shared" si="82"/>
        <v>1461</v>
      </c>
      <c r="U1464" s="224">
        <f t="shared" si="79"/>
        <v>1</v>
      </c>
      <c r="V1464" s="225">
        <f t="shared" si="80"/>
        <v>1</v>
      </c>
      <c r="W1464" s="238">
        <f ca="1">$U1464*EWSpacingFt+XOffset+0</f>
        <v>30.000006832286932</v>
      </c>
      <c r="X1464" s="242">
        <f ca="1">$V1464*NSSpacingFt+YOffset+PanArrayLenFt*COS(RADIANS(Latitude+DecAng))</f>
        <v>34.439632545931751</v>
      </c>
      <c r="Y1464" s="246">
        <f ca="1">+$V1464*NSGradeFt+PedHeight+PanArrayLenFt*SIN(RADIANS(Latitude+DecAng))</f>
        <v>7.401410761154855</v>
      </c>
      <c r="Z1464" s="214">
        <f ca="1">+$W1464</f>
        <v>30.000006832286932</v>
      </c>
      <c r="AA1464" s="214">
        <f ca="1">+$Y1464</f>
        <v>7.401410761154855</v>
      </c>
      <c r="AB1464" s="214">
        <f ca="1">+$X1464</f>
        <v>34.439632545931751</v>
      </c>
      <c r="AC1464" s="214">
        <f ca="1">+$W1464-XOffset</f>
        <v>30.000006832286932</v>
      </c>
    </row>
    <row r="1465" spans="19:29" ht="8.4" customHeight="1">
      <c r="S1465" s="307"/>
      <c r="T1465" s="226">
        <f t="shared" si="82"/>
        <v>1462</v>
      </c>
      <c r="U1465" s="224">
        <f t="shared" si="79"/>
        <v>1</v>
      </c>
      <c r="V1465" s="225">
        <f t="shared" si="80"/>
        <v>1</v>
      </c>
      <c r="W1465" s="239">
        <f ca="1">$U1465*EWSpacingFt+XOffset+(PanArrayWidthHighEndFt-PanArrayWidthLowEndFt)/2</f>
        <v>30.000006832286932</v>
      </c>
      <c r="X1465" s="243">
        <f ca="1">$V1465*NSSpacingFt+YOffset+0</f>
        <v>17.999999999999989</v>
      </c>
      <c r="Y1465" s="247">
        <f ca="1">+$V1465*NSGradeFt+PedHeight+0</f>
        <v>7.401410761154855</v>
      </c>
      <c r="Z1465" s="214">
        <f ca="1">+$W1465</f>
        <v>30.000006832286932</v>
      </c>
      <c r="AA1465" s="214">
        <f ca="1">+$Y1465</f>
        <v>7.401410761154855</v>
      </c>
      <c r="AB1465" s="214">
        <f ca="1">+$X1465</f>
        <v>17.999999999999989</v>
      </c>
      <c r="AC1465" s="214">
        <f ca="1">+$W1465-XOffset</f>
        <v>30.000006832286932</v>
      </c>
    </row>
    <row r="1466" spans="19:29" ht="8.4" customHeight="1">
      <c r="S1466" s="307"/>
      <c r="T1466" s="226">
        <f t="shared" si="82"/>
        <v>1463</v>
      </c>
      <c r="U1466" s="224">
        <f t="shared" si="79"/>
        <v>1</v>
      </c>
      <c r="V1466" s="225">
        <f t="shared" si="80"/>
        <v>1</v>
      </c>
      <c r="W1466" s="217"/>
      <c r="X1466" s="217"/>
      <c r="Y1466" s="217"/>
      <c r="Z1466" s="214"/>
      <c r="AA1466" s="214"/>
      <c r="AB1466" s="214"/>
      <c r="AC1466" s="214"/>
    </row>
    <row r="1467" spans="19:29" ht="8.4" customHeight="1">
      <c r="S1467" s="307">
        <f>INT((T1467-0)/6)+1</f>
        <v>245</v>
      </c>
      <c r="T1467" s="226">
        <f t="shared" si="82"/>
        <v>1464</v>
      </c>
      <c r="U1467" s="224">
        <f t="shared" si="79"/>
        <v>0</v>
      </c>
      <c r="V1467" s="225">
        <f t="shared" si="80"/>
        <v>2</v>
      </c>
      <c r="W1467" s="233">
        <f ca="1">$U1467*EWSpacingFt+XOffset+(PanArrayWidthHighEndFt-PanArrayWidthLowEndFt)/2</f>
        <v>0</v>
      </c>
      <c r="X1467" s="234">
        <f ca="1">$V1467*NSSpacingFt+YOffset+0</f>
        <v>35.999999999999979</v>
      </c>
      <c r="Y1467" s="235">
        <f ca="1">+$V1467*NSGradeFt+PedHeight+0</f>
        <v>7.401410761154855</v>
      </c>
      <c r="Z1467" s="214">
        <f ca="1">+$W1467</f>
        <v>0</v>
      </c>
      <c r="AA1467" s="214">
        <f ca="1">+$Y1467</f>
        <v>7.401410761154855</v>
      </c>
      <c r="AB1467" s="214">
        <f ca="1">+$X1467</f>
        <v>35.999999999999979</v>
      </c>
      <c r="AC1467" s="214">
        <f ca="1">+$W1467-XOffset</f>
        <v>0</v>
      </c>
    </row>
    <row r="1468" spans="19:29" ht="8.4" customHeight="1">
      <c r="S1468" s="307"/>
      <c r="T1468" s="226">
        <f t="shared" si="82"/>
        <v>1465</v>
      </c>
      <c r="U1468" s="224">
        <f t="shared" si="79"/>
        <v>0</v>
      </c>
      <c r="V1468" s="225">
        <f t="shared" si="80"/>
        <v>2</v>
      </c>
      <c r="W1468" s="236">
        <f ca="1">+$U1468*EWSpacingFt+XOffset+PanArrayWidthHighEndFt-(PanArrayWidthHighEndFt-PanArrayWidthLowEndFt)/2</f>
        <v>10.80282152230971</v>
      </c>
      <c r="X1468" s="240">
        <f ca="1">$V1468*NSSpacingFt+YOffset+0</f>
        <v>35.999999999999979</v>
      </c>
      <c r="Y1468" s="244">
        <f ca="1">+$V1468*NSGradeFt+PedHeight+0</f>
        <v>7.401410761154855</v>
      </c>
      <c r="Z1468" s="214">
        <f ca="1">+$W1468</f>
        <v>10.80282152230971</v>
      </c>
      <c r="AA1468" s="214">
        <f ca="1">+$Y1468</f>
        <v>7.401410761154855</v>
      </c>
      <c r="AB1468" s="214">
        <f ca="1">+$X1468</f>
        <v>35.999999999999979</v>
      </c>
      <c r="AC1468" s="214">
        <f ca="1">+$W1468-XOffset</f>
        <v>10.80282152230971</v>
      </c>
    </row>
    <row r="1469" spans="19:29" ht="8.4" customHeight="1">
      <c r="S1469" s="307"/>
      <c r="T1469" s="226">
        <f t="shared" si="82"/>
        <v>1466</v>
      </c>
      <c r="U1469" s="224">
        <f t="shared" si="79"/>
        <v>0</v>
      </c>
      <c r="V1469" s="225">
        <f t="shared" si="80"/>
        <v>2</v>
      </c>
      <c r="W1469" s="237">
        <f ca="1">$U1469*EWSpacingFt+XOffset+PanArrayWidthHighEndFt</f>
        <v>10.80282152230971</v>
      </c>
      <c r="X1469" s="241">
        <f ca="1">$V1469*NSSpacingFt+YOffset+PanArrayLenFt*COS(RADIANS(Latitude+DecAng))</f>
        <v>52.439632545931744</v>
      </c>
      <c r="Y1469" s="245">
        <f ca="1">+$V1469*NSGradeFt+PedHeight+PanArrayLenFt*SIN(RADIANS(Latitude+DecAng))</f>
        <v>7.401410761154855</v>
      </c>
      <c r="Z1469" s="214">
        <f ca="1">+$W1469</f>
        <v>10.80282152230971</v>
      </c>
      <c r="AA1469" s="214">
        <f ca="1">+$Y1469</f>
        <v>7.401410761154855</v>
      </c>
      <c r="AB1469" s="214">
        <f ca="1">+$X1469</f>
        <v>52.439632545931744</v>
      </c>
      <c r="AC1469" s="214">
        <f ca="1">+$W1469-XOffset</f>
        <v>10.80282152230971</v>
      </c>
    </row>
    <row r="1470" spans="19:29" ht="8.4" customHeight="1">
      <c r="S1470" s="307"/>
      <c r="T1470" s="226">
        <f t="shared" si="82"/>
        <v>1467</v>
      </c>
      <c r="U1470" s="224">
        <f t="shared" si="79"/>
        <v>0</v>
      </c>
      <c r="V1470" s="225">
        <f t="shared" si="80"/>
        <v>2</v>
      </c>
      <c r="W1470" s="238">
        <f ca="1">$U1470*EWSpacingFt+XOffset+0</f>
        <v>0</v>
      </c>
      <c r="X1470" s="242">
        <f ca="1">$V1470*NSSpacingFt+YOffset+PanArrayLenFt*COS(RADIANS(Latitude+DecAng))</f>
        <v>52.439632545931744</v>
      </c>
      <c r="Y1470" s="246">
        <f ca="1">+$V1470*NSGradeFt+PedHeight+PanArrayLenFt*SIN(RADIANS(Latitude+DecAng))</f>
        <v>7.401410761154855</v>
      </c>
      <c r="Z1470" s="214">
        <f ca="1">+$W1470</f>
        <v>0</v>
      </c>
      <c r="AA1470" s="214">
        <f ca="1">+$Y1470</f>
        <v>7.401410761154855</v>
      </c>
      <c r="AB1470" s="214">
        <f ca="1">+$X1470</f>
        <v>52.439632545931744</v>
      </c>
      <c r="AC1470" s="214">
        <f ca="1">+$W1470-XOffset</f>
        <v>0</v>
      </c>
    </row>
    <row r="1471" spans="19:29" ht="8.4" customHeight="1">
      <c r="S1471" s="307"/>
      <c r="T1471" s="226">
        <f t="shared" si="82"/>
        <v>1468</v>
      </c>
      <c r="U1471" s="224">
        <f t="shared" si="79"/>
        <v>0</v>
      </c>
      <c r="V1471" s="225">
        <f t="shared" si="80"/>
        <v>2</v>
      </c>
      <c r="W1471" s="239">
        <f ca="1">$U1471*EWSpacingFt+XOffset+(PanArrayWidthHighEndFt-PanArrayWidthLowEndFt)/2</f>
        <v>0</v>
      </c>
      <c r="X1471" s="243">
        <f ca="1">$V1471*NSSpacingFt+YOffset+0</f>
        <v>35.999999999999979</v>
      </c>
      <c r="Y1471" s="247">
        <f ca="1">+$V1471*NSGradeFt+PedHeight+0</f>
        <v>7.401410761154855</v>
      </c>
      <c r="Z1471" s="214">
        <f ca="1">+$W1471</f>
        <v>0</v>
      </c>
      <c r="AA1471" s="214">
        <f ca="1">+$Y1471</f>
        <v>7.401410761154855</v>
      </c>
      <c r="AB1471" s="214">
        <f ca="1">+$X1471</f>
        <v>35.999999999999979</v>
      </c>
      <c r="AC1471" s="214">
        <f ca="1">+$W1471-XOffset</f>
        <v>0</v>
      </c>
    </row>
    <row r="1472" spans="19:29" ht="8.4" customHeight="1">
      <c r="S1472" s="307"/>
      <c r="T1472" s="226">
        <f t="shared" si="82"/>
        <v>1469</v>
      </c>
      <c r="U1472" s="224">
        <f t="shared" si="79"/>
        <v>0</v>
      </c>
      <c r="V1472" s="225">
        <f t="shared" si="80"/>
        <v>2</v>
      </c>
      <c r="W1472" s="217"/>
      <c r="X1472" s="217"/>
      <c r="Y1472" s="217"/>
      <c r="Z1472" s="214"/>
      <c r="AA1472" s="214"/>
      <c r="AB1472" s="214"/>
      <c r="AC1472" s="214"/>
    </row>
    <row r="1473" spans="19:29" ht="8.4" customHeight="1">
      <c r="S1473" s="307">
        <f>INT((T1473-0)/6)+1</f>
        <v>246</v>
      </c>
      <c r="T1473" s="226">
        <f t="shared" si="82"/>
        <v>1470</v>
      </c>
      <c r="U1473" s="224">
        <f t="shared" si="79"/>
        <v>1</v>
      </c>
      <c r="V1473" s="225">
        <f t="shared" si="80"/>
        <v>2</v>
      </c>
      <c r="W1473" s="233">
        <f ca="1">$U1473*EWSpacingFt+XOffset+(PanArrayWidthHighEndFt-PanArrayWidthLowEndFt)/2</f>
        <v>30.000006832286932</v>
      </c>
      <c r="X1473" s="234">
        <f ca="1">$V1473*NSSpacingFt+YOffset+0</f>
        <v>35.999999999999979</v>
      </c>
      <c r="Y1473" s="235">
        <f ca="1">+$V1473*NSGradeFt+PedHeight+0</f>
        <v>7.401410761154855</v>
      </c>
      <c r="Z1473" s="214">
        <f ca="1">+$W1473</f>
        <v>30.000006832286932</v>
      </c>
      <c r="AA1473" s="214">
        <f ca="1">+$Y1473</f>
        <v>7.401410761154855</v>
      </c>
      <c r="AB1473" s="214">
        <f ca="1">+$X1473</f>
        <v>35.999999999999979</v>
      </c>
      <c r="AC1473" s="214">
        <f ca="1">+$W1473-XOffset</f>
        <v>30.000006832286932</v>
      </c>
    </row>
    <row r="1474" spans="19:29" ht="8.4" customHeight="1">
      <c r="S1474" s="307"/>
      <c r="T1474" s="226">
        <f t="shared" si="82"/>
        <v>1471</v>
      </c>
      <c r="U1474" s="224">
        <f t="shared" si="79"/>
        <v>1</v>
      </c>
      <c r="V1474" s="225">
        <f t="shared" si="80"/>
        <v>2</v>
      </c>
      <c r="W1474" s="236">
        <f ca="1">+$U1474*EWSpacingFt+XOffset+PanArrayWidthHighEndFt-(PanArrayWidthHighEndFt-PanArrayWidthLowEndFt)/2</f>
        <v>40.802828354596642</v>
      </c>
      <c r="X1474" s="240">
        <f ca="1">$V1474*NSSpacingFt+YOffset+0</f>
        <v>35.999999999999979</v>
      </c>
      <c r="Y1474" s="244">
        <f ca="1">+$V1474*NSGradeFt+PedHeight+0</f>
        <v>7.401410761154855</v>
      </c>
      <c r="Z1474" s="214">
        <f ca="1">+$W1474</f>
        <v>40.802828354596642</v>
      </c>
      <c r="AA1474" s="214">
        <f ca="1">+$Y1474</f>
        <v>7.401410761154855</v>
      </c>
      <c r="AB1474" s="214">
        <f ca="1">+$X1474</f>
        <v>35.999999999999979</v>
      </c>
      <c r="AC1474" s="214">
        <f ca="1">+$W1474-XOffset</f>
        <v>40.802828354596642</v>
      </c>
    </row>
    <row r="1475" spans="19:29" ht="8.4" customHeight="1">
      <c r="S1475" s="307"/>
      <c r="T1475" s="226">
        <f t="shared" si="82"/>
        <v>1472</v>
      </c>
      <c r="U1475" s="224">
        <f t="shared" ref="U1475:U1538" si="83">+MOD(INT(T1475/6),ColumnsOfMounts)</f>
        <v>1</v>
      </c>
      <c r="V1475" s="225">
        <f t="shared" ref="V1475:V1538" si="84">+MOD(INT(T1475/6/ColumnsOfMounts),RowsOfMounts)</f>
        <v>2</v>
      </c>
      <c r="W1475" s="237">
        <f ca="1">$U1475*EWSpacingFt+XOffset+PanArrayWidthHighEndFt</f>
        <v>40.802828354596642</v>
      </c>
      <c r="X1475" s="241">
        <f ca="1">$V1475*NSSpacingFt+YOffset+PanArrayLenFt*COS(RADIANS(Latitude+DecAng))</f>
        <v>52.439632545931744</v>
      </c>
      <c r="Y1475" s="245">
        <f ca="1">+$V1475*NSGradeFt+PedHeight+PanArrayLenFt*SIN(RADIANS(Latitude+DecAng))</f>
        <v>7.401410761154855</v>
      </c>
      <c r="Z1475" s="214">
        <f ca="1">+$W1475</f>
        <v>40.802828354596642</v>
      </c>
      <c r="AA1475" s="214">
        <f ca="1">+$Y1475</f>
        <v>7.401410761154855</v>
      </c>
      <c r="AB1475" s="214">
        <f ca="1">+$X1475</f>
        <v>52.439632545931744</v>
      </c>
      <c r="AC1475" s="214">
        <f ca="1">+$W1475-XOffset</f>
        <v>40.802828354596642</v>
      </c>
    </row>
    <row r="1476" spans="19:29" ht="8.4" customHeight="1">
      <c r="S1476" s="307"/>
      <c r="T1476" s="226">
        <f t="shared" si="82"/>
        <v>1473</v>
      </c>
      <c r="U1476" s="224">
        <f t="shared" si="83"/>
        <v>1</v>
      </c>
      <c r="V1476" s="225">
        <f t="shared" si="84"/>
        <v>2</v>
      </c>
      <c r="W1476" s="238">
        <f ca="1">$U1476*EWSpacingFt+XOffset+0</f>
        <v>30.000006832286932</v>
      </c>
      <c r="X1476" s="242">
        <f ca="1">$V1476*NSSpacingFt+YOffset+PanArrayLenFt*COS(RADIANS(Latitude+DecAng))</f>
        <v>52.439632545931744</v>
      </c>
      <c r="Y1476" s="246">
        <f ca="1">+$V1476*NSGradeFt+PedHeight+PanArrayLenFt*SIN(RADIANS(Latitude+DecAng))</f>
        <v>7.401410761154855</v>
      </c>
      <c r="Z1476" s="214">
        <f ca="1">+$W1476</f>
        <v>30.000006832286932</v>
      </c>
      <c r="AA1476" s="214">
        <f ca="1">+$Y1476</f>
        <v>7.401410761154855</v>
      </c>
      <c r="AB1476" s="214">
        <f ca="1">+$X1476</f>
        <v>52.439632545931744</v>
      </c>
      <c r="AC1476" s="214">
        <f ca="1">+$W1476-XOffset</f>
        <v>30.000006832286932</v>
      </c>
    </row>
    <row r="1477" spans="19:29" ht="8.4" customHeight="1">
      <c r="S1477" s="307"/>
      <c r="T1477" s="226">
        <f t="shared" si="82"/>
        <v>1474</v>
      </c>
      <c r="U1477" s="224">
        <f t="shared" si="83"/>
        <v>1</v>
      </c>
      <c r="V1477" s="225">
        <f t="shared" si="84"/>
        <v>2</v>
      </c>
      <c r="W1477" s="239">
        <f ca="1">$U1477*EWSpacingFt+XOffset+(PanArrayWidthHighEndFt-PanArrayWidthLowEndFt)/2</f>
        <v>30.000006832286932</v>
      </c>
      <c r="X1477" s="243">
        <f ca="1">$V1477*NSSpacingFt+YOffset+0</f>
        <v>35.999999999999979</v>
      </c>
      <c r="Y1477" s="247">
        <f ca="1">+$V1477*NSGradeFt+PedHeight+0</f>
        <v>7.401410761154855</v>
      </c>
      <c r="Z1477" s="214">
        <f ca="1">+$W1477</f>
        <v>30.000006832286932</v>
      </c>
      <c r="AA1477" s="214">
        <f ca="1">+$Y1477</f>
        <v>7.401410761154855</v>
      </c>
      <c r="AB1477" s="214">
        <f ca="1">+$X1477</f>
        <v>35.999999999999979</v>
      </c>
      <c r="AC1477" s="214">
        <f ca="1">+$W1477-XOffset</f>
        <v>30.000006832286932</v>
      </c>
    </row>
    <row r="1478" spans="19:29" ht="8.4" customHeight="1">
      <c r="S1478" s="307"/>
      <c r="T1478" s="226">
        <f t="shared" si="82"/>
        <v>1475</v>
      </c>
      <c r="U1478" s="224">
        <f t="shared" si="83"/>
        <v>1</v>
      </c>
      <c r="V1478" s="225">
        <f t="shared" si="84"/>
        <v>2</v>
      </c>
      <c r="W1478" s="217"/>
      <c r="X1478" s="217"/>
      <c r="Y1478" s="217"/>
      <c r="Z1478" s="214"/>
      <c r="AA1478" s="214"/>
      <c r="AB1478" s="214"/>
      <c r="AC1478" s="214"/>
    </row>
    <row r="1479" spans="19:29" ht="8.4" customHeight="1">
      <c r="S1479" s="307">
        <f>INT((T1479-0)/6)+1</f>
        <v>247</v>
      </c>
      <c r="T1479" s="226">
        <f t="shared" si="82"/>
        <v>1476</v>
      </c>
      <c r="U1479" s="224">
        <f t="shared" si="83"/>
        <v>0</v>
      </c>
      <c r="V1479" s="225">
        <f t="shared" si="84"/>
        <v>3</v>
      </c>
      <c r="W1479" s="233">
        <f ca="1">$U1479*EWSpacingFt+XOffset+(PanArrayWidthHighEndFt-PanArrayWidthLowEndFt)/2</f>
        <v>0</v>
      </c>
      <c r="X1479" s="234">
        <f ca="1">$V1479*NSSpacingFt+YOffset+0</f>
        <v>53.999999999999972</v>
      </c>
      <c r="Y1479" s="235">
        <f ca="1">+$V1479*NSGradeFt+PedHeight+0</f>
        <v>7.401410761154855</v>
      </c>
      <c r="Z1479" s="214">
        <f ca="1">+$W1479</f>
        <v>0</v>
      </c>
      <c r="AA1479" s="214">
        <f ca="1">+$Y1479</f>
        <v>7.401410761154855</v>
      </c>
      <c r="AB1479" s="214">
        <f ca="1">+$X1479</f>
        <v>53.999999999999972</v>
      </c>
      <c r="AC1479" s="214">
        <f ca="1">+$W1479-XOffset</f>
        <v>0</v>
      </c>
    </row>
    <row r="1480" spans="19:29" ht="8.4" customHeight="1">
      <c r="S1480" s="307"/>
      <c r="T1480" s="226">
        <f t="shared" si="82"/>
        <v>1477</v>
      </c>
      <c r="U1480" s="224">
        <f t="shared" si="83"/>
        <v>0</v>
      </c>
      <c r="V1480" s="225">
        <f t="shared" si="84"/>
        <v>3</v>
      </c>
      <c r="W1480" s="236">
        <f ca="1">+$U1480*EWSpacingFt+XOffset+PanArrayWidthHighEndFt-(PanArrayWidthHighEndFt-PanArrayWidthLowEndFt)/2</f>
        <v>10.80282152230971</v>
      </c>
      <c r="X1480" s="240">
        <f ca="1">$V1480*NSSpacingFt+YOffset+0</f>
        <v>53.999999999999972</v>
      </c>
      <c r="Y1480" s="244">
        <f ca="1">+$V1480*NSGradeFt+PedHeight+0</f>
        <v>7.401410761154855</v>
      </c>
      <c r="Z1480" s="214">
        <f ca="1">+$W1480</f>
        <v>10.80282152230971</v>
      </c>
      <c r="AA1480" s="214">
        <f ca="1">+$Y1480</f>
        <v>7.401410761154855</v>
      </c>
      <c r="AB1480" s="214">
        <f ca="1">+$X1480</f>
        <v>53.999999999999972</v>
      </c>
      <c r="AC1480" s="214">
        <f ca="1">+$W1480-XOffset</f>
        <v>10.80282152230971</v>
      </c>
    </row>
    <row r="1481" spans="19:29" ht="8.4" customHeight="1">
      <c r="S1481" s="307"/>
      <c r="T1481" s="226">
        <f t="shared" si="82"/>
        <v>1478</v>
      </c>
      <c r="U1481" s="224">
        <f t="shared" si="83"/>
        <v>0</v>
      </c>
      <c r="V1481" s="225">
        <f t="shared" si="84"/>
        <v>3</v>
      </c>
      <c r="W1481" s="237">
        <f ca="1">$U1481*EWSpacingFt+XOffset+PanArrayWidthHighEndFt</f>
        <v>10.80282152230971</v>
      </c>
      <c r="X1481" s="241">
        <f ca="1">$V1481*NSSpacingFt+YOffset+PanArrayLenFt*COS(RADIANS(Latitude+DecAng))</f>
        <v>70.43963254593173</v>
      </c>
      <c r="Y1481" s="245">
        <f ca="1">+$V1481*NSGradeFt+PedHeight+PanArrayLenFt*SIN(RADIANS(Latitude+DecAng))</f>
        <v>7.401410761154855</v>
      </c>
      <c r="Z1481" s="214">
        <f ca="1">+$W1481</f>
        <v>10.80282152230971</v>
      </c>
      <c r="AA1481" s="214">
        <f ca="1">+$Y1481</f>
        <v>7.401410761154855</v>
      </c>
      <c r="AB1481" s="214">
        <f ca="1">+$X1481</f>
        <v>70.43963254593173</v>
      </c>
      <c r="AC1481" s="214">
        <f ca="1">+$W1481-XOffset</f>
        <v>10.80282152230971</v>
      </c>
    </row>
    <row r="1482" spans="19:29" ht="8.4" customHeight="1">
      <c r="S1482" s="307"/>
      <c r="T1482" s="226">
        <f t="shared" si="82"/>
        <v>1479</v>
      </c>
      <c r="U1482" s="224">
        <f t="shared" si="83"/>
        <v>0</v>
      </c>
      <c r="V1482" s="225">
        <f t="shared" si="84"/>
        <v>3</v>
      </c>
      <c r="W1482" s="238">
        <f ca="1">$U1482*EWSpacingFt+XOffset+0</f>
        <v>0</v>
      </c>
      <c r="X1482" s="242">
        <f ca="1">$V1482*NSSpacingFt+YOffset+PanArrayLenFt*COS(RADIANS(Latitude+DecAng))</f>
        <v>70.43963254593173</v>
      </c>
      <c r="Y1482" s="246">
        <f ca="1">+$V1482*NSGradeFt+PedHeight+PanArrayLenFt*SIN(RADIANS(Latitude+DecAng))</f>
        <v>7.401410761154855</v>
      </c>
      <c r="Z1482" s="214">
        <f ca="1">+$W1482</f>
        <v>0</v>
      </c>
      <c r="AA1482" s="214">
        <f ca="1">+$Y1482</f>
        <v>7.401410761154855</v>
      </c>
      <c r="AB1482" s="214">
        <f ca="1">+$X1482</f>
        <v>70.43963254593173</v>
      </c>
      <c r="AC1482" s="214">
        <f ca="1">+$W1482-XOffset</f>
        <v>0</v>
      </c>
    </row>
    <row r="1483" spans="19:29" ht="8.4" customHeight="1">
      <c r="S1483" s="307"/>
      <c r="T1483" s="226">
        <f t="shared" si="82"/>
        <v>1480</v>
      </c>
      <c r="U1483" s="224">
        <f t="shared" si="83"/>
        <v>0</v>
      </c>
      <c r="V1483" s="225">
        <f t="shared" si="84"/>
        <v>3</v>
      </c>
      <c r="W1483" s="239">
        <f ca="1">$U1483*EWSpacingFt+XOffset+(PanArrayWidthHighEndFt-PanArrayWidthLowEndFt)/2</f>
        <v>0</v>
      </c>
      <c r="X1483" s="243">
        <f ca="1">$V1483*NSSpacingFt+YOffset+0</f>
        <v>53.999999999999972</v>
      </c>
      <c r="Y1483" s="247">
        <f ca="1">+$V1483*NSGradeFt+PedHeight+0</f>
        <v>7.401410761154855</v>
      </c>
      <c r="Z1483" s="214">
        <f ca="1">+$W1483</f>
        <v>0</v>
      </c>
      <c r="AA1483" s="214">
        <f ca="1">+$Y1483</f>
        <v>7.401410761154855</v>
      </c>
      <c r="AB1483" s="214">
        <f ca="1">+$X1483</f>
        <v>53.999999999999972</v>
      </c>
      <c r="AC1483" s="214">
        <f ca="1">+$W1483-XOffset</f>
        <v>0</v>
      </c>
    </row>
    <row r="1484" spans="19:29" ht="8.4" customHeight="1">
      <c r="S1484" s="307"/>
      <c r="T1484" s="226">
        <f t="shared" si="82"/>
        <v>1481</v>
      </c>
      <c r="U1484" s="224">
        <f t="shared" si="83"/>
        <v>0</v>
      </c>
      <c r="V1484" s="225">
        <f t="shared" si="84"/>
        <v>3</v>
      </c>
      <c r="W1484" s="217"/>
      <c r="X1484" s="217"/>
      <c r="Y1484" s="217"/>
      <c r="Z1484" s="214"/>
      <c r="AA1484" s="214"/>
      <c r="AB1484" s="214"/>
      <c r="AC1484" s="214"/>
    </row>
    <row r="1485" spans="19:29" ht="8.4" customHeight="1">
      <c r="S1485" s="307">
        <f>INT((T1485-0)/6)+1</f>
        <v>248</v>
      </c>
      <c r="T1485" s="226">
        <f t="shared" si="82"/>
        <v>1482</v>
      </c>
      <c r="U1485" s="224">
        <f t="shared" si="83"/>
        <v>1</v>
      </c>
      <c r="V1485" s="225">
        <f t="shared" si="84"/>
        <v>3</v>
      </c>
      <c r="W1485" s="233">
        <f ca="1">$U1485*EWSpacingFt+XOffset+(PanArrayWidthHighEndFt-PanArrayWidthLowEndFt)/2</f>
        <v>30.000006832286932</v>
      </c>
      <c r="X1485" s="234">
        <f ca="1">$V1485*NSSpacingFt+YOffset+0</f>
        <v>53.999999999999972</v>
      </c>
      <c r="Y1485" s="235">
        <f ca="1">+$V1485*NSGradeFt+PedHeight+0</f>
        <v>7.401410761154855</v>
      </c>
      <c r="Z1485" s="214">
        <f ca="1">+$W1485</f>
        <v>30.000006832286932</v>
      </c>
      <c r="AA1485" s="214">
        <f ca="1">+$Y1485</f>
        <v>7.401410761154855</v>
      </c>
      <c r="AB1485" s="214">
        <f ca="1">+$X1485</f>
        <v>53.999999999999972</v>
      </c>
      <c r="AC1485" s="214">
        <f ca="1">+$W1485-XOffset</f>
        <v>30.000006832286932</v>
      </c>
    </row>
    <row r="1486" spans="19:29" ht="8.4" customHeight="1">
      <c r="S1486" s="307"/>
      <c r="T1486" s="226">
        <f t="shared" si="82"/>
        <v>1483</v>
      </c>
      <c r="U1486" s="224">
        <f t="shared" si="83"/>
        <v>1</v>
      </c>
      <c r="V1486" s="225">
        <f t="shared" si="84"/>
        <v>3</v>
      </c>
      <c r="W1486" s="236">
        <f ca="1">+$U1486*EWSpacingFt+XOffset+PanArrayWidthHighEndFt-(PanArrayWidthHighEndFt-PanArrayWidthLowEndFt)/2</f>
        <v>40.802828354596642</v>
      </c>
      <c r="X1486" s="240">
        <f ca="1">$V1486*NSSpacingFt+YOffset+0</f>
        <v>53.999999999999972</v>
      </c>
      <c r="Y1486" s="244">
        <f ca="1">+$V1486*NSGradeFt+PedHeight+0</f>
        <v>7.401410761154855</v>
      </c>
      <c r="Z1486" s="214">
        <f ca="1">+$W1486</f>
        <v>40.802828354596642</v>
      </c>
      <c r="AA1486" s="214">
        <f ca="1">+$Y1486</f>
        <v>7.401410761154855</v>
      </c>
      <c r="AB1486" s="214">
        <f ca="1">+$X1486</f>
        <v>53.999999999999972</v>
      </c>
      <c r="AC1486" s="214">
        <f ca="1">+$W1486-XOffset</f>
        <v>40.802828354596642</v>
      </c>
    </row>
    <row r="1487" spans="19:29" ht="8.4" customHeight="1">
      <c r="S1487" s="307"/>
      <c r="T1487" s="226">
        <f t="shared" si="82"/>
        <v>1484</v>
      </c>
      <c r="U1487" s="224">
        <f t="shared" si="83"/>
        <v>1</v>
      </c>
      <c r="V1487" s="225">
        <f t="shared" si="84"/>
        <v>3</v>
      </c>
      <c r="W1487" s="237">
        <f ca="1">$U1487*EWSpacingFt+XOffset+PanArrayWidthHighEndFt</f>
        <v>40.802828354596642</v>
      </c>
      <c r="X1487" s="241">
        <f ca="1">$V1487*NSSpacingFt+YOffset+PanArrayLenFt*COS(RADIANS(Latitude+DecAng))</f>
        <v>70.43963254593173</v>
      </c>
      <c r="Y1487" s="245">
        <f ca="1">+$V1487*NSGradeFt+PedHeight+PanArrayLenFt*SIN(RADIANS(Latitude+DecAng))</f>
        <v>7.401410761154855</v>
      </c>
      <c r="Z1487" s="214">
        <f ca="1">+$W1487</f>
        <v>40.802828354596642</v>
      </c>
      <c r="AA1487" s="214">
        <f ca="1">+$Y1487</f>
        <v>7.401410761154855</v>
      </c>
      <c r="AB1487" s="214">
        <f ca="1">+$X1487</f>
        <v>70.43963254593173</v>
      </c>
      <c r="AC1487" s="214">
        <f ca="1">+$W1487-XOffset</f>
        <v>40.802828354596642</v>
      </c>
    </row>
    <row r="1488" spans="19:29" ht="8.4" customHeight="1">
      <c r="S1488" s="307"/>
      <c r="T1488" s="226">
        <f t="shared" si="82"/>
        <v>1485</v>
      </c>
      <c r="U1488" s="224">
        <f t="shared" si="83"/>
        <v>1</v>
      </c>
      <c r="V1488" s="225">
        <f t="shared" si="84"/>
        <v>3</v>
      </c>
      <c r="W1488" s="238">
        <f ca="1">$U1488*EWSpacingFt+XOffset+0</f>
        <v>30.000006832286932</v>
      </c>
      <c r="X1488" s="242">
        <f ca="1">$V1488*NSSpacingFt+YOffset+PanArrayLenFt*COS(RADIANS(Latitude+DecAng))</f>
        <v>70.43963254593173</v>
      </c>
      <c r="Y1488" s="246">
        <f ca="1">+$V1488*NSGradeFt+PedHeight+PanArrayLenFt*SIN(RADIANS(Latitude+DecAng))</f>
        <v>7.401410761154855</v>
      </c>
      <c r="Z1488" s="214">
        <f ca="1">+$W1488</f>
        <v>30.000006832286932</v>
      </c>
      <c r="AA1488" s="214">
        <f ca="1">+$Y1488</f>
        <v>7.401410761154855</v>
      </c>
      <c r="AB1488" s="214">
        <f ca="1">+$X1488</f>
        <v>70.43963254593173</v>
      </c>
      <c r="AC1488" s="214">
        <f ca="1">+$W1488-XOffset</f>
        <v>30.000006832286932</v>
      </c>
    </row>
    <row r="1489" spans="19:29" ht="8.4" customHeight="1">
      <c r="S1489" s="307"/>
      <c r="T1489" s="226">
        <f t="shared" si="82"/>
        <v>1486</v>
      </c>
      <c r="U1489" s="224">
        <f t="shared" si="83"/>
        <v>1</v>
      </c>
      <c r="V1489" s="225">
        <f t="shared" si="84"/>
        <v>3</v>
      </c>
      <c r="W1489" s="239">
        <f ca="1">$U1489*EWSpacingFt+XOffset+(PanArrayWidthHighEndFt-PanArrayWidthLowEndFt)/2</f>
        <v>30.000006832286932</v>
      </c>
      <c r="X1489" s="243">
        <f ca="1">$V1489*NSSpacingFt+YOffset+0</f>
        <v>53.999999999999972</v>
      </c>
      <c r="Y1489" s="247">
        <f ca="1">+$V1489*NSGradeFt+PedHeight+0</f>
        <v>7.401410761154855</v>
      </c>
      <c r="Z1489" s="214">
        <f ca="1">+$W1489</f>
        <v>30.000006832286932</v>
      </c>
      <c r="AA1489" s="214">
        <f ca="1">+$Y1489</f>
        <v>7.401410761154855</v>
      </c>
      <c r="AB1489" s="214">
        <f ca="1">+$X1489</f>
        <v>53.999999999999972</v>
      </c>
      <c r="AC1489" s="214">
        <f ca="1">+$W1489-XOffset</f>
        <v>30.000006832286932</v>
      </c>
    </row>
    <row r="1490" spans="19:29" ht="8.4" customHeight="1">
      <c r="S1490" s="307"/>
      <c r="T1490" s="226">
        <f t="shared" si="82"/>
        <v>1487</v>
      </c>
      <c r="U1490" s="224">
        <f t="shared" si="83"/>
        <v>1</v>
      </c>
      <c r="V1490" s="225">
        <f t="shared" si="84"/>
        <v>3</v>
      </c>
      <c r="W1490" s="217"/>
      <c r="X1490" s="217"/>
      <c r="Y1490" s="217"/>
      <c r="Z1490" s="214"/>
      <c r="AA1490" s="214"/>
      <c r="AB1490" s="214"/>
      <c r="AC1490" s="214"/>
    </row>
    <row r="1491" spans="19:29" ht="8.4" customHeight="1">
      <c r="S1491" s="307">
        <f>INT((T1491-0)/6)+1</f>
        <v>249</v>
      </c>
      <c r="T1491" s="226">
        <f t="shared" si="82"/>
        <v>1488</v>
      </c>
      <c r="U1491" s="224">
        <f t="shared" si="83"/>
        <v>0</v>
      </c>
      <c r="V1491" s="225">
        <f t="shared" si="84"/>
        <v>0</v>
      </c>
      <c r="W1491" s="233">
        <f ca="1">$U1491*EWSpacingFt+XOffset+(PanArrayWidthHighEndFt-PanArrayWidthLowEndFt)/2</f>
        <v>0</v>
      </c>
      <c r="X1491" s="234">
        <f ca="1">$V1491*NSSpacingFt+YOffset+0</f>
        <v>0</v>
      </c>
      <c r="Y1491" s="235">
        <f ca="1">+$V1491*NSGradeFt+PedHeight+0</f>
        <v>7.401410761154855</v>
      </c>
      <c r="Z1491" s="214">
        <f ca="1">+$W1491</f>
        <v>0</v>
      </c>
      <c r="AA1491" s="214">
        <f ca="1">+$Y1491</f>
        <v>7.401410761154855</v>
      </c>
      <c r="AB1491" s="214">
        <f ca="1">+$X1491</f>
        <v>0</v>
      </c>
      <c r="AC1491" s="214">
        <f ca="1">+$W1491-XOffset</f>
        <v>0</v>
      </c>
    </row>
    <row r="1492" spans="19:29" ht="8.4" customHeight="1">
      <c r="S1492" s="307"/>
      <c r="T1492" s="226">
        <f t="shared" si="82"/>
        <v>1489</v>
      </c>
      <c r="U1492" s="224">
        <f t="shared" si="83"/>
        <v>0</v>
      </c>
      <c r="V1492" s="225">
        <f t="shared" si="84"/>
        <v>0</v>
      </c>
      <c r="W1492" s="236">
        <f ca="1">+$U1492*EWSpacingFt+XOffset+PanArrayWidthHighEndFt-(PanArrayWidthHighEndFt-PanArrayWidthLowEndFt)/2</f>
        <v>10.80282152230971</v>
      </c>
      <c r="X1492" s="240">
        <f ca="1">$V1492*NSSpacingFt+YOffset+0</f>
        <v>0</v>
      </c>
      <c r="Y1492" s="244">
        <f ca="1">+$V1492*NSGradeFt+PedHeight+0</f>
        <v>7.401410761154855</v>
      </c>
      <c r="Z1492" s="214">
        <f ca="1">+$W1492</f>
        <v>10.80282152230971</v>
      </c>
      <c r="AA1492" s="214">
        <f ca="1">+$Y1492</f>
        <v>7.401410761154855</v>
      </c>
      <c r="AB1492" s="214">
        <f ca="1">+$X1492</f>
        <v>0</v>
      </c>
      <c r="AC1492" s="214">
        <f ca="1">+$W1492-XOffset</f>
        <v>10.80282152230971</v>
      </c>
    </row>
    <row r="1493" spans="19:29" ht="8.4" customHeight="1">
      <c r="S1493" s="307"/>
      <c r="T1493" s="226">
        <f t="shared" si="82"/>
        <v>1490</v>
      </c>
      <c r="U1493" s="224">
        <f t="shared" si="83"/>
        <v>0</v>
      </c>
      <c r="V1493" s="225">
        <f t="shared" si="84"/>
        <v>0</v>
      </c>
      <c r="W1493" s="237">
        <f ca="1">$U1493*EWSpacingFt+XOffset+PanArrayWidthHighEndFt</f>
        <v>10.80282152230971</v>
      </c>
      <c r="X1493" s="241">
        <f ca="1">$V1493*NSSpacingFt+YOffset+PanArrayLenFt*COS(RADIANS(Latitude+DecAng))</f>
        <v>16.439632545931762</v>
      </c>
      <c r="Y1493" s="245">
        <f ca="1">+$V1493*NSGradeFt+PedHeight+PanArrayLenFt*SIN(RADIANS(Latitude+DecAng))</f>
        <v>7.401410761154855</v>
      </c>
      <c r="Z1493" s="214">
        <f ca="1">+$W1493</f>
        <v>10.80282152230971</v>
      </c>
      <c r="AA1493" s="214">
        <f ca="1">+$Y1493</f>
        <v>7.401410761154855</v>
      </c>
      <c r="AB1493" s="214">
        <f ca="1">+$X1493</f>
        <v>16.439632545931762</v>
      </c>
      <c r="AC1493" s="214">
        <f ca="1">+$W1493-XOffset</f>
        <v>10.80282152230971</v>
      </c>
    </row>
    <row r="1494" spans="19:29" ht="8.4" customHeight="1">
      <c r="S1494" s="307"/>
      <c r="T1494" s="226">
        <f t="shared" si="82"/>
        <v>1491</v>
      </c>
      <c r="U1494" s="224">
        <f t="shared" si="83"/>
        <v>0</v>
      </c>
      <c r="V1494" s="225">
        <f t="shared" si="84"/>
        <v>0</v>
      </c>
      <c r="W1494" s="238">
        <f ca="1">$U1494*EWSpacingFt+XOffset+0</f>
        <v>0</v>
      </c>
      <c r="X1494" s="242">
        <f ca="1">$V1494*NSSpacingFt+YOffset+PanArrayLenFt*COS(RADIANS(Latitude+DecAng))</f>
        <v>16.439632545931762</v>
      </c>
      <c r="Y1494" s="246">
        <f ca="1">+$V1494*NSGradeFt+PedHeight+PanArrayLenFt*SIN(RADIANS(Latitude+DecAng))</f>
        <v>7.401410761154855</v>
      </c>
      <c r="Z1494" s="214">
        <f ca="1">+$W1494</f>
        <v>0</v>
      </c>
      <c r="AA1494" s="214">
        <f ca="1">+$Y1494</f>
        <v>7.401410761154855</v>
      </c>
      <c r="AB1494" s="214">
        <f ca="1">+$X1494</f>
        <v>16.439632545931762</v>
      </c>
      <c r="AC1494" s="214">
        <f ca="1">+$W1494-XOffset</f>
        <v>0</v>
      </c>
    </row>
    <row r="1495" spans="19:29" ht="8.4" customHeight="1">
      <c r="S1495" s="307"/>
      <c r="T1495" s="226">
        <f t="shared" si="82"/>
        <v>1492</v>
      </c>
      <c r="U1495" s="224">
        <f t="shared" si="83"/>
        <v>0</v>
      </c>
      <c r="V1495" s="225">
        <f t="shared" si="84"/>
        <v>0</v>
      </c>
      <c r="W1495" s="239">
        <f ca="1">$U1495*EWSpacingFt+XOffset+(PanArrayWidthHighEndFt-PanArrayWidthLowEndFt)/2</f>
        <v>0</v>
      </c>
      <c r="X1495" s="243">
        <f ca="1">$V1495*NSSpacingFt+YOffset+0</f>
        <v>0</v>
      </c>
      <c r="Y1495" s="247">
        <f ca="1">+$V1495*NSGradeFt+PedHeight+0</f>
        <v>7.401410761154855</v>
      </c>
      <c r="Z1495" s="214">
        <f ca="1">+$W1495</f>
        <v>0</v>
      </c>
      <c r="AA1495" s="214">
        <f ca="1">+$Y1495</f>
        <v>7.401410761154855</v>
      </c>
      <c r="AB1495" s="214">
        <f ca="1">+$X1495</f>
        <v>0</v>
      </c>
      <c r="AC1495" s="214">
        <f ca="1">+$W1495-XOffset</f>
        <v>0</v>
      </c>
    </row>
    <row r="1496" spans="19:29" ht="8.4" customHeight="1">
      <c r="S1496" s="307"/>
      <c r="T1496" s="226">
        <f t="shared" si="82"/>
        <v>1493</v>
      </c>
      <c r="U1496" s="224">
        <f t="shared" si="83"/>
        <v>0</v>
      </c>
      <c r="V1496" s="225">
        <f t="shared" si="84"/>
        <v>0</v>
      </c>
      <c r="W1496" s="217"/>
      <c r="X1496" s="217"/>
      <c r="Y1496" s="217"/>
      <c r="Z1496" s="214"/>
      <c r="AA1496" s="214"/>
      <c r="AB1496" s="214"/>
      <c r="AC1496" s="214"/>
    </row>
    <row r="1497" spans="19:29" ht="8.4" customHeight="1">
      <c r="S1497" s="307">
        <f>INT((T1497-0)/6)+1</f>
        <v>250</v>
      </c>
      <c r="T1497" s="226">
        <f t="shared" si="82"/>
        <v>1494</v>
      </c>
      <c r="U1497" s="224">
        <f t="shared" si="83"/>
        <v>1</v>
      </c>
      <c r="V1497" s="225">
        <f t="shared" si="84"/>
        <v>0</v>
      </c>
      <c r="W1497" s="233">
        <f ca="1">$U1497*EWSpacingFt+XOffset+(PanArrayWidthHighEndFt-PanArrayWidthLowEndFt)/2</f>
        <v>30.000006832286932</v>
      </c>
      <c r="X1497" s="234">
        <f ca="1">$V1497*NSSpacingFt+YOffset+0</f>
        <v>0</v>
      </c>
      <c r="Y1497" s="235">
        <f ca="1">+$V1497*NSGradeFt+PedHeight+0</f>
        <v>7.401410761154855</v>
      </c>
      <c r="Z1497" s="214">
        <f ca="1">+$W1497</f>
        <v>30.000006832286932</v>
      </c>
      <c r="AA1497" s="214">
        <f ca="1">+$Y1497</f>
        <v>7.401410761154855</v>
      </c>
      <c r="AB1497" s="214">
        <f ca="1">+$X1497</f>
        <v>0</v>
      </c>
      <c r="AC1497" s="214">
        <f ca="1">+$W1497-XOffset</f>
        <v>30.000006832286932</v>
      </c>
    </row>
    <row r="1498" spans="19:29" ht="8.4" customHeight="1">
      <c r="S1498" s="307"/>
      <c r="T1498" s="226">
        <f t="shared" si="82"/>
        <v>1495</v>
      </c>
      <c r="U1498" s="224">
        <f t="shared" si="83"/>
        <v>1</v>
      </c>
      <c r="V1498" s="225">
        <f t="shared" si="84"/>
        <v>0</v>
      </c>
      <c r="W1498" s="236">
        <f ca="1">+$U1498*EWSpacingFt+XOffset+PanArrayWidthHighEndFt-(PanArrayWidthHighEndFt-PanArrayWidthLowEndFt)/2</f>
        <v>40.802828354596642</v>
      </c>
      <c r="X1498" s="240">
        <f ca="1">$V1498*NSSpacingFt+YOffset+0</f>
        <v>0</v>
      </c>
      <c r="Y1498" s="244">
        <f ca="1">+$V1498*NSGradeFt+PedHeight+0</f>
        <v>7.401410761154855</v>
      </c>
      <c r="Z1498" s="214">
        <f ca="1">+$W1498</f>
        <v>40.802828354596642</v>
      </c>
      <c r="AA1498" s="214">
        <f ca="1">+$Y1498</f>
        <v>7.401410761154855</v>
      </c>
      <c r="AB1498" s="214">
        <f ca="1">+$X1498</f>
        <v>0</v>
      </c>
      <c r="AC1498" s="214">
        <f ca="1">+$W1498-XOffset</f>
        <v>40.802828354596642</v>
      </c>
    </row>
    <row r="1499" spans="19:29" ht="8.4" customHeight="1">
      <c r="S1499" s="307"/>
      <c r="T1499" s="226">
        <f t="shared" si="82"/>
        <v>1496</v>
      </c>
      <c r="U1499" s="224">
        <f t="shared" si="83"/>
        <v>1</v>
      </c>
      <c r="V1499" s="225">
        <f t="shared" si="84"/>
        <v>0</v>
      </c>
      <c r="W1499" s="237">
        <f ca="1">$U1499*EWSpacingFt+XOffset+PanArrayWidthHighEndFt</f>
        <v>40.802828354596642</v>
      </c>
      <c r="X1499" s="241">
        <f ca="1">$V1499*NSSpacingFt+YOffset+PanArrayLenFt*COS(RADIANS(Latitude+DecAng))</f>
        <v>16.439632545931762</v>
      </c>
      <c r="Y1499" s="245">
        <f ca="1">+$V1499*NSGradeFt+PedHeight+PanArrayLenFt*SIN(RADIANS(Latitude+DecAng))</f>
        <v>7.401410761154855</v>
      </c>
      <c r="Z1499" s="214">
        <f ca="1">+$W1499</f>
        <v>40.802828354596642</v>
      </c>
      <c r="AA1499" s="214">
        <f ca="1">+$Y1499</f>
        <v>7.401410761154855</v>
      </c>
      <c r="AB1499" s="214">
        <f ca="1">+$X1499</f>
        <v>16.439632545931762</v>
      </c>
      <c r="AC1499" s="214">
        <f ca="1">+$W1499-XOffset</f>
        <v>40.802828354596642</v>
      </c>
    </row>
    <row r="1500" spans="19:29" ht="8.4" customHeight="1">
      <c r="S1500" s="307"/>
      <c r="T1500" s="226">
        <f t="shared" si="82"/>
        <v>1497</v>
      </c>
      <c r="U1500" s="224">
        <f t="shared" si="83"/>
        <v>1</v>
      </c>
      <c r="V1500" s="225">
        <f t="shared" si="84"/>
        <v>0</v>
      </c>
      <c r="W1500" s="238">
        <f ca="1">$U1500*EWSpacingFt+XOffset+0</f>
        <v>30.000006832286932</v>
      </c>
      <c r="X1500" s="242">
        <f ca="1">$V1500*NSSpacingFt+YOffset+PanArrayLenFt*COS(RADIANS(Latitude+DecAng))</f>
        <v>16.439632545931762</v>
      </c>
      <c r="Y1500" s="246">
        <f ca="1">+$V1500*NSGradeFt+PedHeight+PanArrayLenFt*SIN(RADIANS(Latitude+DecAng))</f>
        <v>7.401410761154855</v>
      </c>
      <c r="Z1500" s="214">
        <f ca="1">+$W1500</f>
        <v>30.000006832286932</v>
      </c>
      <c r="AA1500" s="214">
        <f ca="1">+$Y1500</f>
        <v>7.401410761154855</v>
      </c>
      <c r="AB1500" s="214">
        <f ca="1">+$X1500</f>
        <v>16.439632545931762</v>
      </c>
      <c r="AC1500" s="214">
        <f ca="1">+$W1500-XOffset</f>
        <v>30.000006832286932</v>
      </c>
    </row>
    <row r="1501" spans="19:29" ht="8.4" customHeight="1">
      <c r="S1501" s="307"/>
      <c r="T1501" s="226">
        <f t="shared" si="82"/>
        <v>1498</v>
      </c>
      <c r="U1501" s="224">
        <f t="shared" si="83"/>
        <v>1</v>
      </c>
      <c r="V1501" s="225">
        <f t="shared" si="84"/>
        <v>0</v>
      </c>
      <c r="W1501" s="239">
        <f ca="1">$U1501*EWSpacingFt+XOffset+(PanArrayWidthHighEndFt-PanArrayWidthLowEndFt)/2</f>
        <v>30.000006832286932</v>
      </c>
      <c r="X1501" s="243">
        <f ca="1">$V1501*NSSpacingFt+YOffset+0</f>
        <v>0</v>
      </c>
      <c r="Y1501" s="247">
        <f ca="1">+$V1501*NSGradeFt+PedHeight+0</f>
        <v>7.401410761154855</v>
      </c>
      <c r="Z1501" s="214">
        <f ca="1">+$W1501</f>
        <v>30.000006832286932</v>
      </c>
      <c r="AA1501" s="214">
        <f ca="1">+$Y1501</f>
        <v>7.401410761154855</v>
      </c>
      <c r="AB1501" s="214">
        <f ca="1">+$X1501</f>
        <v>0</v>
      </c>
      <c r="AC1501" s="214">
        <f ca="1">+$W1501-XOffset</f>
        <v>30.000006832286932</v>
      </c>
    </row>
    <row r="1502" spans="19:29" ht="8.4" customHeight="1">
      <c r="S1502" s="307"/>
      <c r="T1502" s="226">
        <f t="shared" si="82"/>
        <v>1499</v>
      </c>
      <c r="U1502" s="224">
        <f t="shared" si="83"/>
        <v>1</v>
      </c>
      <c r="V1502" s="225">
        <f t="shared" si="84"/>
        <v>0</v>
      </c>
      <c r="W1502" s="217"/>
      <c r="X1502" s="217"/>
      <c r="Y1502" s="217"/>
      <c r="Z1502" s="214"/>
      <c r="AA1502" s="214"/>
      <c r="AB1502" s="214"/>
      <c r="AC1502" s="214"/>
    </row>
    <row r="1503" spans="19:29" ht="8.4" customHeight="1">
      <c r="S1503" s="307">
        <f>INT((T1503-0)/6)+1</f>
        <v>251</v>
      </c>
      <c r="T1503" s="226">
        <f t="shared" si="82"/>
        <v>1500</v>
      </c>
      <c r="U1503" s="224">
        <f t="shared" si="83"/>
        <v>0</v>
      </c>
      <c r="V1503" s="225">
        <f t="shared" si="84"/>
        <v>1</v>
      </c>
      <c r="W1503" s="233">
        <f ca="1">$U1503*EWSpacingFt+XOffset+(PanArrayWidthHighEndFt-PanArrayWidthLowEndFt)/2</f>
        <v>0</v>
      </c>
      <c r="X1503" s="234">
        <f ca="1">$V1503*NSSpacingFt+YOffset+0</f>
        <v>17.999999999999989</v>
      </c>
      <c r="Y1503" s="235">
        <f ca="1">+$V1503*NSGradeFt+PedHeight+0</f>
        <v>7.401410761154855</v>
      </c>
      <c r="Z1503" s="214">
        <f ca="1">+$W1503</f>
        <v>0</v>
      </c>
      <c r="AA1503" s="214">
        <f ca="1">+$Y1503</f>
        <v>7.401410761154855</v>
      </c>
      <c r="AB1503" s="214">
        <f ca="1">+$X1503</f>
        <v>17.999999999999989</v>
      </c>
      <c r="AC1503" s="214">
        <f ca="1">+$W1503-XOffset</f>
        <v>0</v>
      </c>
    </row>
    <row r="1504" spans="19:29" ht="8.4" customHeight="1">
      <c r="S1504" s="307"/>
      <c r="T1504" s="226">
        <f t="shared" si="82"/>
        <v>1501</v>
      </c>
      <c r="U1504" s="224">
        <f t="shared" si="83"/>
        <v>0</v>
      </c>
      <c r="V1504" s="225">
        <f t="shared" si="84"/>
        <v>1</v>
      </c>
      <c r="W1504" s="236">
        <f ca="1">+$U1504*EWSpacingFt+XOffset+PanArrayWidthHighEndFt-(PanArrayWidthHighEndFt-PanArrayWidthLowEndFt)/2</f>
        <v>10.80282152230971</v>
      </c>
      <c r="X1504" s="240">
        <f ca="1">$V1504*NSSpacingFt+YOffset+0</f>
        <v>17.999999999999989</v>
      </c>
      <c r="Y1504" s="244">
        <f ca="1">+$V1504*NSGradeFt+PedHeight+0</f>
        <v>7.401410761154855</v>
      </c>
      <c r="Z1504" s="214">
        <f ca="1">+$W1504</f>
        <v>10.80282152230971</v>
      </c>
      <c r="AA1504" s="214">
        <f ca="1">+$Y1504</f>
        <v>7.401410761154855</v>
      </c>
      <c r="AB1504" s="214">
        <f ca="1">+$X1504</f>
        <v>17.999999999999989</v>
      </c>
      <c r="AC1504" s="214">
        <f ca="1">+$W1504-XOffset</f>
        <v>10.80282152230971</v>
      </c>
    </row>
    <row r="1505" spans="19:29" ht="8.4" customHeight="1">
      <c r="S1505" s="307"/>
      <c r="T1505" s="226">
        <f t="shared" si="82"/>
        <v>1502</v>
      </c>
      <c r="U1505" s="224">
        <f t="shared" si="83"/>
        <v>0</v>
      </c>
      <c r="V1505" s="225">
        <f t="shared" si="84"/>
        <v>1</v>
      </c>
      <c r="W1505" s="237">
        <f ca="1">$U1505*EWSpacingFt+XOffset+PanArrayWidthHighEndFt</f>
        <v>10.80282152230971</v>
      </c>
      <c r="X1505" s="241">
        <f ca="1">$V1505*NSSpacingFt+YOffset+PanArrayLenFt*COS(RADIANS(Latitude+DecAng))</f>
        <v>34.439632545931751</v>
      </c>
      <c r="Y1505" s="245">
        <f ca="1">+$V1505*NSGradeFt+PedHeight+PanArrayLenFt*SIN(RADIANS(Latitude+DecAng))</f>
        <v>7.401410761154855</v>
      </c>
      <c r="Z1505" s="214">
        <f ca="1">+$W1505</f>
        <v>10.80282152230971</v>
      </c>
      <c r="AA1505" s="214">
        <f ca="1">+$Y1505</f>
        <v>7.401410761154855</v>
      </c>
      <c r="AB1505" s="214">
        <f ca="1">+$X1505</f>
        <v>34.439632545931751</v>
      </c>
      <c r="AC1505" s="214">
        <f ca="1">+$W1505-XOffset</f>
        <v>10.80282152230971</v>
      </c>
    </row>
    <row r="1506" spans="19:29" ht="8.4" customHeight="1">
      <c r="S1506" s="307"/>
      <c r="T1506" s="226">
        <f t="shared" si="82"/>
        <v>1503</v>
      </c>
      <c r="U1506" s="224">
        <f t="shared" si="83"/>
        <v>0</v>
      </c>
      <c r="V1506" s="225">
        <f t="shared" si="84"/>
        <v>1</v>
      </c>
      <c r="W1506" s="238">
        <f ca="1">$U1506*EWSpacingFt+XOffset+0</f>
        <v>0</v>
      </c>
      <c r="X1506" s="242">
        <f ca="1">$V1506*NSSpacingFt+YOffset+PanArrayLenFt*COS(RADIANS(Latitude+DecAng))</f>
        <v>34.439632545931751</v>
      </c>
      <c r="Y1506" s="246">
        <f ca="1">+$V1506*NSGradeFt+PedHeight+PanArrayLenFt*SIN(RADIANS(Latitude+DecAng))</f>
        <v>7.401410761154855</v>
      </c>
      <c r="Z1506" s="214">
        <f ca="1">+$W1506</f>
        <v>0</v>
      </c>
      <c r="AA1506" s="214">
        <f ca="1">+$Y1506</f>
        <v>7.401410761154855</v>
      </c>
      <c r="AB1506" s="214">
        <f ca="1">+$X1506</f>
        <v>34.439632545931751</v>
      </c>
      <c r="AC1506" s="214">
        <f ca="1">+$W1506-XOffset</f>
        <v>0</v>
      </c>
    </row>
    <row r="1507" spans="19:29" ht="8.4" customHeight="1">
      <c r="S1507" s="307"/>
      <c r="T1507" s="226">
        <f t="shared" si="82"/>
        <v>1504</v>
      </c>
      <c r="U1507" s="224">
        <f t="shared" si="83"/>
        <v>0</v>
      </c>
      <c r="V1507" s="225">
        <f t="shared" si="84"/>
        <v>1</v>
      </c>
      <c r="W1507" s="239">
        <f ca="1">$U1507*EWSpacingFt+XOffset+(PanArrayWidthHighEndFt-PanArrayWidthLowEndFt)/2</f>
        <v>0</v>
      </c>
      <c r="X1507" s="243">
        <f ca="1">$V1507*NSSpacingFt+YOffset+0</f>
        <v>17.999999999999989</v>
      </c>
      <c r="Y1507" s="247">
        <f ca="1">+$V1507*NSGradeFt+PedHeight+0</f>
        <v>7.401410761154855</v>
      </c>
      <c r="Z1507" s="214">
        <f ca="1">+$W1507</f>
        <v>0</v>
      </c>
      <c r="AA1507" s="214">
        <f ca="1">+$Y1507</f>
        <v>7.401410761154855</v>
      </c>
      <c r="AB1507" s="214">
        <f ca="1">+$X1507</f>
        <v>17.999999999999989</v>
      </c>
      <c r="AC1507" s="214">
        <f ca="1">+$W1507-XOffset</f>
        <v>0</v>
      </c>
    </row>
    <row r="1508" spans="19:29" ht="8.4" customHeight="1">
      <c r="S1508" s="307"/>
      <c r="T1508" s="226">
        <f t="shared" si="82"/>
        <v>1505</v>
      </c>
      <c r="U1508" s="224">
        <f t="shared" si="83"/>
        <v>0</v>
      </c>
      <c r="V1508" s="225">
        <f t="shared" si="84"/>
        <v>1</v>
      </c>
      <c r="W1508" s="217"/>
      <c r="X1508" s="217"/>
      <c r="Y1508" s="217"/>
      <c r="Z1508" s="214"/>
      <c r="AA1508" s="214"/>
      <c r="AB1508" s="214"/>
      <c r="AC1508" s="214"/>
    </row>
    <row r="1509" spans="19:29" ht="8.4" customHeight="1">
      <c r="S1509" s="307">
        <f>INT((T1509-0)/6)+1</f>
        <v>252</v>
      </c>
      <c r="T1509" s="226">
        <f t="shared" ref="T1509:T1572" si="85">+T1508+1</f>
        <v>1506</v>
      </c>
      <c r="U1509" s="224">
        <f t="shared" si="83"/>
        <v>1</v>
      </c>
      <c r="V1509" s="225">
        <f t="shared" si="84"/>
        <v>1</v>
      </c>
      <c r="W1509" s="233">
        <f ca="1">$U1509*EWSpacingFt+XOffset+(PanArrayWidthHighEndFt-PanArrayWidthLowEndFt)/2</f>
        <v>30.000006832286932</v>
      </c>
      <c r="X1509" s="234">
        <f ca="1">$V1509*NSSpacingFt+YOffset+0</f>
        <v>17.999999999999989</v>
      </c>
      <c r="Y1509" s="235">
        <f ca="1">+$V1509*NSGradeFt+PedHeight+0</f>
        <v>7.401410761154855</v>
      </c>
      <c r="Z1509" s="214">
        <f ca="1">+$W1509</f>
        <v>30.000006832286932</v>
      </c>
      <c r="AA1509" s="214">
        <f ca="1">+$Y1509</f>
        <v>7.401410761154855</v>
      </c>
      <c r="AB1509" s="214">
        <f ca="1">+$X1509</f>
        <v>17.999999999999989</v>
      </c>
      <c r="AC1509" s="214">
        <f ca="1">+$W1509-XOffset</f>
        <v>30.000006832286932</v>
      </c>
    </row>
    <row r="1510" spans="19:29" ht="8.4" customHeight="1">
      <c r="S1510" s="307"/>
      <c r="T1510" s="226">
        <f t="shared" si="85"/>
        <v>1507</v>
      </c>
      <c r="U1510" s="224">
        <f t="shared" si="83"/>
        <v>1</v>
      </c>
      <c r="V1510" s="225">
        <f t="shared" si="84"/>
        <v>1</v>
      </c>
      <c r="W1510" s="236">
        <f ca="1">+$U1510*EWSpacingFt+XOffset+PanArrayWidthHighEndFt-(PanArrayWidthHighEndFt-PanArrayWidthLowEndFt)/2</f>
        <v>40.802828354596642</v>
      </c>
      <c r="X1510" s="240">
        <f ca="1">$V1510*NSSpacingFt+YOffset+0</f>
        <v>17.999999999999989</v>
      </c>
      <c r="Y1510" s="244">
        <f ca="1">+$V1510*NSGradeFt+PedHeight+0</f>
        <v>7.401410761154855</v>
      </c>
      <c r="Z1510" s="214">
        <f ca="1">+$W1510</f>
        <v>40.802828354596642</v>
      </c>
      <c r="AA1510" s="214">
        <f ca="1">+$Y1510</f>
        <v>7.401410761154855</v>
      </c>
      <c r="AB1510" s="214">
        <f ca="1">+$X1510</f>
        <v>17.999999999999989</v>
      </c>
      <c r="AC1510" s="214">
        <f ca="1">+$W1510-XOffset</f>
        <v>40.802828354596642</v>
      </c>
    </row>
    <row r="1511" spans="19:29" ht="8.4" customHeight="1">
      <c r="S1511" s="307"/>
      <c r="T1511" s="226">
        <f t="shared" si="85"/>
        <v>1508</v>
      </c>
      <c r="U1511" s="224">
        <f t="shared" si="83"/>
        <v>1</v>
      </c>
      <c r="V1511" s="225">
        <f t="shared" si="84"/>
        <v>1</v>
      </c>
      <c r="W1511" s="237">
        <f ca="1">$U1511*EWSpacingFt+XOffset+PanArrayWidthHighEndFt</f>
        <v>40.802828354596642</v>
      </c>
      <c r="X1511" s="241">
        <f ca="1">$V1511*NSSpacingFt+YOffset+PanArrayLenFt*COS(RADIANS(Latitude+DecAng))</f>
        <v>34.439632545931751</v>
      </c>
      <c r="Y1511" s="245">
        <f ca="1">+$V1511*NSGradeFt+PedHeight+PanArrayLenFt*SIN(RADIANS(Latitude+DecAng))</f>
        <v>7.401410761154855</v>
      </c>
      <c r="Z1511" s="214">
        <f ca="1">+$W1511</f>
        <v>40.802828354596642</v>
      </c>
      <c r="AA1511" s="214">
        <f ca="1">+$Y1511</f>
        <v>7.401410761154855</v>
      </c>
      <c r="AB1511" s="214">
        <f ca="1">+$X1511</f>
        <v>34.439632545931751</v>
      </c>
      <c r="AC1511" s="214">
        <f ca="1">+$W1511-XOffset</f>
        <v>40.802828354596642</v>
      </c>
    </row>
    <row r="1512" spans="19:29" ht="8.4" customHeight="1">
      <c r="S1512" s="307"/>
      <c r="T1512" s="226">
        <f t="shared" si="85"/>
        <v>1509</v>
      </c>
      <c r="U1512" s="224">
        <f t="shared" si="83"/>
        <v>1</v>
      </c>
      <c r="V1512" s="225">
        <f t="shared" si="84"/>
        <v>1</v>
      </c>
      <c r="W1512" s="238">
        <f ca="1">$U1512*EWSpacingFt+XOffset+0</f>
        <v>30.000006832286932</v>
      </c>
      <c r="X1512" s="242">
        <f ca="1">$V1512*NSSpacingFt+YOffset+PanArrayLenFt*COS(RADIANS(Latitude+DecAng))</f>
        <v>34.439632545931751</v>
      </c>
      <c r="Y1512" s="246">
        <f ca="1">+$V1512*NSGradeFt+PedHeight+PanArrayLenFt*SIN(RADIANS(Latitude+DecAng))</f>
        <v>7.401410761154855</v>
      </c>
      <c r="Z1512" s="214">
        <f ca="1">+$W1512</f>
        <v>30.000006832286932</v>
      </c>
      <c r="AA1512" s="214">
        <f ca="1">+$Y1512</f>
        <v>7.401410761154855</v>
      </c>
      <c r="AB1512" s="214">
        <f ca="1">+$X1512</f>
        <v>34.439632545931751</v>
      </c>
      <c r="AC1512" s="214">
        <f ca="1">+$W1512-XOffset</f>
        <v>30.000006832286932</v>
      </c>
    </row>
    <row r="1513" spans="19:29" ht="8.4" customHeight="1">
      <c r="S1513" s="307"/>
      <c r="T1513" s="226">
        <f t="shared" si="85"/>
        <v>1510</v>
      </c>
      <c r="U1513" s="224">
        <f t="shared" si="83"/>
        <v>1</v>
      </c>
      <c r="V1513" s="225">
        <f t="shared" si="84"/>
        <v>1</v>
      </c>
      <c r="W1513" s="239">
        <f ca="1">$U1513*EWSpacingFt+XOffset+(PanArrayWidthHighEndFt-PanArrayWidthLowEndFt)/2</f>
        <v>30.000006832286932</v>
      </c>
      <c r="X1513" s="243">
        <f ca="1">$V1513*NSSpacingFt+YOffset+0</f>
        <v>17.999999999999989</v>
      </c>
      <c r="Y1513" s="247">
        <f ca="1">+$V1513*NSGradeFt+PedHeight+0</f>
        <v>7.401410761154855</v>
      </c>
      <c r="Z1513" s="214">
        <f ca="1">+$W1513</f>
        <v>30.000006832286932</v>
      </c>
      <c r="AA1513" s="214">
        <f ca="1">+$Y1513</f>
        <v>7.401410761154855</v>
      </c>
      <c r="AB1513" s="214">
        <f ca="1">+$X1513</f>
        <v>17.999999999999989</v>
      </c>
      <c r="AC1513" s="214">
        <f ca="1">+$W1513-XOffset</f>
        <v>30.000006832286932</v>
      </c>
    </row>
    <row r="1514" spans="19:29" ht="8.4" customHeight="1">
      <c r="S1514" s="307"/>
      <c r="T1514" s="226">
        <f t="shared" si="85"/>
        <v>1511</v>
      </c>
      <c r="U1514" s="224">
        <f t="shared" si="83"/>
        <v>1</v>
      </c>
      <c r="V1514" s="225">
        <f t="shared" si="84"/>
        <v>1</v>
      </c>
      <c r="W1514" s="217"/>
      <c r="X1514" s="217"/>
      <c r="Y1514" s="217"/>
      <c r="Z1514" s="214"/>
      <c r="AA1514" s="214"/>
      <c r="AB1514" s="214"/>
      <c r="AC1514" s="214"/>
    </row>
    <row r="1515" spans="19:29" ht="8.4" customHeight="1">
      <c r="S1515" s="307">
        <f>INT((T1515-0)/6)+1</f>
        <v>253</v>
      </c>
      <c r="T1515" s="226">
        <f t="shared" si="85"/>
        <v>1512</v>
      </c>
      <c r="U1515" s="224">
        <f t="shared" si="83"/>
        <v>0</v>
      </c>
      <c r="V1515" s="225">
        <f t="shared" si="84"/>
        <v>2</v>
      </c>
      <c r="W1515" s="233">
        <f ca="1">$U1515*EWSpacingFt+XOffset+(PanArrayWidthHighEndFt-PanArrayWidthLowEndFt)/2</f>
        <v>0</v>
      </c>
      <c r="X1515" s="234">
        <f ca="1">$V1515*NSSpacingFt+YOffset+0</f>
        <v>35.999999999999979</v>
      </c>
      <c r="Y1515" s="235">
        <f ca="1">+$V1515*NSGradeFt+PedHeight+0</f>
        <v>7.401410761154855</v>
      </c>
      <c r="Z1515" s="214">
        <f ca="1">+$W1515</f>
        <v>0</v>
      </c>
      <c r="AA1515" s="214">
        <f ca="1">+$Y1515</f>
        <v>7.401410761154855</v>
      </c>
      <c r="AB1515" s="214">
        <f ca="1">+$X1515</f>
        <v>35.999999999999979</v>
      </c>
      <c r="AC1515" s="214">
        <f ca="1">+$W1515-XOffset</f>
        <v>0</v>
      </c>
    </row>
    <row r="1516" spans="19:29" ht="8.4" customHeight="1">
      <c r="S1516" s="307"/>
      <c r="T1516" s="226">
        <f t="shared" si="85"/>
        <v>1513</v>
      </c>
      <c r="U1516" s="224">
        <f t="shared" si="83"/>
        <v>0</v>
      </c>
      <c r="V1516" s="225">
        <f t="shared" si="84"/>
        <v>2</v>
      </c>
      <c r="W1516" s="236">
        <f ca="1">+$U1516*EWSpacingFt+XOffset+PanArrayWidthHighEndFt-(PanArrayWidthHighEndFt-PanArrayWidthLowEndFt)/2</f>
        <v>10.80282152230971</v>
      </c>
      <c r="X1516" s="240">
        <f ca="1">$V1516*NSSpacingFt+YOffset+0</f>
        <v>35.999999999999979</v>
      </c>
      <c r="Y1516" s="244">
        <f ca="1">+$V1516*NSGradeFt+PedHeight+0</f>
        <v>7.401410761154855</v>
      </c>
      <c r="Z1516" s="214">
        <f ca="1">+$W1516</f>
        <v>10.80282152230971</v>
      </c>
      <c r="AA1516" s="214">
        <f ca="1">+$Y1516</f>
        <v>7.401410761154855</v>
      </c>
      <c r="AB1516" s="214">
        <f ca="1">+$X1516</f>
        <v>35.999999999999979</v>
      </c>
      <c r="AC1516" s="214">
        <f ca="1">+$W1516-XOffset</f>
        <v>10.80282152230971</v>
      </c>
    </row>
    <row r="1517" spans="19:29" ht="8.4" customHeight="1">
      <c r="S1517" s="307"/>
      <c r="T1517" s="226">
        <f t="shared" si="85"/>
        <v>1514</v>
      </c>
      <c r="U1517" s="224">
        <f t="shared" si="83"/>
        <v>0</v>
      </c>
      <c r="V1517" s="225">
        <f t="shared" si="84"/>
        <v>2</v>
      </c>
      <c r="W1517" s="237">
        <f ca="1">$U1517*EWSpacingFt+XOffset+PanArrayWidthHighEndFt</f>
        <v>10.80282152230971</v>
      </c>
      <c r="X1517" s="241">
        <f ca="1">$V1517*NSSpacingFt+YOffset+PanArrayLenFt*COS(RADIANS(Latitude+DecAng))</f>
        <v>52.439632545931744</v>
      </c>
      <c r="Y1517" s="245">
        <f ca="1">+$V1517*NSGradeFt+PedHeight+PanArrayLenFt*SIN(RADIANS(Latitude+DecAng))</f>
        <v>7.401410761154855</v>
      </c>
      <c r="Z1517" s="214">
        <f ca="1">+$W1517</f>
        <v>10.80282152230971</v>
      </c>
      <c r="AA1517" s="214">
        <f ca="1">+$Y1517</f>
        <v>7.401410761154855</v>
      </c>
      <c r="AB1517" s="214">
        <f ca="1">+$X1517</f>
        <v>52.439632545931744</v>
      </c>
      <c r="AC1517" s="214">
        <f ca="1">+$W1517-XOffset</f>
        <v>10.80282152230971</v>
      </c>
    </row>
    <row r="1518" spans="19:29" ht="8.4" customHeight="1">
      <c r="S1518" s="307"/>
      <c r="T1518" s="226">
        <f t="shared" si="85"/>
        <v>1515</v>
      </c>
      <c r="U1518" s="224">
        <f t="shared" si="83"/>
        <v>0</v>
      </c>
      <c r="V1518" s="225">
        <f t="shared" si="84"/>
        <v>2</v>
      </c>
      <c r="W1518" s="238">
        <f ca="1">$U1518*EWSpacingFt+XOffset+0</f>
        <v>0</v>
      </c>
      <c r="X1518" s="242">
        <f ca="1">$V1518*NSSpacingFt+YOffset+PanArrayLenFt*COS(RADIANS(Latitude+DecAng))</f>
        <v>52.439632545931744</v>
      </c>
      <c r="Y1518" s="246">
        <f ca="1">+$V1518*NSGradeFt+PedHeight+PanArrayLenFt*SIN(RADIANS(Latitude+DecAng))</f>
        <v>7.401410761154855</v>
      </c>
      <c r="Z1518" s="214">
        <f ca="1">+$W1518</f>
        <v>0</v>
      </c>
      <c r="AA1518" s="214">
        <f ca="1">+$Y1518</f>
        <v>7.401410761154855</v>
      </c>
      <c r="AB1518" s="214">
        <f ca="1">+$X1518</f>
        <v>52.439632545931744</v>
      </c>
      <c r="AC1518" s="214">
        <f ca="1">+$W1518-XOffset</f>
        <v>0</v>
      </c>
    </row>
    <row r="1519" spans="19:29" ht="8.4" customHeight="1">
      <c r="S1519" s="307"/>
      <c r="T1519" s="226">
        <f t="shared" si="85"/>
        <v>1516</v>
      </c>
      <c r="U1519" s="224">
        <f t="shared" si="83"/>
        <v>0</v>
      </c>
      <c r="V1519" s="225">
        <f t="shared" si="84"/>
        <v>2</v>
      </c>
      <c r="W1519" s="239">
        <f ca="1">$U1519*EWSpacingFt+XOffset+(PanArrayWidthHighEndFt-PanArrayWidthLowEndFt)/2</f>
        <v>0</v>
      </c>
      <c r="X1519" s="243">
        <f ca="1">$V1519*NSSpacingFt+YOffset+0</f>
        <v>35.999999999999979</v>
      </c>
      <c r="Y1519" s="247">
        <f ca="1">+$V1519*NSGradeFt+PedHeight+0</f>
        <v>7.401410761154855</v>
      </c>
      <c r="Z1519" s="214">
        <f ca="1">+$W1519</f>
        <v>0</v>
      </c>
      <c r="AA1519" s="214">
        <f ca="1">+$Y1519</f>
        <v>7.401410761154855</v>
      </c>
      <c r="AB1519" s="214">
        <f ca="1">+$X1519</f>
        <v>35.999999999999979</v>
      </c>
      <c r="AC1519" s="214">
        <f ca="1">+$W1519-XOffset</f>
        <v>0</v>
      </c>
    </row>
    <row r="1520" spans="19:29" ht="8.4" customHeight="1">
      <c r="S1520" s="307"/>
      <c r="T1520" s="226">
        <f t="shared" si="85"/>
        <v>1517</v>
      </c>
      <c r="U1520" s="224">
        <f t="shared" si="83"/>
        <v>0</v>
      </c>
      <c r="V1520" s="225">
        <f t="shared" si="84"/>
        <v>2</v>
      </c>
      <c r="W1520" s="217"/>
      <c r="X1520" s="217"/>
      <c r="Y1520" s="217"/>
      <c r="Z1520" s="214"/>
      <c r="AA1520" s="214"/>
      <c r="AB1520" s="214"/>
      <c r="AC1520" s="214"/>
    </row>
    <row r="1521" spans="19:29" ht="8.4" customHeight="1">
      <c r="S1521" s="307">
        <f>INT((T1521-0)/6)+1</f>
        <v>254</v>
      </c>
      <c r="T1521" s="226">
        <f t="shared" si="85"/>
        <v>1518</v>
      </c>
      <c r="U1521" s="224">
        <f t="shared" si="83"/>
        <v>1</v>
      </c>
      <c r="V1521" s="225">
        <f t="shared" si="84"/>
        <v>2</v>
      </c>
      <c r="W1521" s="233">
        <f ca="1">$U1521*EWSpacingFt+XOffset+(PanArrayWidthHighEndFt-PanArrayWidthLowEndFt)/2</f>
        <v>30.000006832286932</v>
      </c>
      <c r="X1521" s="234">
        <f ca="1">$V1521*NSSpacingFt+YOffset+0</f>
        <v>35.999999999999979</v>
      </c>
      <c r="Y1521" s="235">
        <f ca="1">+$V1521*NSGradeFt+PedHeight+0</f>
        <v>7.401410761154855</v>
      </c>
      <c r="Z1521" s="214">
        <f ca="1">+$W1521</f>
        <v>30.000006832286932</v>
      </c>
      <c r="AA1521" s="214">
        <f ca="1">+$Y1521</f>
        <v>7.401410761154855</v>
      </c>
      <c r="AB1521" s="214">
        <f ca="1">+$X1521</f>
        <v>35.999999999999979</v>
      </c>
      <c r="AC1521" s="214">
        <f ca="1">+$W1521-XOffset</f>
        <v>30.000006832286932</v>
      </c>
    </row>
    <row r="1522" spans="19:29" ht="8.4" customHeight="1">
      <c r="S1522" s="307"/>
      <c r="T1522" s="226">
        <f t="shared" si="85"/>
        <v>1519</v>
      </c>
      <c r="U1522" s="224">
        <f t="shared" si="83"/>
        <v>1</v>
      </c>
      <c r="V1522" s="225">
        <f t="shared" si="84"/>
        <v>2</v>
      </c>
      <c r="W1522" s="236">
        <f ca="1">+$U1522*EWSpacingFt+XOffset+PanArrayWidthHighEndFt-(PanArrayWidthHighEndFt-PanArrayWidthLowEndFt)/2</f>
        <v>40.802828354596642</v>
      </c>
      <c r="X1522" s="240">
        <f ca="1">$V1522*NSSpacingFt+YOffset+0</f>
        <v>35.999999999999979</v>
      </c>
      <c r="Y1522" s="244">
        <f ca="1">+$V1522*NSGradeFt+PedHeight+0</f>
        <v>7.401410761154855</v>
      </c>
      <c r="Z1522" s="214">
        <f ca="1">+$W1522</f>
        <v>40.802828354596642</v>
      </c>
      <c r="AA1522" s="214">
        <f ca="1">+$Y1522</f>
        <v>7.401410761154855</v>
      </c>
      <c r="AB1522" s="214">
        <f ca="1">+$X1522</f>
        <v>35.999999999999979</v>
      </c>
      <c r="AC1522" s="214">
        <f ca="1">+$W1522-XOffset</f>
        <v>40.802828354596642</v>
      </c>
    </row>
    <row r="1523" spans="19:29" ht="8.4" customHeight="1">
      <c r="S1523" s="307"/>
      <c r="T1523" s="226">
        <f t="shared" si="85"/>
        <v>1520</v>
      </c>
      <c r="U1523" s="224">
        <f t="shared" si="83"/>
        <v>1</v>
      </c>
      <c r="V1523" s="225">
        <f t="shared" si="84"/>
        <v>2</v>
      </c>
      <c r="W1523" s="237">
        <f ca="1">$U1523*EWSpacingFt+XOffset+PanArrayWidthHighEndFt</f>
        <v>40.802828354596642</v>
      </c>
      <c r="X1523" s="241">
        <f ca="1">$V1523*NSSpacingFt+YOffset+PanArrayLenFt*COS(RADIANS(Latitude+DecAng))</f>
        <v>52.439632545931744</v>
      </c>
      <c r="Y1523" s="245">
        <f ca="1">+$V1523*NSGradeFt+PedHeight+PanArrayLenFt*SIN(RADIANS(Latitude+DecAng))</f>
        <v>7.401410761154855</v>
      </c>
      <c r="Z1523" s="214">
        <f ca="1">+$W1523</f>
        <v>40.802828354596642</v>
      </c>
      <c r="AA1523" s="214">
        <f ca="1">+$Y1523</f>
        <v>7.401410761154855</v>
      </c>
      <c r="AB1523" s="214">
        <f ca="1">+$X1523</f>
        <v>52.439632545931744</v>
      </c>
      <c r="AC1523" s="214">
        <f ca="1">+$W1523-XOffset</f>
        <v>40.802828354596642</v>
      </c>
    </row>
    <row r="1524" spans="19:29" ht="8.4" customHeight="1">
      <c r="S1524" s="307"/>
      <c r="T1524" s="226">
        <f t="shared" si="85"/>
        <v>1521</v>
      </c>
      <c r="U1524" s="224">
        <f t="shared" si="83"/>
        <v>1</v>
      </c>
      <c r="V1524" s="225">
        <f t="shared" si="84"/>
        <v>2</v>
      </c>
      <c r="W1524" s="238">
        <f ca="1">$U1524*EWSpacingFt+XOffset+0</f>
        <v>30.000006832286932</v>
      </c>
      <c r="X1524" s="242">
        <f ca="1">$V1524*NSSpacingFt+YOffset+PanArrayLenFt*COS(RADIANS(Latitude+DecAng))</f>
        <v>52.439632545931744</v>
      </c>
      <c r="Y1524" s="246">
        <f ca="1">+$V1524*NSGradeFt+PedHeight+PanArrayLenFt*SIN(RADIANS(Latitude+DecAng))</f>
        <v>7.401410761154855</v>
      </c>
      <c r="Z1524" s="214">
        <f ca="1">+$W1524</f>
        <v>30.000006832286932</v>
      </c>
      <c r="AA1524" s="214">
        <f ca="1">+$Y1524</f>
        <v>7.401410761154855</v>
      </c>
      <c r="AB1524" s="214">
        <f ca="1">+$X1524</f>
        <v>52.439632545931744</v>
      </c>
      <c r="AC1524" s="214">
        <f ca="1">+$W1524-XOffset</f>
        <v>30.000006832286932</v>
      </c>
    </row>
    <row r="1525" spans="19:29" ht="8.4" customHeight="1">
      <c r="S1525" s="307"/>
      <c r="T1525" s="226">
        <f t="shared" si="85"/>
        <v>1522</v>
      </c>
      <c r="U1525" s="224">
        <f t="shared" si="83"/>
        <v>1</v>
      </c>
      <c r="V1525" s="225">
        <f t="shared" si="84"/>
        <v>2</v>
      </c>
      <c r="W1525" s="239">
        <f ca="1">$U1525*EWSpacingFt+XOffset+(PanArrayWidthHighEndFt-PanArrayWidthLowEndFt)/2</f>
        <v>30.000006832286932</v>
      </c>
      <c r="X1525" s="243">
        <f ca="1">$V1525*NSSpacingFt+YOffset+0</f>
        <v>35.999999999999979</v>
      </c>
      <c r="Y1525" s="247">
        <f ca="1">+$V1525*NSGradeFt+PedHeight+0</f>
        <v>7.401410761154855</v>
      </c>
      <c r="Z1525" s="214">
        <f ca="1">+$W1525</f>
        <v>30.000006832286932</v>
      </c>
      <c r="AA1525" s="214">
        <f ca="1">+$Y1525</f>
        <v>7.401410761154855</v>
      </c>
      <c r="AB1525" s="214">
        <f ca="1">+$X1525</f>
        <v>35.999999999999979</v>
      </c>
      <c r="AC1525" s="214">
        <f ca="1">+$W1525-XOffset</f>
        <v>30.000006832286932</v>
      </c>
    </row>
    <row r="1526" spans="19:29" ht="8.4" customHeight="1">
      <c r="S1526" s="307"/>
      <c r="T1526" s="226">
        <f t="shared" si="85"/>
        <v>1523</v>
      </c>
      <c r="U1526" s="224">
        <f t="shared" si="83"/>
        <v>1</v>
      </c>
      <c r="V1526" s="225">
        <f t="shared" si="84"/>
        <v>2</v>
      </c>
      <c r="W1526" s="217"/>
      <c r="X1526" s="217"/>
      <c r="Y1526" s="217"/>
      <c r="Z1526" s="214"/>
      <c r="AA1526" s="214"/>
      <c r="AB1526" s="214"/>
      <c r="AC1526" s="214"/>
    </row>
    <row r="1527" spans="19:29" ht="8.4" customHeight="1">
      <c r="S1527" s="307">
        <f>INT((T1527-0)/6)+1</f>
        <v>255</v>
      </c>
      <c r="T1527" s="226">
        <f t="shared" si="85"/>
        <v>1524</v>
      </c>
      <c r="U1527" s="224">
        <f t="shared" si="83"/>
        <v>0</v>
      </c>
      <c r="V1527" s="225">
        <f t="shared" si="84"/>
        <v>3</v>
      </c>
      <c r="W1527" s="233">
        <f ca="1">$U1527*EWSpacingFt+XOffset+(PanArrayWidthHighEndFt-PanArrayWidthLowEndFt)/2</f>
        <v>0</v>
      </c>
      <c r="X1527" s="234">
        <f ca="1">$V1527*NSSpacingFt+YOffset+0</f>
        <v>53.999999999999972</v>
      </c>
      <c r="Y1527" s="235">
        <f ca="1">+$V1527*NSGradeFt+PedHeight+0</f>
        <v>7.401410761154855</v>
      </c>
      <c r="Z1527" s="214">
        <f ca="1">+$W1527</f>
        <v>0</v>
      </c>
      <c r="AA1527" s="214">
        <f ca="1">+$Y1527</f>
        <v>7.401410761154855</v>
      </c>
      <c r="AB1527" s="214">
        <f ca="1">+$X1527</f>
        <v>53.999999999999972</v>
      </c>
      <c r="AC1527" s="214">
        <f ca="1">+$W1527-XOffset</f>
        <v>0</v>
      </c>
    </row>
    <row r="1528" spans="19:29" ht="8.4" customHeight="1">
      <c r="S1528" s="307"/>
      <c r="T1528" s="226">
        <f t="shared" si="85"/>
        <v>1525</v>
      </c>
      <c r="U1528" s="224">
        <f t="shared" si="83"/>
        <v>0</v>
      </c>
      <c r="V1528" s="225">
        <f t="shared" si="84"/>
        <v>3</v>
      </c>
      <c r="W1528" s="236">
        <f ca="1">+$U1528*EWSpacingFt+XOffset+PanArrayWidthHighEndFt-(PanArrayWidthHighEndFt-PanArrayWidthLowEndFt)/2</f>
        <v>10.80282152230971</v>
      </c>
      <c r="X1528" s="240">
        <f ca="1">$V1528*NSSpacingFt+YOffset+0</f>
        <v>53.999999999999972</v>
      </c>
      <c r="Y1528" s="244">
        <f ca="1">+$V1528*NSGradeFt+PedHeight+0</f>
        <v>7.401410761154855</v>
      </c>
      <c r="Z1528" s="214">
        <f ca="1">+$W1528</f>
        <v>10.80282152230971</v>
      </c>
      <c r="AA1528" s="214">
        <f ca="1">+$Y1528</f>
        <v>7.401410761154855</v>
      </c>
      <c r="AB1528" s="214">
        <f ca="1">+$X1528</f>
        <v>53.999999999999972</v>
      </c>
      <c r="AC1528" s="214">
        <f ca="1">+$W1528-XOffset</f>
        <v>10.80282152230971</v>
      </c>
    </row>
    <row r="1529" spans="19:29" ht="8.4" customHeight="1">
      <c r="S1529" s="307"/>
      <c r="T1529" s="226">
        <f t="shared" si="85"/>
        <v>1526</v>
      </c>
      <c r="U1529" s="224">
        <f t="shared" si="83"/>
        <v>0</v>
      </c>
      <c r="V1529" s="225">
        <f t="shared" si="84"/>
        <v>3</v>
      </c>
      <c r="W1529" s="237">
        <f ca="1">$U1529*EWSpacingFt+XOffset+PanArrayWidthHighEndFt</f>
        <v>10.80282152230971</v>
      </c>
      <c r="X1529" s="241">
        <f ca="1">$V1529*NSSpacingFt+YOffset+PanArrayLenFt*COS(RADIANS(Latitude+DecAng))</f>
        <v>70.43963254593173</v>
      </c>
      <c r="Y1529" s="245">
        <f ca="1">+$V1529*NSGradeFt+PedHeight+PanArrayLenFt*SIN(RADIANS(Latitude+DecAng))</f>
        <v>7.401410761154855</v>
      </c>
      <c r="Z1529" s="214">
        <f ca="1">+$W1529</f>
        <v>10.80282152230971</v>
      </c>
      <c r="AA1529" s="214">
        <f ca="1">+$Y1529</f>
        <v>7.401410761154855</v>
      </c>
      <c r="AB1529" s="214">
        <f ca="1">+$X1529</f>
        <v>70.43963254593173</v>
      </c>
      <c r="AC1529" s="214">
        <f ca="1">+$W1529-XOffset</f>
        <v>10.80282152230971</v>
      </c>
    </row>
    <row r="1530" spans="19:29" ht="8.4" customHeight="1">
      <c r="S1530" s="307"/>
      <c r="T1530" s="226">
        <f t="shared" si="85"/>
        <v>1527</v>
      </c>
      <c r="U1530" s="224">
        <f t="shared" si="83"/>
        <v>0</v>
      </c>
      <c r="V1530" s="225">
        <f t="shared" si="84"/>
        <v>3</v>
      </c>
      <c r="W1530" s="238">
        <f ca="1">$U1530*EWSpacingFt+XOffset+0</f>
        <v>0</v>
      </c>
      <c r="X1530" s="242">
        <f ca="1">$V1530*NSSpacingFt+YOffset+PanArrayLenFt*COS(RADIANS(Latitude+DecAng))</f>
        <v>70.43963254593173</v>
      </c>
      <c r="Y1530" s="246">
        <f ca="1">+$V1530*NSGradeFt+PedHeight+PanArrayLenFt*SIN(RADIANS(Latitude+DecAng))</f>
        <v>7.401410761154855</v>
      </c>
      <c r="Z1530" s="214">
        <f ca="1">+$W1530</f>
        <v>0</v>
      </c>
      <c r="AA1530" s="214">
        <f ca="1">+$Y1530</f>
        <v>7.401410761154855</v>
      </c>
      <c r="AB1530" s="214">
        <f ca="1">+$X1530</f>
        <v>70.43963254593173</v>
      </c>
      <c r="AC1530" s="214">
        <f ca="1">+$W1530-XOffset</f>
        <v>0</v>
      </c>
    </row>
    <row r="1531" spans="19:29" ht="8.4" customHeight="1">
      <c r="S1531" s="307"/>
      <c r="T1531" s="226">
        <f t="shared" si="85"/>
        <v>1528</v>
      </c>
      <c r="U1531" s="224">
        <f t="shared" si="83"/>
        <v>0</v>
      </c>
      <c r="V1531" s="225">
        <f t="shared" si="84"/>
        <v>3</v>
      </c>
      <c r="W1531" s="239">
        <f ca="1">$U1531*EWSpacingFt+XOffset+(PanArrayWidthHighEndFt-PanArrayWidthLowEndFt)/2</f>
        <v>0</v>
      </c>
      <c r="X1531" s="243">
        <f ca="1">$V1531*NSSpacingFt+YOffset+0</f>
        <v>53.999999999999972</v>
      </c>
      <c r="Y1531" s="247">
        <f ca="1">+$V1531*NSGradeFt+PedHeight+0</f>
        <v>7.401410761154855</v>
      </c>
      <c r="Z1531" s="214">
        <f ca="1">+$W1531</f>
        <v>0</v>
      </c>
      <c r="AA1531" s="214">
        <f ca="1">+$Y1531</f>
        <v>7.401410761154855</v>
      </c>
      <c r="AB1531" s="214">
        <f ca="1">+$X1531</f>
        <v>53.999999999999972</v>
      </c>
      <c r="AC1531" s="214">
        <f ca="1">+$W1531-XOffset</f>
        <v>0</v>
      </c>
    </row>
    <row r="1532" spans="19:29" ht="8.4" customHeight="1">
      <c r="S1532" s="307"/>
      <c r="T1532" s="226">
        <f t="shared" si="85"/>
        <v>1529</v>
      </c>
      <c r="U1532" s="224">
        <f t="shared" si="83"/>
        <v>0</v>
      </c>
      <c r="V1532" s="225">
        <f t="shared" si="84"/>
        <v>3</v>
      </c>
      <c r="W1532" s="217"/>
      <c r="X1532" s="217"/>
      <c r="Y1532" s="217"/>
      <c r="Z1532" s="214"/>
      <c r="AA1532" s="214"/>
      <c r="AB1532" s="214"/>
      <c r="AC1532" s="214"/>
    </row>
    <row r="1533" spans="19:29" ht="8.4" customHeight="1">
      <c r="S1533" s="307">
        <f>INT((T1533-0)/6)+1</f>
        <v>256</v>
      </c>
      <c r="T1533" s="226">
        <f t="shared" si="85"/>
        <v>1530</v>
      </c>
      <c r="U1533" s="224">
        <f t="shared" si="83"/>
        <v>1</v>
      </c>
      <c r="V1533" s="225">
        <f t="shared" si="84"/>
        <v>3</v>
      </c>
      <c r="W1533" s="233">
        <f ca="1">$U1533*EWSpacingFt+XOffset+(PanArrayWidthHighEndFt-PanArrayWidthLowEndFt)/2</f>
        <v>30.000006832286932</v>
      </c>
      <c r="X1533" s="234">
        <f ca="1">$V1533*NSSpacingFt+YOffset+0</f>
        <v>53.999999999999972</v>
      </c>
      <c r="Y1533" s="235">
        <f ca="1">+$V1533*NSGradeFt+PedHeight+0</f>
        <v>7.401410761154855</v>
      </c>
      <c r="Z1533" s="214">
        <f ca="1">+$W1533</f>
        <v>30.000006832286932</v>
      </c>
      <c r="AA1533" s="214">
        <f ca="1">+$Y1533</f>
        <v>7.401410761154855</v>
      </c>
      <c r="AB1533" s="214">
        <f ca="1">+$X1533</f>
        <v>53.999999999999972</v>
      </c>
      <c r="AC1533" s="214">
        <f ca="1">+$W1533-XOffset</f>
        <v>30.000006832286932</v>
      </c>
    </row>
    <row r="1534" spans="19:29" ht="8.4" customHeight="1">
      <c r="S1534" s="307"/>
      <c r="T1534" s="226">
        <f t="shared" si="85"/>
        <v>1531</v>
      </c>
      <c r="U1534" s="224">
        <f t="shared" si="83"/>
        <v>1</v>
      </c>
      <c r="V1534" s="225">
        <f t="shared" si="84"/>
        <v>3</v>
      </c>
      <c r="W1534" s="236">
        <f ca="1">+$U1534*EWSpacingFt+XOffset+PanArrayWidthHighEndFt-(PanArrayWidthHighEndFt-PanArrayWidthLowEndFt)/2</f>
        <v>40.802828354596642</v>
      </c>
      <c r="X1534" s="240">
        <f ca="1">$V1534*NSSpacingFt+YOffset+0</f>
        <v>53.999999999999972</v>
      </c>
      <c r="Y1534" s="244">
        <f ca="1">+$V1534*NSGradeFt+PedHeight+0</f>
        <v>7.401410761154855</v>
      </c>
      <c r="Z1534" s="214">
        <f ca="1">+$W1534</f>
        <v>40.802828354596642</v>
      </c>
      <c r="AA1534" s="214">
        <f ca="1">+$Y1534</f>
        <v>7.401410761154855</v>
      </c>
      <c r="AB1534" s="214">
        <f ca="1">+$X1534</f>
        <v>53.999999999999972</v>
      </c>
      <c r="AC1534" s="214">
        <f ca="1">+$W1534-XOffset</f>
        <v>40.802828354596642</v>
      </c>
    </row>
    <row r="1535" spans="19:29" ht="8.4" customHeight="1">
      <c r="S1535" s="307"/>
      <c r="T1535" s="226">
        <f t="shared" si="85"/>
        <v>1532</v>
      </c>
      <c r="U1535" s="224">
        <f t="shared" si="83"/>
        <v>1</v>
      </c>
      <c r="V1535" s="225">
        <f t="shared" si="84"/>
        <v>3</v>
      </c>
      <c r="W1535" s="237">
        <f ca="1">$U1535*EWSpacingFt+XOffset+PanArrayWidthHighEndFt</f>
        <v>40.802828354596642</v>
      </c>
      <c r="X1535" s="241">
        <f ca="1">$V1535*NSSpacingFt+YOffset+PanArrayLenFt*COS(RADIANS(Latitude+DecAng))</f>
        <v>70.43963254593173</v>
      </c>
      <c r="Y1535" s="245">
        <f ca="1">+$V1535*NSGradeFt+PedHeight+PanArrayLenFt*SIN(RADIANS(Latitude+DecAng))</f>
        <v>7.401410761154855</v>
      </c>
      <c r="Z1535" s="214">
        <f ca="1">+$W1535</f>
        <v>40.802828354596642</v>
      </c>
      <c r="AA1535" s="214">
        <f ca="1">+$Y1535</f>
        <v>7.401410761154855</v>
      </c>
      <c r="AB1535" s="214">
        <f ca="1">+$X1535</f>
        <v>70.43963254593173</v>
      </c>
      <c r="AC1535" s="214">
        <f ca="1">+$W1535-XOffset</f>
        <v>40.802828354596642</v>
      </c>
    </row>
    <row r="1536" spans="19:29" ht="8.4" customHeight="1">
      <c r="S1536" s="307"/>
      <c r="T1536" s="226">
        <f t="shared" si="85"/>
        <v>1533</v>
      </c>
      <c r="U1536" s="224">
        <f t="shared" si="83"/>
        <v>1</v>
      </c>
      <c r="V1536" s="225">
        <f t="shared" si="84"/>
        <v>3</v>
      </c>
      <c r="W1536" s="238">
        <f ca="1">$U1536*EWSpacingFt+XOffset+0</f>
        <v>30.000006832286932</v>
      </c>
      <c r="X1536" s="242">
        <f ca="1">$V1536*NSSpacingFt+YOffset+PanArrayLenFt*COS(RADIANS(Latitude+DecAng))</f>
        <v>70.43963254593173</v>
      </c>
      <c r="Y1536" s="246">
        <f ca="1">+$V1536*NSGradeFt+PedHeight+PanArrayLenFt*SIN(RADIANS(Latitude+DecAng))</f>
        <v>7.401410761154855</v>
      </c>
      <c r="Z1536" s="214">
        <f ca="1">+$W1536</f>
        <v>30.000006832286932</v>
      </c>
      <c r="AA1536" s="214">
        <f ca="1">+$Y1536</f>
        <v>7.401410761154855</v>
      </c>
      <c r="AB1536" s="214">
        <f ca="1">+$X1536</f>
        <v>70.43963254593173</v>
      </c>
      <c r="AC1536" s="214">
        <f ca="1">+$W1536-XOffset</f>
        <v>30.000006832286932</v>
      </c>
    </row>
    <row r="1537" spans="19:29" ht="8.4" customHeight="1">
      <c r="S1537" s="307"/>
      <c r="T1537" s="226">
        <f t="shared" si="85"/>
        <v>1534</v>
      </c>
      <c r="U1537" s="224">
        <f t="shared" si="83"/>
        <v>1</v>
      </c>
      <c r="V1537" s="225">
        <f t="shared" si="84"/>
        <v>3</v>
      </c>
      <c r="W1537" s="239">
        <f ca="1">$U1537*EWSpacingFt+XOffset+(PanArrayWidthHighEndFt-PanArrayWidthLowEndFt)/2</f>
        <v>30.000006832286932</v>
      </c>
      <c r="X1537" s="243">
        <f ca="1">$V1537*NSSpacingFt+YOffset+0</f>
        <v>53.999999999999972</v>
      </c>
      <c r="Y1537" s="247">
        <f ca="1">+$V1537*NSGradeFt+PedHeight+0</f>
        <v>7.401410761154855</v>
      </c>
      <c r="Z1537" s="214">
        <f ca="1">+$W1537</f>
        <v>30.000006832286932</v>
      </c>
      <c r="AA1537" s="214">
        <f ca="1">+$Y1537</f>
        <v>7.401410761154855</v>
      </c>
      <c r="AB1537" s="214">
        <f ca="1">+$X1537</f>
        <v>53.999999999999972</v>
      </c>
      <c r="AC1537" s="214">
        <f ca="1">+$W1537-XOffset</f>
        <v>30.000006832286932</v>
      </c>
    </row>
    <row r="1538" spans="19:29" ht="8.4" customHeight="1">
      <c r="S1538" s="307"/>
      <c r="T1538" s="226">
        <f t="shared" si="85"/>
        <v>1535</v>
      </c>
      <c r="U1538" s="224">
        <f t="shared" si="83"/>
        <v>1</v>
      </c>
      <c r="V1538" s="225">
        <f t="shared" si="84"/>
        <v>3</v>
      </c>
      <c r="W1538" s="217"/>
      <c r="X1538" s="217"/>
      <c r="Y1538" s="217"/>
      <c r="Z1538" s="214"/>
      <c r="AA1538" s="214"/>
      <c r="AB1538" s="214"/>
      <c r="AC1538" s="214"/>
    </row>
    <row r="1539" spans="19:29" ht="8.4" customHeight="1">
      <c r="S1539" s="307">
        <f>INT((T1539-0)/6)+1</f>
        <v>257</v>
      </c>
      <c r="T1539" s="226">
        <f t="shared" si="85"/>
        <v>1536</v>
      </c>
      <c r="U1539" s="224">
        <f t="shared" ref="U1539:U1602" si="86">+MOD(INT(T1539/6),ColumnsOfMounts)</f>
        <v>0</v>
      </c>
      <c r="V1539" s="225">
        <f t="shared" ref="V1539:V1602" si="87">+MOD(INT(T1539/6/ColumnsOfMounts),RowsOfMounts)</f>
        <v>0</v>
      </c>
      <c r="W1539" s="233">
        <f ca="1">$U1539*EWSpacingFt+XOffset+(PanArrayWidthHighEndFt-PanArrayWidthLowEndFt)/2</f>
        <v>0</v>
      </c>
      <c r="X1539" s="234">
        <f ca="1">$V1539*NSSpacingFt+YOffset+0</f>
        <v>0</v>
      </c>
      <c r="Y1539" s="235">
        <f ca="1">+$V1539*NSGradeFt+PedHeight+0</f>
        <v>7.401410761154855</v>
      </c>
      <c r="Z1539" s="214">
        <f ca="1">+$W1539</f>
        <v>0</v>
      </c>
      <c r="AA1539" s="214">
        <f ca="1">+$Y1539</f>
        <v>7.401410761154855</v>
      </c>
      <c r="AB1539" s="214">
        <f ca="1">+$X1539</f>
        <v>0</v>
      </c>
      <c r="AC1539" s="214">
        <f ca="1">+$W1539-XOffset</f>
        <v>0</v>
      </c>
    </row>
    <row r="1540" spans="19:29" ht="8.4" customHeight="1">
      <c r="S1540" s="307"/>
      <c r="T1540" s="226">
        <f t="shared" si="85"/>
        <v>1537</v>
      </c>
      <c r="U1540" s="224">
        <f t="shared" si="86"/>
        <v>0</v>
      </c>
      <c r="V1540" s="225">
        <f t="shared" si="87"/>
        <v>0</v>
      </c>
      <c r="W1540" s="236">
        <f ca="1">+$U1540*EWSpacingFt+XOffset+PanArrayWidthHighEndFt-(PanArrayWidthHighEndFt-PanArrayWidthLowEndFt)/2</f>
        <v>10.80282152230971</v>
      </c>
      <c r="X1540" s="240">
        <f ca="1">$V1540*NSSpacingFt+YOffset+0</f>
        <v>0</v>
      </c>
      <c r="Y1540" s="244">
        <f ca="1">+$V1540*NSGradeFt+PedHeight+0</f>
        <v>7.401410761154855</v>
      </c>
      <c r="Z1540" s="214">
        <f ca="1">+$W1540</f>
        <v>10.80282152230971</v>
      </c>
      <c r="AA1540" s="214">
        <f ca="1">+$Y1540</f>
        <v>7.401410761154855</v>
      </c>
      <c r="AB1540" s="214">
        <f ca="1">+$X1540</f>
        <v>0</v>
      </c>
      <c r="AC1540" s="214">
        <f ca="1">+$W1540-XOffset</f>
        <v>10.80282152230971</v>
      </c>
    </row>
    <row r="1541" spans="19:29" ht="8.4" customHeight="1">
      <c r="S1541" s="307"/>
      <c r="T1541" s="226">
        <f t="shared" si="85"/>
        <v>1538</v>
      </c>
      <c r="U1541" s="224">
        <f t="shared" si="86"/>
        <v>0</v>
      </c>
      <c r="V1541" s="225">
        <f t="shared" si="87"/>
        <v>0</v>
      </c>
      <c r="W1541" s="237">
        <f ca="1">$U1541*EWSpacingFt+XOffset+PanArrayWidthHighEndFt</f>
        <v>10.80282152230971</v>
      </c>
      <c r="X1541" s="241">
        <f ca="1">$V1541*NSSpacingFt+YOffset+PanArrayLenFt*COS(RADIANS(Latitude+DecAng))</f>
        <v>16.439632545931762</v>
      </c>
      <c r="Y1541" s="245">
        <f ca="1">+$V1541*NSGradeFt+PedHeight+PanArrayLenFt*SIN(RADIANS(Latitude+DecAng))</f>
        <v>7.401410761154855</v>
      </c>
      <c r="Z1541" s="214">
        <f ca="1">+$W1541</f>
        <v>10.80282152230971</v>
      </c>
      <c r="AA1541" s="214">
        <f ca="1">+$Y1541</f>
        <v>7.401410761154855</v>
      </c>
      <c r="AB1541" s="214">
        <f ca="1">+$X1541</f>
        <v>16.439632545931762</v>
      </c>
      <c r="AC1541" s="214">
        <f ca="1">+$W1541-XOffset</f>
        <v>10.80282152230971</v>
      </c>
    </row>
    <row r="1542" spans="19:29" ht="8.4" customHeight="1">
      <c r="S1542" s="307"/>
      <c r="T1542" s="226">
        <f t="shared" si="85"/>
        <v>1539</v>
      </c>
      <c r="U1542" s="224">
        <f t="shared" si="86"/>
        <v>0</v>
      </c>
      <c r="V1542" s="225">
        <f t="shared" si="87"/>
        <v>0</v>
      </c>
      <c r="W1542" s="238">
        <f ca="1">$U1542*EWSpacingFt+XOffset+0</f>
        <v>0</v>
      </c>
      <c r="X1542" s="242">
        <f ca="1">$V1542*NSSpacingFt+YOffset+PanArrayLenFt*COS(RADIANS(Latitude+DecAng))</f>
        <v>16.439632545931762</v>
      </c>
      <c r="Y1542" s="246">
        <f ca="1">+$V1542*NSGradeFt+PedHeight+PanArrayLenFt*SIN(RADIANS(Latitude+DecAng))</f>
        <v>7.401410761154855</v>
      </c>
      <c r="Z1542" s="214">
        <f ca="1">+$W1542</f>
        <v>0</v>
      </c>
      <c r="AA1542" s="214">
        <f ca="1">+$Y1542</f>
        <v>7.401410761154855</v>
      </c>
      <c r="AB1542" s="214">
        <f ca="1">+$X1542</f>
        <v>16.439632545931762</v>
      </c>
      <c r="AC1542" s="214">
        <f ca="1">+$W1542-XOffset</f>
        <v>0</v>
      </c>
    </row>
    <row r="1543" spans="19:29" ht="8.4" customHeight="1">
      <c r="S1543" s="307"/>
      <c r="T1543" s="226">
        <f t="shared" si="85"/>
        <v>1540</v>
      </c>
      <c r="U1543" s="224">
        <f t="shared" si="86"/>
        <v>0</v>
      </c>
      <c r="V1543" s="225">
        <f t="shared" si="87"/>
        <v>0</v>
      </c>
      <c r="W1543" s="239">
        <f ca="1">$U1543*EWSpacingFt+XOffset+(PanArrayWidthHighEndFt-PanArrayWidthLowEndFt)/2</f>
        <v>0</v>
      </c>
      <c r="X1543" s="243">
        <f ca="1">$V1543*NSSpacingFt+YOffset+0</f>
        <v>0</v>
      </c>
      <c r="Y1543" s="247">
        <f ca="1">+$V1543*NSGradeFt+PedHeight+0</f>
        <v>7.401410761154855</v>
      </c>
      <c r="Z1543" s="214">
        <f ca="1">+$W1543</f>
        <v>0</v>
      </c>
      <c r="AA1543" s="214">
        <f ca="1">+$Y1543</f>
        <v>7.401410761154855</v>
      </c>
      <c r="AB1543" s="214">
        <f ca="1">+$X1543</f>
        <v>0</v>
      </c>
      <c r="AC1543" s="214">
        <f ca="1">+$W1543-XOffset</f>
        <v>0</v>
      </c>
    </row>
    <row r="1544" spans="19:29" ht="8.4" customHeight="1">
      <c r="S1544" s="307"/>
      <c r="T1544" s="226">
        <f t="shared" si="85"/>
        <v>1541</v>
      </c>
      <c r="U1544" s="224">
        <f t="shared" si="86"/>
        <v>0</v>
      </c>
      <c r="V1544" s="225">
        <f t="shared" si="87"/>
        <v>0</v>
      </c>
      <c r="W1544" s="217"/>
      <c r="X1544" s="217"/>
      <c r="Y1544" s="217"/>
      <c r="Z1544" s="214"/>
      <c r="AA1544" s="214"/>
      <c r="AB1544" s="214"/>
      <c r="AC1544" s="214"/>
    </row>
    <row r="1545" spans="19:29" ht="8.4" customHeight="1">
      <c r="S1545" s="307">
        <f>INT((T1545-0)/6)+1</f>
        <v>258</v>
      </c>
      <c r="T1545" s="226">
        <f t="shared" si="85"/>
        <v>1542</v>
      </c>
      <c r="U1545" s="224">
        <f t="shared" si="86"/>
        <v>1</v>
      </c>
      <c r="V1545" s="225">
        <f t="shared" si="87"/>
        <v>0</v>
      </c>
      <c r="W1545" s="233">
        <f ca="1">$U1545*EWSpacingFt+XOffset+(PanArrayWidthHighEndFt-PanArrayWidthLowEndFt)/2</f>
        <v>30.000006832286932</v>
      </c>
      <c r="X1545" s="234">
        <f ca="1">$V1545*NSSpacingFt+YOffset+0</f>
        <v>0</v>
      </c>
      <c r="Y1545" s="235">
        <f ca="1">+$V1545*NSGradeFt+PedHeight+0</f>
        <v>7.401410761154855</v>
      </c>
      <c r="Z1545" s="214">
        <f ca="1">+$W1545</f>
        <v>30.000006832286932</v>
      </c>
      <c r="AA1545" s="214">
        <f ca="1">+$Y1545</f>
        <v>7.401410761154855</v>
      </c>
      <c r="AB1545" s="214">
        <f ca="1">+$X1545</f>
        <v>0</v>
      </c>
      <c r="AC1545" s="214">
        <f ca="1">+$W1545-XOffset</f>
        <v>30.000006832286932</v>
      </c>
    </row>
    <row r="1546" spans="19:29" ht="8.4" customHeight="1">
      <c r="S1546" s="307"/>
      <c r="T1546" s="226">
        <f t="shared" si="85"/>
        <v>1543</v>
      </c>
      <c r="U1546" s="224">
        <f t="shared" si="86"/>
        <v>1</v>
      </c>
      <c r="V1546" s="225">
        <f t="shared" si="87"/>
        <v>0</v>
      </c>
      <c r="W1546" s="236">
        <f ca="1">+$U1546*EWSpacingFt+XOffset+PanArrayWidthHighEndFt-(PanArrayWidthHighEndFt-PanArrayWidthLowEndFt)/2</f>
        <v>40.802828354596642</v>
      </c>
      <c r="X1546" s="240">
        <f ca="1">$V1546*NSSpacingFt+YOffset+0</f>
        <v>0</v>
      </c>
      <c r="Y1546" s="244">
        <f ca="1">+$V1546*NSGradeFt+PedHeight+0</f>
        <v>7.401410761154855</v>
      </c>
      <c r="Z1546" s="214">
        <f ca="1">+$W1546</f>
        <v>40.802828354596642</v>
      </c>
      <c r="AA1546" s="214">
        <f ca="1">+$Y1546</f>
        <v>7.401410761154855</v>
      </c>
      <c r="AB1546" s="214">
        <f ca="1">+$X1546</f>
        <v>0</v>
      </c>
      <c r="AC1546" s="214">
        <f ca="1">+$W1546-XOffset</f>
        <v>40.802828354596642</v>
      </c>
    </row>
    <row r="1547" spans="19:29" ht="8.4" customHeight="1">
      <c r="S1547" s="307"/>
      <c r="T1547" s="226">
        <f t="shared" si="85"/>
        <v>1544</v>
      </c>
      <c r="U1547" s="224">
        <f t="shared" si="86"/>
        <v>1</v>
      </c>
      <c r="V1547" s="225">
        <f t="shared" si="87"/>
        <v>0</v>
      </c>
      <c r="W1547" s="237">
        <f ca="1">$U1547*EWSpacingFt+XOffset+PanArrayWidthHighEndFt</f>
        <v>40.802828354596642</v>
      </c>
      <c r="X1547" s="241">
        <f ca="1">$V1547*NSSpacingFt+YOffset+PanArrayLenFt*COS(RADIANS(Latitude+DecAng))</f>
        <v>16.439632545931762</v>
      </c>
      <c r="Y1547" s="245">
        <f ca="1">+$V1547*NSGradeFt+PedHeight+PanArrayLenFt*SIN(RADIANS(Latitude+DecAng))</f>
        <v>7.401410761154855</v>
      </c>
      <c r="Z1547" s="214">
        <f ca="1">+$W1547</f>
        <v>40.802828354596642</v>
      </c>
      <c r="AA1547" s="214">
        <f ca="1">+$Y1547</f>
        <v>7.401410761154855</v>
      </c>
      <c r="AB1547" s="214">
        <f ca="1">+$X1547</f>
        <v>16.439632545931762</v>
      </c>
      <c r="AC1547" s="214">
        <f ca="1">+$W1547-XOffset</f>
        <v>40.802828354596642</v>
      </c>
    </row>
    <row r="1548" spans="19:29" ht="8.4" customHeight="1">
      <c r="S1548" s="307"/>
      <c r="T1548" s="226">
        <f t="shared" si="85"/>
        <v>1545</v>
      </c>
      <c r="U1548" s="224">
        <f t="shared" si="86"/>
        <v>1</v>
      </c>
      <c r="V1548" s="225">
        <f t="shared" si="87"/>
        <v>0</v>
      </c>
      <c r="W1548" s="238">
        <f ca="1">$U1548*EWSpacingFt+XOffset+0</f>
        <v>30.000006832286932</v>
      </c>
      <c r="X1548" s="242">
        <f ca="1">$V1548*NSSpacingFt+YOffset+PanArrayLenFt*COS(RADIANS(Latitude+DecAng))</f>
        <v>16.439632545931762</v>
      </c>
      <c r="Y1548" s="246">
        <f ca="1">+$V1548*NSGradeFt+PedHeight+PanArrayLenFt*SIN(RADIANS(Latitude+DecAng))</f>
        <v>7.401410761154855</v>
      </c>
      <c r="Z1548" s="214">
        <f ca="1">+$W1548</f>
        <v>30.000006832286932</v>
      </c>
      <c r="AA1548" s="214">
        <f ca="1">+$Y1548</f>
        <v>7.401410761154855</v>
      </c>
      <c r="AB1548" s="214">
        <f ca="1">+$X1548</f>
        <v>16.439632545931762</v>
      </c>
      <c r="AC1548" s="214">
        <f ca="1">+$W1548-XOffset</f>
        <v>30.000006832286932</v>
      </c>
    </row>
    <row r="1549" spans="19:29" ht="8.4" customHeight="1">
      <c r="S1549" s="307"/>
      <c r="T1549" s="226">
        <f t="shared" si="85"/>
        <v>1546</v>
      </c>
      <c r="U1549" s="224">
        <f t="shared" si="86"/>
        <v>1</v>
      </c>
      <c r="V1549" s="225">
        <f t="shared" si="87"/>
        <v>0</v>
      </c>
      <c r="W1549" s="239">
        <f ca="1">$U1549*EWSpacingFt+XOffset+(PanArrayWidthHighEndFt-PanArrayWidthLowEndFt)/2</f>
        <v>30.000006832286932</v>
      </c>
      <c r="X1549" s="243">
        <f ca="1">$V1549*NSSpacingFt+YOffset+0</f>
        <v>0</v>
      </c>
      <c r="Y1549" s="247">
        <f ca="1">+$V1549*NSGradeFt+PedHeight+0</f>
        <v>7.401410761154855</v>
      </c>
      <c r="Z1549" s="214">
        <f ca="1">+$W1549</f>
        <v>30.000006832286932</v>
      </c>
      <c r="AA1549" s="214">
        <f ca="1">+$Y1549</f>
        <v>7.401410761154855</v>
      </c>
      <c r="AB1549" s="214">
        <f ca="1">+$X1549</f>
        <v>0</v>
      </c>
      <c r="AC1549" s="214">
        <f ca="1">+$W1549-XOffset</f>
        <v>30.000006832286932</v>
      </c>
    </row>
    <row r="1550" spans="19:29" ht="8.4" customHeight="1">
      <c r="S1550" s="307"/>
      <c r="T1550" s="226">
        <f t="shared" si="85"/>
        <v>1547</v>
      </c>
      <c r="U1550" s="224">
        <f t="shared" si="86"/>
        <v>1</v>
      </c>
      <c r="V1550" s="225">
        <f t="shared" si="87"/>
        <v>0</v>
      </c>
      <c r="W1550" s="217"/>
      <c r="X1550" s="217"/>
      <c r="Y1550" s="217"/>
      <c r="Z1550" s="214"/>
      <c r="AA1550" s="214"/>
      <c r="AB1550" s="214"/>
      <c r="AC1550" s="214"/>
    </row>
    <row r="1551" spans="19:29" ht="8.4" customHeight="1">
      <c r="S1551" s="307">
        <f>INT((T1551-0)/6)+1</f>
        <v>259</v>
      </c>
      <c r="T1551" s="226">
        <f t="shared" si="85"/>
        <v>1548</v>
      </c>
      <c r="U1551" s="224">
        <f t="shared" si="86"/>
        <v>0</v>
      </c>
      <c r="V1551" s="225">
        <f t="shared" si="87"/>
        <v>1</v>
      </c>
      <c r="W1551" s="233">
        <f ca="1">$U1551*EWSpacingFt+XOffset+(PanArrayWidthHighEndFt-PanArrayWidthLowEndFt)/2</f>
        <v>0</v>
      </c>
      <c r="X1551" s="234">
        <f ca="1">$V1551*NSSpacingFt+YOffset+0</f>
        <v>17.999999999999989</v>
      </c>
      <c r="Y1551" s="235">
        <f ca="1">+$V1551*NSGradeFt+PedHeight+0</f>
        <v>7.401410761154855</v>
      </c>
      <c r="Z1551" s="214">
        <f ca="1">+$W1551</f>
        <v>0</v>
      </c>
      <c r="AA1551" s="214">
        <f ca="1">+$Y1551</f>
        <v>7.401410761154855</v>
      </c>
      <c r="AB1551" s="214">
        <f ca="1">+$X1551</f>
        <v>17.999999999999989</v>
      </c>
      <c r="AC1551" s="214">
        <f ca="1">+$W1551-XOffset</f>
        <v>0</v>
      </c>
    </row>
    <row r="1552" spans="19:29" ht="8.4" customHeight="1">
      <c r="S1552" s="307"/>
      <c r="T1552" s="226">
        <f t="shared" si="85"/>
        <v>1549</v>
      </c>
      <c r="U1552" s="224">
        <f t="shared" si="86"/>
        <v>0</v>
      </c>
      <c r="V1552" s="225">
        <f t="shared" si="87"/>
        <v>1</v>
      </c>
      <c r="W1552" s="236">
        <f ca="1">+$U1552*EWSpacingFt+XOffset+PanArrayWidthHighEndFt-(PanArrayWidthHighEndFt-PanArrayWidthLowEndFt)/2</f>
        <v>10.80282152230971</v>
      </c>
      <c r="X1552" s="240">
        <f ca="1">$V1552*NSSpacingFt+YOffset+0</f>
        <v>17.999999999999989</v>
      </c>
      <c r="Y1552" s="244">
        <f ca="1">+$V1552*NSGradeFt+PedHeight+0</f>
        <v>7.401410761154855</v>
      </c>
      <c r="Z1552" s="214">
        <f ca="1">+$W1552</f>
        <v>10.80282152230971</v>
      </c>
      <c r="AA1552" s="214">
        <f ca="1">+$Y1552</f>
        <v>7.401410761154855</v>
      </c>
      <c r="AB1552" s="214">
        <f ca="1">+$X1552</f>
        <v>17.999999999999989</v>
      </c>
      <c r="AC1552" s="214">
        <f ca="1">+$W1552-XOffset</f>
        <v>10.80282152230971</v>
      </c>
    </row>
    <row r="1553" spans="19:29" ht="8.4" customHeight="1">
      <c r="S1553" s="307"/>
      <c r="T1553" s="226">
        <f t="shared" si="85"/>
        <v>1550</v>
      </c>
      <c r="U1553" s="224">
        <f t="shared" si="86"/>
        <v>0</v>
      </c>
      <c r="V1553" s="225">
        <f t="shared" si="87"/>
        <v>1</v>
      </c>
      <c r="W1553" s="237">
        <f ca="1">$U1553*EWSpacingFt+XOffset+PanArrayWidthHighEndFt</f>
        <v>10.80282152230971</v>
      </c>
      <c r="X1553" s="241">
        <f ca="1">$V1553*NSSpacingFt+YOffset+PanArrayLenFt*COS(RADIANS(Latitude+DecAng))</f>
        <v>34.439632545931751</v>
      </c>
      <c r="Y1553" s="245">
        <f ca="1">+$V1553*NSGradeFt+PedHeight+PanArrayLenFt*SIN(RADIANS(Latitude+DecAng))</f>
        <v>7.401410761154855</v>
      </c>
      <c r="Z1553" s="214">
        <f ca="1">+$W1553</f>
        <v>10.80282152230971</v>
      </c>
      <c r="AA1553" s="214">
        <f ca="1">+$Y1553</f>
        <v>7.401410761154855</v>
      </c>
      <c r="AB1553" s="214">
        <f ca="1">+$X1553</f>
        <v>34.439632545931751</v>
      </c>
      <c r="AC1553" s="214">
        <f ca="1">+$W1553-XOffset</f>
        <v>10.80282152230971</v>
      </c>
    </row>
    <row r="1554" spans="19:29" ht="8.4" customHeight="1">
      <c r="S1554" s="307"/>
      <c r="T1554" s="226">
        <f t="shared" si="85"/>
        <v>1551</v>
      </c>
      <c r="U1554" s="224">
        <f t="shared" si="86"/>
        <v>0</v>
      </c>
      <c r="V1554" s="225">
        <f t="shared" si="87"/>
        <v>1</v>
      </c>
      <c r="W1554" s="238">
        <f ca="1">$U1554*EWSpacingFt+XOffset+0</f>
        <v>0</v>
      </c>
      <c r="X1554" s="242">
        <f ca="1">$V1554*NSSpacingFt+YOffset+PanArrayLenFt*COS(RADIANS(Latitude+DecAng))</f>
        <v>34.439632545931751</v>
      </c>
      <c r="Y1554" s="246">
        <f ca="1">+$V1554*NSGradeFt+PedHeight+PanArrayLenFt*SIN(RADIANS(Latitude+DecAng))</f>
        <v>7.401410761154855</v>
      </c>
      <c r="Z1554" s="214">
        <f ca="1">+$W1554</f>
        <v>0</v>
      </c>
      <c r="AA1554" s="214">
        <f ca="1">+$Y1554</f>
        <v>7.401410761154855</v>
      </c>
      <c r="AB1554" s="214">
        <f ca="1">+$X1554</f>
        <v>34.439632545931751</v>
      </c>
      <c r="AC1554" s="214">
        <f ca="1">+$W1554-XOffset</f>
        <v>0</v>
      </c>
    </row>
    <row r="1555" spans="19:29" ht="8.4" customHeight="1">
      <c r="S1555" s="307"/>
      <c r="T1555" s="226">
        <f t="shared" si="85"/>
        <v>1552</v>
      </c>
      <c r="U1555" s="224">
        <f t="shared" si="86"/>
        <v>0</v>
      </c>
      <c r="V1555" s="225">
        <f t="shared" si="87"/>
        <v>1</v>
      </c>
      <c r="W1555" s="239">
        <f ca="1">$U1555*EWSpacingFt+XOffset+(PanArrayWidthHighEndFt-PanArrayWidthLowEndFt)/2</f>
        <v>0</v>
      </c>
      <c r="X1555" s="243">
        <f ca="1">$V1555*NSSpacingFt+YOffset+0</f>
        <v>17.999999999999989</v>
      </c>
      <c r="Y1555" s="247">
        <f ca="1">+$V1555*NSGradeFt+PedHeight+0</f>
        <v>7.401410761154855</v>
      </c>
      <c r="Z1555" s="214">
        <f ca="1">+$W1555</f>
        <v>0</v>
      </c>
      <c r="AA1555" s="214">
        <f ca="1">+$Y1555</f>
        <v>7.401410761154855</v>
      </c>
      <c r="AB1555" s="214">
        <f ca="1">+$X1555</f>
        <v>17.999999999999989</v>
      </c>
      <c r="AC1555" s="214">
        <f ca="1">+$W1555-XOffset</f>
        <v>0</v>
      </c>
    </row>
    <row r="1556" spans="19:29" ht="8.4" customHeight="1">
      <c r="S1556" s="307"/>
      <c r="T1556" s="226">
        <f t="shared" si="85"/>
        <v>1553</v>
      </c>
      <c r="U1556" s="224">
        <f t="shared" si="86"/>
        <v>0</v>
      </c>
      <c r="V1556" s="225">
        <f t="shared" si="87"/>
        <v>1</v>
      </c>
      <c r="W1556" s="217"/>
      <c r="X1556" s="217"/>
      <c r="Y1556" s="217"/>
      <c r="Z1556" s="214"/>
      <c r="AA1556" s="214"/>
      <c r="AB1556" s="214"/>
      <c r="AC1556" s="214"/>
    </row>
    <row r="1557" spans="19:29" ht="8.4" customHeight="1">
      <c r="S1557" s="307">
        <f>INT((T1557-0)/6)+1</f>
        <v>260</v>
      </c>
      <c r="T1557" s="226">
        <f t="shared" si="85"/>
        <v>1554</v>
      </c>
      <c r="U1557" s="224">
        <f t="shared" si="86"/>
        <v>1</v>
      </c>
      <c r="V1557" s="225">
        <f t="shared" si="87"/>
        <v>1</v>
      </c>
      <c r="W1557" s="233">
        <f ca="1">$U1557*EWSpacingFt+XOffset+(PanArrayWidthHighEndFt-PanArrayWidthLowEndFt)/2</f>
        <v>30.000006832286932</v>
      </c>
      <c r="X1557" s="234">
        <f ca="1">$V1557*NSSpacingFt+YOffset+0</f>
        <v>17.999999999999989</v>
      </c>
      <c r="Y1557" s="235">
        <f ca="1">+$V1557*NSGradeFt+PedHeight+0</f>
        <v>7.401410761154855</v>
      </c>
      <c r="Z1557" s="214">
        <f ca="1">+$W1557</f>
        <v>30.000006832286932</v>
      </c>
      <c r="AA1557" s="214">
        <f ca="1">+$Y1557</f>
        <v>7.401410761154855</v>
      </c>
      <c r="AB1557" s="214">
        <f ca="1">+$X1557</f>
        <v>17.999999999999989</v>
      </c>
      <c r="AC1557" s="214">
        <f ca="1">+$W1557-XOffset</f>
        <v>30.000006832286932</v>
      </c>
    </row>
    <row r="1558" spans="19:29" ht="8.4" customHeight="1">
      <c r="S1558" s="307"/>
      <c r="T1558" s="226">
        <f t="shared" si="85"/>
        <v>1555</v>
      </c>
      <c r="U1558" s="224">
        <f t="shared" si="86"/>
        <v>1</v>
      </c>
      <c r="V1558" s="225">
        <f t="shared" si="87"/>
        <v>1</v>
      </c>
      <c r="W1558" s="236">
        <f ca="1">+$U1558*EWSpacingFt+XOffset+PanArrayWidthHighEndFt-(PanArrayWidthHighEndFt-PanArrayWidthLowEndFt)/2</f>
        <v>40.802828354596642</v>
      </c>
      <c r="X1558" s="240">
        <f ca="1">$V1558*NSSpacingFt+YOffset+0</f>
        <v>17.999999999999989</v>
      </c>
      <c r="Y1558" s="244">
        <f ca="1">+$V1558*NSGradeFt+PedHeight+0</f>
        <v>7.401410761154855</v>
      </c>
      <c r="Z1558" s="214">
        <f ca="1">+$W1558</f>
        <v>40.802828354596642</v>
      </c>
      <c r="AA1558" s="214">
        <f ca="1">+$Y1558</f>
        <v>7.401410761154855</v>
      </c>
      <c r="AB1558" s="214">
        <f ca="1">+$X1558</f>
        <v>17.999999999999989</v>
      </c>
      <c r="AC1558" s="214">
        <f ca="1">+$W1558-XOffset</f>
        <v>40.802828354596642</v>
      </c>
    </row>
    <row r="1559" spans="19:29" ht="8.4" customHeight="1">
      <c r="S1559" s="307"/>
      <c r="T1559" s="226">
        <f t="shared" si="85"/>
        <v>1556</v>
      </c>
      <c r="U1559" s="224">
        <f t="shared" si="86"/>
        <v>1</v>
      </c>
      <c r="V1559" s="225">
        <f t="shared" si="87"/>
        <v>1</v>
      </c>
      <c r="W1559" s="237">
        <f ca="1">$U1559*EWSpacingFt+XOffset+PanArrayWidthHighEndFt</f>
        <v>40.802828354596642</v>
      </c>
      <c r="X1559" s="241">
        <f ca="1">$V1559*NSSpacingFt+YOffset+PanArrayLenFt*COS(RADIANS(Latitude+DecAng))</f>
        <v>34.439632545931751</v>
      </c>
      <c r="Y1559" s="245">
        <f ca="1">+$V1559*NSGradeFt+PedHeight+PanArrayLenFt*SIN(RADIANS(Latitude+DecAng))</f>
        <v>7.401410761154855</v>
      </c>
      <c r="Z1559" s="214">
        <f ca="1">+$W1559</f>
        <v>40.802828354596642</v>
      </c>
      <c r="AA1559" s="214">
        <f ca="1">+$Y1559</f>
        <v>7.401410761154855</v>
      </c>
      <c r="AB1559" s="214">
        <f ca="1">+$X1559</f>
        <v>34.439632545931751</v>
      </c>
      <c r="AC1559" s="214">
        <f ca="1">+$W1559-XOffset</f>
        <v>40.802828354596642</v>
      </c>
    </row>
    <row r="1560" spans="19:29" ht="8.4" customHeight="1">
      <c r="S1560" s="307"/>
      <c r="T1560" s="226">
        <f t="shared" si="85"/>
        <v>1557</v>
      </c>
      <c r="U1560" s="224">
        <f t="shared" si="86"/>
        <v>1</v>
      </c>
      <c r="V1560" s="225">
        <f t="shared" si="87"/>
        <v>1</v>
      </c>
      <c r="W1560" s="238">
        <f ca="1">$U1560*EWSpacingFt+XOffset+0</f>
        <v>30.000006832286932</v>
      </c>
      <c r="X1560" s="242">
        <f ca="1">$V1560*NSSpacingFt+YOffset+PanArrayLenFt*COS(RADIANS(Latitude+DecAng))</f>
        <v>34.439632545931751</v>
      </c>
      <c r="Y1560" s="246">
        <f ca="1">+$V1560*NSGradeFt+PedHeight+PanArrayLenFt*SIN(RADIANS(Latitude+DecAng))</f>
        <v>7.401410761154855</v>
      </c>
      <c r="Z1560" s="214">
        <f ca="1">+$W1560</f>
        <v>30.000006832286932</v>
      </c>
      <c r="AA1560" s="214">
        <f ca="1">+$Y1560</f>
        <v>7.401410761154855</v>
      </c>
      <c r="AB1560" s="214">
        <f ca="1">+$X1560</f>
        <v>34.439632545931751</v>
      </c>
      <c r="AC1560" s="214">
        <f ca="1">+$W1560-XOffset</f>
        <v>30.000006832286932</v>
      </c>
    </row>
    <row r="1561" spans="19:29" ht="8.4" customHeight="1">
      <c r="S1561" s="307"/>
      <c r="T1561" s="226">
        <f t="shared" si="85"/>
        <v>1558</v>
      </c>
      <c r="U1561" s="224">
        <f t="shared" si="86"/>
        <v>1</v>
      </c>
      <c r="V1561" s="225">
        <f t="shared" si="87"/>
        <v>1</v>
      </c>
      <c r="W1561" s="239">
        <f ca="1">$U1561*EWSpacingFt+XOffset+(PanArrayWidthHighEndFt-PanArrayWidthLowEndFt)/2</f>
        <v>30.000006832286932</v>
      </c>
      <c r="X1561" s="243">
        <f ca="1">$V1561*NSSpacingFt+YOffset+0</f>
        <v>17.999999999999989</v>
      </c>
      <c r="Y1561" s="247">
        <f ca="1">+$V1561*NSGradeFt+PedHeight+0</f>
        <v>7.401410761154855</v>
      </c>
      <c r="Z1561" s="214">
        <f ca="1">+$W1561</f>
        <v>30.000006832286932</v>
      </c>
      <c r="AA1561" s="214">
        <f ca="1">+$Y1561</f>
        <v>7.401410761154855</v>
      </c>
      <c r="AB1561" s="214">
        <f ca="1">+$X1561</f>
        <v>17.999999999999989</v>
      </c>
      <c r="AC1561" s="214">
        <f ca="1">+$W1561-XOffset</f>
        <v>30.000006832286932</v>
      </c>
    </row>
    <row r="1562" spans="19:29" ht="8.4" customHeight="1">
      <c r="S1562" s="307"/>
      <c r="T1562" s="226">
        <f t="shared" si="85"/>
        <v>1559</v>
      </c>
      <c r="U1562" s="224">
        <f t="shared" si="86"/>
        <v>1</v>
      </c>
      <c r="V1562" s="225">
        <f t="shared" si="87"/>
        <v>1</v>
      </c>
      <c r="W1562" s="217"/>
      <c r="X1562" s="217"/>
      <c r="Y1562" s="217"/>
      <c r="Z1562" s="214"/>
      <c r="AA1562" s="214"/>
      <c r="AB1562" s="214"/>
      <c r="AC1562" s="214"/>
    </row>
    <row r="1563" spans="19:29" ht="8.4" customHeight="1">
      <c r="S1563" s="307">
        <f>INT((T1563-0)/6)+1</f>
        <v>261</v>
      </c>
      <c r="T1563" s="226">
        <f t="shared" si="85"/>
        <v>1560</v>
      </c>
      <c r="U1563" s="224">
        <f t="shared" si="86"/>
        <v>0</v>
      </c>
      <c r="V1563" s="225">
        <f t="shared" si="87"/>
        <v>2</v>
      </c>
      <c r="W1563" s="233">
        <f ca="1">$U1563*EWSpacingFt+XOffset+(PanArrayWidthHighEndFt-PanArrayWidthLowEndFt)/2</f>
        <v>0</v>
      </c>
      <c r="X1563" s="234">
        <f ca="1">$V1563*NSSpacingFt+YOffset+0</f>
        <v>35.999999999999979</v>
      </c>
      <c r="Y1563" s="235">
        <f ca="1">+$V1563*NSGradeFt+PedHeight+0</f>
        <v>7.401410761154855</v>
      </c>
      <c r="Z1563" s="214">
        <f ca="1">+$W1563</f>
        <v>0</v>
      </c>
      <c r="AA1563" s="214">
        <f ca="1">+$Y1563</f>
        <v>7.401410761154855</v>
      </c>
      <c r="AB1563" s="214">
        <f ca="1">+$X1563</f>
        <v>35.999999999999979</v>
      </c>
      <c r="AC1563" s="214">
        <f ca="1">+$W1563-XOffset</f>
        <v>0</v>
      </c>
    </row>
    <row r="1564" spans="19:29" ht="8.4" customHeight="1">
      <c r="S1564" s="307"/>
      <c r="T1564" s="226">
        <f t="shared" si="85"/>
        <v>1561</v>
      </c>
      <c r="U1564" s="224">
        <f t="shared" si="86"/>
        <v>0</v>
      </c>
      <c r="V1564" s="225">
        <f t="shared" si="87"/>
        <v>2</v>
      </c>
      <c r="W1564" s="236">
        <f ca="1">+$U1564*EWSpacingFt+XOffset+PanArrayWidthHighEndFt-(PanArrayWidthHighEndFt-PanArrayWidthLowEndFt)/2</f>
        <v>10.80282152230971</v>
      </c>
      <c r="X1564" s="240">
        <f ca="1">$V1564*NSSpacingFt+YOffset+0</f>
        <v>35.999999999999979</v>
      </c>
      <c r="Y1564" s="244">
        <f ca="1">+$V1564*NSGradeFt+PedHeight+0</f>
        <v>7.401410761154855</v>
      </c>
      <c r="Z1564" s="214">
        <f ca="1">+$W1564</f>
        <v>10.80282152230971</v>
      </c>
      <c r="AA1564" s="214">
        <f ca="1">+$Y1564</f>
        <v>7.401410761154855</v>
      </c>
      <c r="AB1564" s="214">
        <f ca="1">+$X1564</f>
        <v>35.999999999999979</v>
      </c>
      <c r="AC1564" s="214">
        <f ca="1">+$W1564-XOffset</f>
        <v>10.80282152230971</v>
      </c>
    </row>
    <row r="1565" spans="19:29" ht="8.4" customHeight="1">
      <c r="S1565" s="307"/>
      <c r="T1565" s="226">
        <f t="shared" si="85"/>
        <v>1562</v>
      </c>
      <c r="U1565" s="224">
        <f t="shared" si="86"/>
        <v>0</v>
      </c>
      <c r="V1565" s="225">
        <f t="shared" si="87"/>
        <v>2</v>
      </c>
      <c r="W1565" s="237">
        <f ca="1">$U1565*EWSpacingFt+XOffset+PanArrayWidthHighEndFt</f>
        <v>10.80282152230971</v>
      </c>
      <c r="X1565" s="241">
        <f ca="1">$V1565*NSSpacingFt+YOffset+PanArrayLenFt*COS(RADIANS(Latitude+DecAng))</f>
        <v>52.439632545931744</v>
      </c>
      <c r="Y1565" s="245">
        <f ca="1">+$V1565*NSGradeFt+PedHeight+PanArrayLenFt*SIN(RADIANS(Latitude+DecAng))</f>
        <v>7.401410761154855</v>
      </c>
      <c r="Z1565" s="214">
        <f ca="1">+$W1565</f>
        <v>10.80282152230971</v>
      </c>
      <c r="AA1565" s="214">
        <f ca="1">+$Y1565</f>
        <v>7.401410761154855</v>
      </c>
      <c r="AB1565" s="214">
        <f ca="1">+$X1565</f>
        <v>52.439632545931744</v>
      </c>
      <c r="AC1565" s="214">
        <f ca="1">+$W1565-XOffset</f>
        <v>10.80282152230971</v>
      </c>
    </row>
    <row r="1566" spans="19:29" ht="8.4" customHeight="1">
      <c r="S1566" s="307"/>
      <c r="T1566" s="226">
        <f t="shared" si="85"/>
        <v>1563</v>
      </c>
      <c r="U1566" s="224">
        <f t="shared" si="86"/>
        <v>0</v>
      </c>
      <c r="V1566" s="225">
        <f t="shared" si="87"/>
        <v>2</v>
      </c>
      <c r="W1566" s="238">
        <f ca="1">$U1566*EWSpacingFt+XOffset+0</f>
        <v>0</v>
      </c>
      <c r="X1566" s="242">
        <f ca="1">$V1566*NSSpacingFt+YOffset+PanArrayLenFt*COS(RADIANS(Latitude+DecAng))</f>
        <v>52.439632545931744</v>
      </c>
      <c r="Y1566" s="246">
        <f ca="1">+$V1566*NSGradeFt+PedHeight+PanArrayLenFt*SIN(RADIANS(Latitude+DecAng))</f>
        <v>7.401410761154855</v>
      </c>
      <c r="Z1566" s="214">
        <f ca="1">+$W1566</f>
        <v>0</v>
      </c>
      <c r="AA1566" s="214">
        <f ca="1">+$Y1566</f>
        <v>7.401410761154855</v>
      </c>
      <c r="AB1566" s="214">
        <f ca="1">+$X1566</f>
        <v>52.439632545931744</v>
      </c>
      <c r="AC1566" s="214">
        <f ca="1">+$W1566-XOffset</f>
        <v>0</v>
      </c>
    </row>
    <row r="1567" spans="19:29" ht="8.4" customHeight="1">
      <c r="S1567" s="307"/>
      <c r="T1567" s="226">
        <f t="shared" si="85"/>
        <v>1564</v>
      </c>
      <c r="U1567" s="224">
        <f t="shared" si="86"/>
        <v>0</v>
      </c>
      <c r="V1567" s="225">
        <f t="shared" si="87"/>
        <v>2</v>
      </c>
      <c r="W1567" s="239">
        <f ca="1">$U1567*EWSpacingFt+XOffset+(PanArrayWidthHighEndFt-PanArrayWidthLowEndFt)/2</f>
        <v>0</v>
      </c>
      <c r="X1567" s="243">
        <f ca="1">$V1567*NSSpacingFt+YOffset+0</f>
        <v>35.999999999999979</v>
      </c>
      <c r="Y1567" s="247">
        <f ca="1">+$V1567*NSGradeFt+PedHeight+0</f>
        <v>7.401410761154855</v>
      </c>
      <c r="Z1567" s="214">
        <f ca="1">+$W1567</f>
        <v>0</v>
      </c>
      <c r="AA1567" s="214">
        <f ca="1">+$Y1567</f>
        <v>7.401410761154855</v>
      </c>
      <c r="AB1567" s="214">
        <f ca="1">+$X1567</f>
        <v>35.999999999999979</v>
      </c>
      <c r="AC1567" s="214">
        <f ca="1">+$W1567-XOffset</f>
        <v>0</v>
      </c>
    </row>
    <row r="1568" spans="19:29" ht="8.4" customHeight="1">
      <c r="S1568" s="307"/>
      <c r="T1568" s="226">
        <f t="shared" si="85"/>
        <v>1565</v>
      </c>
      <c r="U1568" s="224">
        <f t="shared" si="86"/>
        <v>0</v>
      </c>
      <c r="V1568" s="225">
        <f t="shared" si="87"/>
        <v>2</v>
      </c>
      <c r="W1568" s="217"/>
      <c r="X1568" s="217"/>
      <c r="Y1568" s="217"/>
      <c r="Z1568" s="214"/>
      <c r="AA1568" s="214"/>
      <c r="AB1568" s="214"/>
      <c r="AC1568" s="214"/>
    </row>
    <row r="1569" spans="19:29" ht="8.4" customHeight="1">
      <c r="S1569" s="307">
        <f>INT((T1569-0)/6)+1</f>
        <v>262</v>
      </c>
      <c r="T1569" s="226">
        <f t="shared" si="85"/>
        <v>1566</v>
      </c>
      <c r="U1569" s="224">
        <f t="shared" si="86"/>
        <v>1</v>
      </c>
      <c r="V1569" s="225">
        <f t="shared" si="87"/>
        <v>2</v>
      </c>
      <c r="W1569" s="233">
        <f ca="1">$U1569*EWSpacingFt+XOffset+(PanArrayWidthHighEndFt-PanArrayWidthLowEndFt)/2</f>
        <v>30.000006832286932</v>
      </c>
      <c r="X1569" s="234">
        <f ca="1">$V1569*NSSpacingFt+YOffset+0</f>
        <v>35.999999999999979</v>
      </c>
      <c r="Y1569" s="235">
        <f ca="1">+$V1569*NSGradeFt+PedHeight+0</f>
        <v>7.401410761154855</v>
      </c>
      <c r="Z1569" s="214">
        <f ca="1">+$W1569</f>
        <v>30.000006832286932</v>
      </c>
      <c r="AA1569" s="214">
        <f ca="1">+$Y1569</f>
        <v>7.401410761154855</v>
      </c>
      <c r="AB1569" s="214">
        <f ca="1">+$X1569</f>
        <v>35.999999999999979</v>
      </c>
      <c r="AC1569" s="214">
        <f ca="1">+$W1569-XOffset</f>
        <v>30.000006832286932</v>
      </c>
    </row>
    <row r="1570" spans="19:29" ht="8.4" customHeight="1">
      <c r="S1570" s="307"/>
      <c r="T1570" s="226">
        <f t="shared" si="85"/>
        <v>1567</v>
      </c>
      <c r="U1570" s="224">
        <f t="shared" si="86"/>
        <v>1</v>
      </c>
      <c r="V1570" s="225">
        <f t="shared" si="87"/>
        <v>2</v>
      </c>
      <c r="W1570" s="236">
        <f ca="1">+$U1570*EWSpacingFt+XOffset+PanArrayWidthHighEndFt-(PanArrayWidthHighEndFt-PanArrayWidthLowEndFt)/2</f>
        <v>40.802828354596642</v>
      </c>
      <c r="X1570" s="240">
        <f ca="1">$V1570*NSSpacingFt+YOffset+0</f>
        <v>35.999999999999979</v>
      </c>
      <c r="Y1570" s="244">
        <f ca="1">+$V1570*NSGradeFt+PedHeight+0</f>
        <v>7.401410761154855</v>
      </c>
      <c r="Z1570" s="214">
        <f ca="1">+$W1570</f>
        <v>40.802828354596642</v>
      </c>
      <c r="AA1570" s="214">
        <f ca="1">+$Y1570</f>
        <v>7.401410761154855</v>
      </c>
      <c r="AB1570" s="214">
        <f ca="1">+$X1570</f>
        <v>35.999999999999979</v>
      </c>
      <c r="AC1570" s="214">
        <f ca="1">+$W1570-XOffset</f>
        <v>40.802828354596642</v>
      </c>
    </row>
    <row r="1571" spans="19:29" ht="8.4" customHeight="1">
      <c r="S1571" s="307"/>
      <c r="T1571" s="226">
        <f t="shared" si="85"/>
        <v>1568</v>
      </c>
      <c r="U1571" s="224">
        <f t="shared" si="86"/>
        <v>1</v>
      </c>
      <c r="V1571" s="225">
        <f t="shared" si="87"/>
        <v>2</v>
      </c>
      <c r="W1571" s="237">
        <f ca="1">$U1571*EWSpacingFt+XOffset+PanArrayWidthHighEndFt</f>
        <v>40.802828354596642</v>
      </c>
      <c r="X1571" s="241">
        <f ca="1">$V1571*NSSpacingFt+YOffset+PanArrayLenFt*COS(RADIANS(Latitude+DecAng))</f>
        <v>52.439632545931744</v>
      </c>
      <c r="Y1571" s="245">
        <f ca="1">+$V1571*NSGradeFt+PedHeight+PanArrayLenFt*SIN(RADIANS(Latitude+DecAng))</f>
        <v>7.401410761154855</v>
      </c>
      <c r="Z1571" s="214">
        <f ca="1">+$W1571</f>
        <v>40.802828354596642</v>
      </c>
      <c r="AA1571" s="214">
        <f ca="1">+$Y1571</f>
        <v>7.401410761154855</v>
      </c>
      <c r="AB1571" s="214">
        <f ca="1">+$X1571</f>
        <v>52.439632545931744</v>
      </c>
      <c r="AC1571" s="214">
        <f ca="1">+$W1571-XOffset</f>
        <v>40.802828354596642</v>
      </c>
    </row>
    <row r="1572" spans="19:29" ht="8.4" customHeight="1">
      <c r="S1572" s="307"/>
      <c r="T1572" s="226">
        <f t="shared" si="85"/>
        <v>1569</v>
      </c>
      <c r="U1572" s="224">
        <f t="shared" si="86"/>
        <v>1</v>
      </c>
      <c r="V1572" s="225">
        <f t="shared" si="87"/>
        <v>2</v>
      </c>
      <c r="W1572" s="238">
        <f ca="1">$U1572*EWSpacingFt+XOffset+0</f>
        <v>30.000006832286932</v>
      </c>
      <c r="X1572" s="242">
        <f ca="1">$V1572*NSSpacingFt+YOffset+PanArrayLenFt*COS(RADIANS(Latitude+DecAng))</f>
        <v>52.439632545931744</v>
      </c>
      <c r="Y1572" s="246">
        <f ca="1">+$V1572*NSGradeFt+PedHeight+PanArrayLenFt*SIN(RADIANS(Latitude+DecAng))</f>
        <v>7.401410761154855</v>
      </c>
      <c r="Z1572" s="214">
        <f ca="1">+$W1572</f>
        <v>30.000006832286932</v>
      </c>
      <c r="AA1572" s="214">
        <f ca="1">+$Y1572</f>
        <v>7.401410761154855</v>
      </c>
      <c r="AB1572" s="214">
        <f ca="1">+$X1572</f>
        <v>52.439632545931744</v>
      </c>
      <c r="AC1572" s="214">
        <f ca="1">+$W1572-XOffset</f>
        <v>30.000006832286932</v>
      </c>
    </row>
    <row r="1573" spans="19:29" ht="8.4" customHeight="1">
      <c r="S1573" s="307"/>
      <c r="T1573" s="226">
        <f t="shared" ref="T1573:T1636" si="88">+T1572+1</f>
        <v>1570</v>
      </c>
      <c r="U1573" s="224">
        <f t="shared" si="86"/>
        <v>1</v>
      </c>
      <c r="V1573" s="225">
        <f t="shared" si="87"/>
        <v>2</v>
      </c>
      <c r="W1573" s="239">
        <f ca="1">$U1573*EWSpacingFt+XOffset+(PanArrayWidthHighEndFt-PanArrayWidthLowEndFt)/2</f>
        <v>30.000006832286932</v>
      </c>
      <c r="X1573" s="243">
        <f ca="1">$V1573*NSSpacingFt+YOffset+0</f>
        <v>35.999999999999979</v>
      </c>
      <c r="Y1573" s="247">
        <f ca="1">+$V1573*NSGradeFt+PedHeight+0</f>
        <v>7.401410761154855</v>
      </c>
      <c r="Z1573" s="214">
        <f ca="1">+$W1573</f>
        <v>30.000006832286932</v>
      </c>
      <c r="AA1573" s="214">
        <f ca="1">+$Y1573</f>
        <v>7.401410761154855</v>
      </c>
      <c r="AB1573" s="214">
        <f ca="1">+$X1573</f>
        <v>35.999999999999979</v>
      </c>
      <c r="AC1573" s="214">
        <f ca="1">+$W1573-XOffset</f>
        <v>30.000006832286932</v>
      </c>
    </row>
    <row r="1574" spans="19:29" ht="8.4" customHeight="1">
      <c r="S1574" s="307"/>
      <c r="T1574" s="226">
        <f t="shared" si="88"/>
        <v>1571</v>
      </c>
      <c r="U1574" s="224">
        <f t="shared" si="86"/>
        <v>1</v>
      </c>
      <c r="V1574" s="225">
        <f t="shared" si="87"/>
        <v>2</v>
      </c>
      <c r="W1574" s="217"/>
      <c r="X1574" s="217"/>
      <c r="Y1574" s="217"/>
      <c r="Z1574" s="214"/>
      <c r="AA1574" s="214"/>
      <c r="AB1574" s="214"/>
      <c r="AC1574" s="214"/>
    </row>
    <row r="1575" spans="19:29" ht="8.4" customHeight="1">
      <c r="S1575" s="307">
        <f>INT((T1575-0)/6)+1</f>
        <v>263</v>
      </c>
      <c r="T1575" s="226">
        <f t="shared" si="88"/>
        <v>1572</v>
      </c>
      <c r="U1575" s="224">
        <f t="shared" si="86"/>
        <v>0</v>
      </c>
      <c r="V1575" s="225">
        <f t="shared" si="87"/>
        <v>3</v>
      </c>
      <c r="W1575" s="233">
        <f ca="1">$U1575*EWSpacingFt+XOffset+(PanArrayWidthHighEndFt-PanArrayWidthLowEndFt)/2</f>
        <v>0</v>
      </c>
      <c r="X1575" s="234">
        <f ca="1">$V1575*NSSpacingFt+YOffset+0</f>
        <v>53.999999999999972</v>
      </c>
      <c r="Y1575" s="235">
        <f ca="1">+$V1575*NSGradeFt+PedHeight+0</f>
        <v>7.401410761154855</v>
      </c>
      <c r="Z1575" s="214">
        <f ca="1">+$W1575</f>
        <v>0</v>
      </c>
      <c r="AA1575" s="214">
        <f ca="1">+$Y1575</f>
        <v>7.401410761154855</v>
      </c>
      <c r="AB1575" s="214">
        <f ca="1">+$X1575</f>
        <v>53.999999999999972</v>
      </c>
      <c r="AC1575" s="214">
        <f ca="1">+$W1575-XOffset</f>
        <v>0</v>
      </c>
    </row>
    <row r="1576" spans="19:29" ht="8.4" customHeight="1">
      <c r="S1576" s="307"/>
      <c r="T1576" s="226">
        <f t="shared" si="88"/>
        <v>1573</v>
      </c>
      <c r="U1576" s="224">
        <f t="shared" si="86"/>
        <v>0</v>
      </c>
      <c r="V1576" s="225">
        <f t="shared" si="87"/>
        <v>3</v>
      </c>
      <c r="W1576" s="236">
        <f ca="1">+$U1576*EWSpacingFt+XOffset+PanArrayWidthHighEndFt-(PanArrayWidthHighEndFt-PanArrayWidthLowEndFt)/2</f>
        <v>10.80282152230971</v>
      </c>
      <c r="X1576" s="240">
        <f ca="1">$V1576*NSSpacingFt+YOffset+0</f>
        <v>53.999999999999972</v>
      </c>
      <c r="Y1576" s="244">
        <f ca="1">+$V1576*NSGradeFt+PedHeight+0</f>
        <v>7.401410761154855</v>
      </c>
      <c r="Z1576" s="214">
        <f ca="1">+$W1576</f>
        <v>10.80282152230971</v>
      </c>
      <c r="AA1576" s="214">
        <f ca="1">+$Y1576</f>
        <v>7.401410761154855</v>
      </c>
      <c r="AB1576" s="214">
        <f ca="1">+$X1576</f>
        <v>53.999999999999972</v>
      </c>
      <c r="AC1576" s="214">
        <f ca="1">+$W1576-XOffset</f>
        <v>10.80282152230971</v>
      </c>
    </row>
    <row r="1577" spans="19:29" ht="8.4" customHeight="1">
      <c r="S1577" s="307"/>
      <c r="T1577" s="226">
        <f t="shared" si="88"/>
        <v>1574</v>
      </c>
      <c r="U1577" s="224">
        <f t="shared" si="86"/>
        <v>0</v>
      </c>
      <c r="V1577" s="225">
        <f t="shared" si="87"/>
        <v>3</v>
      </c>
      <c r="W1577" s="237">
        <f ca="1">$U1577*EWSpacingFt+XOffset+PanArrayWidthHighEndFt</f>
        <v>10.80282152230971</v>
      </c>
      <c r="X1577" s="241">
        <f ca="1">$V1577*NSSpacingFt+YOffset+PanArrayLenFt*COS(RADIANS(Latitude+DecAng))</f>
        <v>70.43963254593173</v>
      </c>
      <c r="Y1577" s="245">
        <f ca="1">+$V1577*NSGradeFt+PedHeight+PanArrayLenFt*SIN(RADIANS(Latitude+DecAng))</f>
        <v>7.401410761154855</v>
      </c>
      <c r="Z1577" s="214">
        <f ca="1">+$W1577</f>
        <v>10.80282152230971</v>
      </c>
      <c r="AA1577" s="214">
        <f ca="1">+$Y1577</f>
        <v>7.401410761154855</v>
      </c>
      <c r="AB1577" s="214">
        <f ca="1">+$X1577</f>
        <v>70.43963254593173</v>
      </c>
      <c r="AC1577" s="214">
        <f ca="1">+$W1577-XOffset</f>
        <v>10.80282152230971</v>
      </c>
    </row>
    <row r="1578" spans="19:29" ht="8.4" customHeight="1">
      <c r="S1578" s="307"/>
      <c r="T1578" s="226">
        <f t="shared" si="88"/>
        <v>1575</v>
      </c>
      <c r="U1578" s="224">
        <f t="shared" si="86"/>
        <v>0</v>
      </c>
      <c r="V1578" s="225">
        <f t="shared" si="87"/>
        <v>3</v>
      </c>
      <c r="W1578" s="238">
        <f ca="1">$U1578*EWSpacingFt+XOffset+0</f>
        <v>0</v>
      </c>
      <c r="X1578" s="242">
        <f ca="1">$V1578*NSSpacingFt+YOffset+PanArrayLenFt*COS(RADIANS(Latitude+DecAng))</f>
        <v>70.43963254593173</v>
      </c>
      <c r="Y1578" s="246">
        <f ca="1">+$V1578*NSGradeFt+PedHeight+PanArrayLenFt*SIN(RADIANS(Latitude+DecAng))</f>
        <v>7.401410761154855</v>
      </c>
      <c r="Z1578" s="214">
        <f ca="1">+$W1578</f>
        <v>0</v>
      </c>
      <c r="AA1578" s="214">
        <f ca="1">+$Y1578</f>
        <v>7.401410761154855</v>
      </c>
      <c r="AB1578" s="214">
        <f ca="1">+$X1578</f>
        <v>70.43963254593173</v>
      </c>
      <c r="AC1578" s="214">
        <f ca="1">+$W1578-XOffset</f>
        <v>0</v>
      </c>
    </row>
    <row r="1579" spans="19:29" ht="8.4" customHeight="1">
      <c r="S1579" s="307"/>
      <c r="T1579" s="226">
        <f t="shared" si="88"/>
        <v>1576</v>
      </c>
      <c r="U1579" s="224">
        <f t="shared" si="86"/>
        <v>0</v>
      </c>
      <c r="V1579" s="225">
        <f t="shared" si="87"/>
        <v>3</v>
      </c>
      <c r="W1579" s="239">
        <f ca="1">$U1579*EWSpacingFt+XOffset+(PanArrayWidthHighEndFt-PanArrayWidthLowEndFt)/2</f>
        <v>0</v>
      </c>
      <c r="X1579" s="243">
        <f ca="1">$V1579*NSSpacingFt+YOffset+0</f>
        <v>53.999999999999972</v>
      </c>
      <c r="Y1579" s="247">
        <f ca="1">+$V1579*NSGradeFt+PedHeight+0</f>
        <v>7.401410761154855</v>
      </c>
      <c r="Z1579" s="214">
        <f ca="1">+$W1579</f>
        <v>0</v>
      </c>
      <c r="AA1579" s="214">
        <f ca="1">+$Y1579</f>
        <v>7.401410761154855</v>
      </c>
      <c r="AB1579" s="214">
        <f ca="1">+$X1579</f>
        <v>53.999999999999972</v>
      </c>
      <c r="AC1579" s="214">
        <f ca="1">+$W1579-XOffset</f>
        <v>0</v>
      </c>
    </row>
    <row r="1580" spans="19:29" ht="8.4" customHeight="1">
      <c r="S1580" s="307"/>
      <c r="T1580" s="226">
        <f t="shared" si="88"/>
        <v>1577</v>
      </c>
      <c r="U1580" s="224">
        <f t="shared" si="86"/>
        <v>0</v>
      </c>
      <c r="V1580" s="225">
        <f t="shared" si="87"/>
        <v>3</v>
      </c>
      <c r="W1580" s="217"/>
      <c r="X1580" s="217"/>
      <c r="Y1580" s="217"/>
      <c r="Z1580" s="214"/>
      <c r="AA1580" s="214"/>
      <c r="AB1580" s="214"/>
      <c r="AC1580" s="214"/>
    </row>
    <row r="1581" spans="19:29" ht="8.4" customHeight="1">
      <c r="S1581" s="307">
        <f>INT((T1581-0)/6)+1</f>
        <v>264</v>
      </c>
      <c r="T1581" s="226">
        <f t="shared" si="88"/>
        <v>1578</v>
      </c>
      <c r="U1581" s="224">
        <f t="shared" si="86"/>
        <v>1</v>
      </c>
      <c r="V1581" s="225">
        <f t="shared" si="87"/>
        <v>3</v>
      </c>
      <c r="W1581" s="233">
        <f ca="1">$U1581*EWSpacingFt+XOffset+(PanArrayWidthHighEndFt-PanArrayWidthLowEndFt)/2</f>
        <v>30.000006832286932</v>
      </c>
      <c r="X1581" s="234">
        <f ca="1">$V1581*NSSpacingFt+YOffset+0</f>
        <v>53.999999999999972</v>
      </c>
      <c r="Y1581" s="235">
        <f ca="1">+$V1581*NSGradeFt+PedHeight+0</f>
        <v>7.401410761154855</v>
      </c>
      <c r="Z1581" s="214">
        <f ca="1">+$W1581</f>
        <v>30.000006832286932</v>
      </c>
      <c r="AA1581" s="214">
        <f ca="1">+$Y1581</f>
        <v>7.401410761154855</v>
      </c>
      <c r="AB1581" s="214">
        <f ca="1">+$X1581</f>
        <v>53.999999999999972</v>
      </c>
      <c r="AC1581" s="214">
        <f ca="1">+$W1581-XOffset</f>
        <v>30.000006832286932</v>
      </c>
    </row>
    <row r="1582" spans="19:29" ht="8.4" customHeight="1">
      <c r="S1582" s="307"/>
      <c r="T1582" s="226">
        <f t="shared" si="88"/>
        <v>1579</v>
      </c>
      <c r="U1582" s="224">
        <f t="shared" si="86"/>
        <v>1</v>
      </c>
      <c r="V1582" s="225">
        <f t="shared" si="87"/>
        <v>3</v>
      </c>
      <c r="W1582" s="236">
        <f ca="1">+$U1582*EWSpacingFt+XOffset+PanArrayWidthHighEndFt-(PanArrayWidthHighEndFt-PanArrayWidthLowEndFt)/2</f>
        <v>40.802828354596642</v>
      </c>
      <c r="X1582" s="240">
        <f ca="1">$V1582*NSSpacingFt+YOffset+0</f>
        <v>53.999999999999972</v>
      </c>
      <c r="Y1582" s="244">
        <f ca="1">+$V1582*NSGradeFt+PedHeight+0</f>
        <v>7.401410761154855</v>
      </c>
      <c r="Z1582" s="214">
        <f ca="1">+$W1582</f>
        <v>40.802828354596642</v>
      </c>
      <c r="AA1582" s="214">
        <f ca="1">+$Y1582</f>
        <v>7.401410761154855</v>
      </c>
      <c r="AB1582" s="214">
        <f ca="1">+$X1582</f>
        <v>53.999999999999972</v>
      </c>
      <c r="AC1582" s="214">
        <f ca="1">+$W1582-XOffset</f>
        <v>40.802828354596642</v>
      </c>
    </row>
    <row r="1583" spans="19:29" ht="8.4" customHeight="1">
      <c r="S1583" s="307"/>
      <c r="T1583" s="226">
        <f t="shared" si="88"/>
        <v>1580</v>
      </c>
      <c r="U1583" s="224">
        <f t="shared" si="86"/>
        <v>1</v>
      </c>
      <c r="V1583" s="225">
        <f t="shared" si="87"/>
        <v>3</v>
      </c>
      <c r="W1583" s="237">
        <f ca="1">$U1583*EWSpacingFt+XOffset+PanArrayWidthHighEndFt</f>
        <v>40.802828354596642</v>
      </c>
      <c r="X1583" s="241">
        <f ca="1">$V1583*NSSpacingFt+YOffset+PanArrayLenFt*COS(RADIANS(Latitude+DecAng))</f>
        <v>70.43963254593173</v>
      </c>
      <c r="Y1583" s="245">
        <f ca="1">+$V1583*NSGradeFt+PedHeight+PanArrayLenFt*SIN(RADIANS(Latitude+DecAng))</f>
        <v>7.401410761154855</v>
      </c>
      <c r="Z1583" s="214">
        <f ca="1">+$W1583</f>
        <v>40.802828354596642</v>
      </c>
      <c r="AA1583" s="214">
        <f ca="1">+$Y1583</f>
        <v>7.401410761154855</v>
      </c>
      <c r="AB1583" s="214">
        <f ca="1">+$X1583</f>
        <v>70.43963254593173</v>
      </c>
      <c r="AC1583" s="214">
        <f ca="1">+$W1583-XOffset</f>
        <v>40.802828354596642</v>
      </c>
    </row>
    <row r="1584" spans="19:29" ht="8.4" customHeight="1">
      <c r="S1584" s="307"/>
      <c r="T1584" s="226">
        <f t="shared" si="88"/>
        <v>1581</v>
      </c>
      <c r="U1584" s="224">
        <f t="shared" si="86"/>
        <v>1</v>
      </c>
      <c r="V1584" s="225">
        <f t="shared" si="87"/>
        <v>3</v>
      </c>
      <c r="W1584" s="238">
        <f ca="1">$U1584*EWSpacingFt+XOffset+0</f>
        <v>30.000006832286932</v>
      </c>
      <c r="X1584" s="242">
        <f ca="1">$V1584*NSSpacingFt+YOffset+PanArrayLenFt*COS(RADIANS(Latitude+DecAng))</f>
        <v>70.43963254593173</v>
      </c>
      <c r="Y1584" s="246">
        <f ca="1">+$V1584*NSGradeFt+PedHeight+PanArrayLenFt*SIN(RADIANS(Latitude+DecAng))</f>
        <v>7.401410761154855</v>
      </c>
      <c r="Z1584" s="214">
        <f ca="1">+$W1584</f>
        <v>30.000006832286932</v>
      </c>
      <c r="AA1584" s="214">
        <f ca="1">+$Y1584</f>
        <v>7.401410761154855</v>
      </c>
      <c r="AB1584" s="214">
        <f ca="1">+$X1584</f>
        <v>70.43963254593173</v>
      </c>
      <c r="AC1584" s="214">
        <f ca="1">+$W1584-XOffset</f>
        <v>30.000006832286932</v>
      </c>
    </row>
    <row r="1585" spans="19:29" ht="8.4" customHeight="1">
      <c r="S1585" s="307"/>
      <c r="T1585" s="226">
        <f t="shared" si="88"/>
        <v>1582</v>
      </c>
      <c r="U1585" s="224">
        <f t="shared" si="86"/>
        <v>1</v>
      </c>
      <c r="V1585" s="225">
        <f t="shared" si="87"/>
        <v>3</v>
      </c>
      <c r="W1585" s="239">
        <f ca="1">$U1585*EWSpacingFt+XOffset+(PanArrayWidthHighEndFt-PanArrayWidthLowEndFt)/2</f>
        <v>30.000006832286932</v>
      </c>
      <c r="X1585" s="243">
        <f ca="1">$V1585*NSSpacingFt+YOffset+0</f>
        <v>53.999999999999972</v>
      </c>
      <c r="Y1585" s="247">
        <f ca="1">+$V1585*NSGradeFt+PedHeight+0</f>
        <v>7.401410761154855</v>
      </c>
      <c r="Z1585" s="214">
        <f ca="1">+$W1585</f>
        <v>30.000006832286932</v>
      </c>
      <c r="AA1585" s="214">
        <f ca="1">+$Y1585</f>
        <v>7.401410761154855</v>
      </c>
      <c r="AB1585" s="214">
        <f ca="1">+$X1585</f>
        <v>53.999999999999972</v>
      </c>
      <c r="AC1585" s="214">
        <f ca="1">+$W1585-XOffset</f>
        <v>30.000006832286932</v>
      </c>
    </row>
    <row r="1586" spans="19:29" ht="8.4" customHeight="1">
      <c r="S1586" s="307"/>
      <c r="T1586" s="226">
        <f t="shared" si="88"/>
        <v>1583</v>
      </c>
      <c r="U1586" s="224">
        <f t="shared" si="86"/>
        <v>1</v>
      </c>
      <c r="V1586" s="225">
        <f t="shared" si="87"/>
        <v>3</v>
      </c>
      <c r="W1586" s="217"/>
      <c r="X1586" s="217"/>
      <c r="Y1586" s="217"/>
      <c r="Z1586" s="214"/>
      <c r="AA1586" s="214"/>
      <c r="AB1586" s="214"/>
      <c r="AC1586" s="214"/>
    </row>
    <row r="1587" spans="19:29" ht="8.4" customHeight="1">
      <c r="S1587" s="307">
        <f>INT((T1587-0)/6)+1</f>
        <v>265</v>
      </c>
      <c r="T1587" s="226">
        <f t="shared" si="88"/>
        <v>1584</v>
      </c>
      <c r="U1587" s="224">
        <f t="shared" si="86"/>
        <v>0</v>
      </c>
      <c r="V1587" s="225">
        <f t="shared" si="87"/>
        <v>0</v>
      </c>
      <c r="W1587" s="233">
        <f ca="1">$U1587*EWSpacingFt+XOffset+(PanArrayWidthHighEndFt-PanArrayWidthLowEndFt)/2</f>
        <v>0</v>
      </c>
      <c r="X1587" s="234">
        <f ca="1">$V1587*NSSpacingFt+YOffset+0</f>
        <v>0</v>
      </c>
      <c r="Y1587" s="235">
        <f ca="1">+$V1587*NSGradeFt+PedHeight+0</f>
        <v>7.401410761154855</v>
      </c>
      <c r="Z1587" s="214">
        <f ca="1">+$W1587</f>
        <v>0</v>
      </c>
      <c r="AA1587" s="214">
        <f ca="1">+$Y1587</f>
        <v>7.401410761154855</v>
      </c>
      <c r="AB1587" s="214">
        <f ca="1">+$X1587</f>
        <v>0</v>
      </c>
      <c r="AC1587" s="214">
        <f ca="1">+$W1587-XOffset</f>
        <v>0</v>
      </c>
    </row>
    <row r="1588" spans="19:29" ht="8.4" customHeight="1">
      <c r="S1588" s="307"/>
      <c r="T1588" s="226">
        <f t="shared" si="88"/>
        <v>1585</v>
      </c>
      <c r="U1588" s="224">
        <f t="shared" si="86"/>
        <v>0</v>
      </c>
      <c r="V1588" s="225">
        <f t="shared" si="87"/>
        <v>0</v>
      </c>
      <c r="W1588" s="236">
        <f ca="1">+$U1588*EWSpacingFt+XOffset+PanArrayWidthHighEndFt-(PanArrayWidthHighEndFt-PanArrayWidthLowEndFt)/2</f>
        <v>10.80282152230971</v>
      </c>
      <c r="X1588" s="240">
        <f ca="1">$V1588*NSSpacingFt+YOffset+0</f>
        <v>0</v>
      </c>
      <c r="Y1588" s="244">
        <f ca="1">+$V1588*NSGradeFt+PedHeight+0</f>
        <v>7.401410761154855</v>
      </c>
      <c r="Z1588" s="214">
        <f ca="1">+$W1588</f>
        <v>10.80282152230971</v>
      </c>
      <c r="AA1588" s="214">
        <f ca="1">+$Y1588</f>
        <v>7.401410761154855</v>
      </c>
      <c r="AB1588" s="214">
        <f ca="1">+$X1588</f>
        <v>0</v>
      </c>
      <c r="AC1588" s="214">
        <f ca="1">+$W1588-XOffset</f>
        <v>10.80282152230971</v>
      </c>
    </row>
    <row r="1589" spans="19:29" ht="8.4" customHeight="1">
      <c r="S1589" s="307"/>
      <c r="T1589" s="226">
        <f t="shared" si="88"/>
        <v>1586</v>
      </c>
      <c r="U1589" s="224">
        <f t="shared" si="86"/>
        <v>0</v>
      </c>
      <c r="V1589" s="225">
        <f t="shared" si="87"/>
        <v>0</v>
      </c>
      <c r="W1589" s="237">
        <f ca="1">$U1589*EWSpacingFt+XOffset+PanArrayWidthHighEndFt</f>
        <v>10.80282152230971</v>
      </c>
      <c r="X1589" s="241">
        <f ca="1">$V1589*NSSpacingFt+YOffset+PanArrayLenFt*COS(RADIANS(Latitude+DecAng))</f>
        <v>16.439632545931762</v>
      </c>
      <c r="Y1589" s="245">
        <f ca="1">+$V1589*NSGradeFt+PedHeight+PanArrayLenFt*SIN(RADIANS(Latitude+DecAng))</f>
        <v>7.401410761154855</v>
      </c>
      <c r="Z1589" s="214">
        <f ca="1">+$W1589</f>
        <v>10.80282152230971</v>
      </c>
      <c r="AA1589" s="214">
        <f ca="1">+$Y1589</f>
        <v>7.401410761154855</v>
      </c>
      <c r="AB1589" s="214">
        <f ca="1">+$X1589</f>
        <v>16.439632545931762</v>
      </c>
      <c r="AC1589" s="214">
        <f ca="1">+$W1589-XOffset</f>
        <v>10.80282152230971</v>
      </c>
    </row>
    <row r="1590" spans="19:29" ht="8.4" customHeight="1">
      <c r="S1590" s="307"/>
      <c r="T1590" s="226">
        <f t="shared" si="88"/>
        <v>1587</v>
      </c>
      <c r="U1590" s="224">
        <f t="shared" si="86"/>
        <v>0</v>
      </c>
      <c r="V1590" s="225">
        <f t="shared" si="87"/>
        <v>0</v>
      </c>
      <c r="W1590" s="238">
        <f ca="1">$U1590*EWSpacingFt+XOffset+0</f>
        <v>0</v>
      </c>
      <c r="X1590" s="242">
        <f ca="1">$V1590*NSSpacingFt+YOffset+PanArrayLenFt*COS(RADIANS(Latitude+DecAng))</f>
        <v>16.439632545931762</v>
      </c>
      <c r="Y1590" s="246">
        <f ca="1">+$V1590*NSGradeFt+PedHeight+PanArrayLenFt*SIN(RADIANS(Latitude+DecAng))</f>
        <v>7.401410761154855</v>
      </c>
      <c r="Z1590" s="214">
        <f ca="1">+$W1590</f>
        <v>0</v>
      </c>
      <c r="AA1590" s="214">
        <f ca="1">+$Y1590</f>
        <v>7.401410761154855</v>
      </c>
      <c r="AB1590" s="214">
        <f ca="1">+$X1590</f>
        <v>16.439632545931762</v>
      </c>
      <c r="AC1590" s="214">
        <f ca="1">+$W1590-XOffset</f>
        <v>0</v>
      </c>
    </row>
    <row r="1591" spans="19:29" ht="8.4" customHeight="1">
      <c r="S1591" s="307"/>
      <c r="T1591" s="226">
        <f t="shared" si="88"/>
        <v>1588</v>
      </c>
      <c r="U1591" s="224">
        <f t="shared" si="86"/>
        <v>0</v>
      </c>
      <c r="V1591" s="225">
        <f t="shared" si="87"/>
        <v>0</v>
      </c>
      <c r="W1591" s="239">
        <f ca="1">$U1591*EWSpacingFt+XOffset+(PanArrayWidthHighEndFt-PanArrayWidthLowEndFt)/2</f>
        <v>0</v>
      </c>
      <c r="X1591" s="243">
        <f ca="1">$V1591*NSSpacingFt+YOffset+0</f>
        <v>0</v>
      </c>
      <c r="Y1591" s="247">
        <f ca="1">+$V1591*NSGradeFt+PedHeight+0</f>
        <v>7.401410761154855</v>
      </c>
      <c r="Z1591" s="214">
        <f ca="1">+$W1591</f>
        <v>0</v>
      </c>
      <c r="AA1591" s="214">
        <f ca="1">+$Y1591</f>
        <v>7.401410761154855</v>
      </c>
      <c r="AB1591" s="214">
        <f ca="1">+$X1591</f>
        <v>0</v>
      </c>
      <c r="AC1591" s="214">
        <f ca="1">+$W1591-XOffset</f>
        <v>0</v>
      </c>
    </row>
    <row r="1592" spans="19:29" ht="8.4" customHeight="1">
      <c r="S1592" s="307"/>
      <c r="T1592" s="226">
        <f t="shared" si="88"/>
        <v>1589</v>
      </c>
      <c r="U1592" s="224">
        <f t="shared" si="86"/>
        <v>0</v>
      </c>
      <c r="V1592" s="225">
        <f t="shared" si="87"/>
        <v>0</v>
      </c>
      <c r="W1592" s="217"/>
      <c r="X1592" s="217"/>
      <c r="Y1592" s="217"/>
      <c r="Z1592" s="214"/>
      <c r="AA1592" s="214"/>
      <c r="AB1592" s="214"/>
      <c r="AC1592" s="214"/>
    </row>
    <row r="1593" spans="19:29" ht="8.4" customHeight="1">
      <c r="S1593" s="307">
        <f>INT((T1593-0)/6)+1</f>
        <v>266</v>
      </c>
      <c r="T1593" s="226">
        <f t="shared" si="88"/>
        <v>1590</v>
      </c>
      <c r="U1593" s="224">
        <f t="shared" si="86"/>
        <v>1</v>
      </c>
      <c r="V1593" s="225">
        <f t="shared" si="87"/>
        <v>0</v>
      </c>
      <c r="W1593" s="233">
        <f ca="1">$U1593*EWSpacingFt+XOffset+(PanArrayWidthHighEndFt-PanArrayWidthLowEndFt)/2</f>
        <v>30.000006832286932</v>
      </c>
      <c r="X1593" s="234">
        <f ca="1">$V1593*NSSpacingFt+YOffset+0</f>
        <v>0</v>
      </c>
      <c r="Y1593" s="235">
        <f ca="1">+$V1593*NSGradeFt+PedHeight+0</f>
        <v>7.401410761154855</v>
      </c>
      <c r="Z1593" s="214">
        <f ca="1">+$W1593</f>
        <v>30.000006832286932</v>
      </c>
      <c r="AA1593" s="214">
        <f ca="1">+$Y1593</f>
        <v>7.401410761154855</v>
      </c>
      <c r="AB1593" s="214">
        <f ca="1">+$X1593</f>
        <v>0</v>
      </c>
      <c r="AC1593" s="214">
        <f ca="1">+$W1593-XOffset</f>
        <v>30.000006832286932</v>
      </c>
    </row>
    <row r="1594" spans="19:29" ht="8.4" customHeight="1">
      <c r="S1594" s="307"/>
      <c r="T1594" s="226">
        <f t="shared" si="88"/>
        <v>1591</v>
      </c>
      <c r="U1594" s="224">
        <f t="shared" si="86"/>
        <v>1</v>
      </c>
      <c r="V1594" s="225">
        <f t="shared" si="87"/>
        <v>0</v>
      </c>
      <c r="W1594" s="236">
        <f ca="1">+$U1594*EWSpacingFt+XOffset+PanArrayWidthHighEndFt-(PanArrayWidthHighEndFt-PanArrayWidthLowEndFt)/2</f>
        <v>40.802828354596642</v>
      </c>
      <c r="X1594" s="240">
        <f ca="1">$V1594*NSSpacingFt+YOffset+0</f>
        <v>0</v>
      </c>
      <c r="Y1594" s="244">
        <f ca="1">+$V1594*NSGradeFt+PedHeight+0</f>
        <v>7.401410761154855</v>
      </c>
      <c r="Z1594" s="214">
        <f ca="1">+$W1594</f>
        <v>40.802828354596642</v>
      </c>
      <c r="AA1594" s="214">
        <f ca="1">+$Y1594</f>
        <v>7.401410761154855</v>
      </c>
      <c r="AB1594" s="214">
        <f ca="1">+$X1594</f>
        <v>0</v>
      </c>
      <c r="AC1594" s="214">
        <f ca="1">+$W1594-XOffset</f>
        <v>40.802828354596642</v>
      </c>
    </row>
    <row r="1595" spans="19:29" ht="8.4" customHeight="1">
      <c r="S1595" s="307"/>
      <c r="T1595" s="226">
        <f t="shared" si="88"/>
        <v>1592</v>
      </c>
      <c r="U1595" s="224">
        <f t="shared" si="86"/>
        <v>1</v>
      </c>
      <c r="V1595" s="225">
        <f t="shared" si="87"/>
        <v>0</v>
      </c>
      <c r="W1595" s="237">
        <f ca="1">$U1595*EWSpacingFt+XOffset+PanArrayWidthHighEndFt</f>
        <v>40.802828354596642</v>
      </c>
      <c r="X1595" s="241">
        <f ca="1">$V1595*NSSpacingFt+YOffset+PanArrayLenFt*COS(RADIANS(Latitude+DecAng))</f>
        <v>16.439632545931762</v>
      </c>
      <c r="Y1595" s="245">
        <f ca="1">+$V1595*NSGradeFt+PedHeight+PanArrayLenFt*SIN(RADIANS(Latitude+DecAng))</f>
        <v>7.401410761154855</v>
      </c>
      <c r="Z1595" s="214">
        <f ca="1">+$W1595</f>
        <v>40.802828354596642</v>
      </c>
      <c r="AA1595" s="214">
        <f ca="1">+$Y1595</f>
        <v>7.401410761154855</v>
      </c>
      <c r="AB1595" s="214">
        <f ca="1">+$X1595</f>
        <v>16.439632545931762</v>
      </c>
      <c r="AC1595" s="214">
        <f ca="1">+$W1595-XOffset</f>
        <v>40.802828354596642</v>
      </c>
    </row>
    <row r="1596" spans="19:29" ht="8.4" customHeight="1">
      <c r="S1596" s="307"/>
      <c r="T1596" s="226">
        <f t="shared" si="88"/>
        <v>1593</v>
      </c>
      <c r="U1596" s="224">
        <f t="shared" si="86"/>
        <v>1</v>
      </c>
      <c r="V1596" s="225">
        <f t="shared" si="87"/>
        <v>0</v>
      </c>
      <c r="W1596" s="238">
        <f ca="1">$U1596*EWSpacingFt+XOffset+0</f>
        <v>30.000006832286932</v>
      </c>
      <c r="X1596" s="242">
        <f ca="1">$V1596*NSSpacingFt+YOffset+PanArrayLenFt*COS(RADIANS(Latitude+DecAng))</f>
        <v>16.439632545931762</v>
      </c>
      <c r="Y1596" s="246">
        <f ca="1">+$V1596*NSGradeFt+PedHeight+PanArrayLenFt*SIN(RADIANS(Latitude+DecAng))</f>
        <v>7.401410761154855</v>
      </c>
      <c r="Z1596" s="214">
        <f ca="1">+$W1596</f>
        <v>30.000006832286932</v>
      </c>
      <c r="AA1596" s="214">
        <f ca="1">+$Y1596</f>
        <v>7.401410761154855</v>
      </c>
      <c r="AB1596" s="214">
        <f ca="1">+$X1596</f>
        <v>16.439632545931762</v>
      </c>
      <c r="AC1596" s="214">
        <f ca="1">+$W1596-XOffset</f>
        <v>30.000006832286932</v>
      </c>
    </row>
    <row r="1597" spans="19:29" ht="8.4" customHeight="1">
      <c r="S1597" s="307"/>
      <c r="T1597" s="226">
        <f t="shared" si="88"/>
        <v>1594</v>
      </c>
      <c r="U1597" s="224">
        <f t="shared" si="86"/>
        <v>1</v>
      </c>
      <c r="V1597" s="225">
        <f t="shared" si="87"/>
        <v>0</v>
      </c>
      <c r="W1597" s="239">
        <f ca="1">$U1597*EWSpacingFt+XOffset+(PanArrayWidthHighEndFt-PanArrayWidthLowEndFt)/2</f>
        <v>30.000006832286932</v>
      </c>
      <c r="X1597" s="243">
        <f ca="1">$V1597*NSSpacingFt+YOffset+0</f>
        <v>0</v>
      </c>
      <c r="Y1597" s="247">
        <f ca="1">+$V1597*NSGradeFt+PedHeight+0</f>
        <v>7.401410761154855</v>
      </c>
      <c r="Z1597" s="214">
        <f ca="1">+$W1597</f>
        <v>30.000006832286932</v>
      </c>
      <c r="AA1597" s="214">
        <f ca="1">+$Y1597</f>
        <v>7.401410761154855</v>
      </c>
      <c r="AB1597" s="214">
        <f ca="1">+$X1597</f>
        <v>0</v>
      </c>
      <c r="AC1597" s="214">
        <f ca="1">+$W1597-XOffset</f>
        <v>30.000006832286932</v>
      </c>
    </row>
    <row r="1598" spans="19:29" ht="8.4" customHeight="1">
      <c r="S1598" s="307"/>
      <c r="T1598" s="226">
        <f t="shared" si="88"/>
        <v>1595</v>
      </c>
      <c r="U1598" s="224">
        <f t="shared" si="86"/>
        <v>1</v>
      </c>
      <c r="V1598" s="225">
        <f t="shared" si="87"/>
        <v>0</v>
      </c>
      <c r="W1598" s="217"/>
      <c r="X1598" s="217"/>
      <c r="Y1598" s="217"/>
      <c r="Z1598" s="214"/>
      <c r="AA1598" s="214"/>
      <c r="AB1598" s="214"/>
      <c r="AC1598" s="214"/>
    </row>
    <row r="1599" spans="19:29" ht="8.4" customHeight="1">
      <c r="S1599" s="307">
        <f>INT((T1599-0)/6)+1</f>
        <v>267</v>
      </c>
      <c r="T1599" s="226">
        <f t="shared" si="88"/>
        <v>1596</v>
      </c>
      <c r="U1599" s="224">
        <f t="shared" si="86"/>
        <v>0</v>
      </c>
      <c r="V1599" s="225">
        <f t="shared" si="87"/>
        <v>1</v>
      </c>
      <c r="W1599" s="233">
        <f ca="1">$U1599*EWSpacingFt+XOffset+(PanArrayWidthHighEndFt-PanArrayWidthLowEndFt)/2</f>
        <v>0</v>
      </c>
      <c r="X1599" s="234">
        <f ca="1">$V1599*NSSpacingFt+YOffset+0</f>
        <v>17.999999999999989</v>
      </c>
      <c r="Y1599" s="235">
        <f ca="1">+$V1599*NSGradeFt+PedHeight+0</f>
        <v>7.401410761154855</v>
      </c>
      <c r="Z1599" s="214">
        <f ca="1">+$W1599</f>
        <v>0</v>
      </c>
      <c r="AA1599" s="214">
        <f ca="1">+$Y1599</f>
        <v>7.401410761154855</v>
      </c>
      <c r="AB1599" s="214">
        <f ca="1">+$X1599</f>
        <v>17.999999999999989</v>
      </c>
      <c r="AC1599" s="214">
        <f ca="1">+$W1599-XOffset</f>
        <v>0</v>
      </c>
    </row>
    <row r="1600" spans="19:29" ht="8.4" customHeight="1">
      <c r="S1600" s="307"/>
      <c r="T1600" s="226">
        <f t="shared" si="88"/>
        <v>1597</v>
      </c>
      <c r="U1600" s="224">
        <f t="shared" si="86"/>
        <v>0</v>
      </c>
      <c r="V1600" s="225">
        <f t="shared" si="87"/>
        <v>1</v>
      </c>
      <c r="W1600" s="236">
        <f ca="1">+$U1600*EWSpacingFt+XOffset+PanArrayWidthHighEndFt-(PanArrayWidthHighEndFt-PanArrayWidthLowEndFt)/2</f>
        <v>10.80282152230971</v>
      </c>
      <c r="X1600" s="240">
        <f ca="1">$V1600*NSSpacingFt+YOffset+0</f>
        <v>17.999999999999989</v>
      </c>
      <c r="Y1600" s="244">
        <f ca="1">+$V1600*NSGradeFt+PedHeight+0</f>
        <v>7.401410761154855</v>
      </c>
      <c r="Z1600" s="214">
        <f ca="1">+$W1600</f>
        <v>10.80282152230971</v>
      </c>
      <c r="AA1600" s="214">
        <f ca="1">+$Y1600</f>
        <v>7.401410761154855</v>
      </c>
      <c r="AB1600" s="214">
        <f ca="1">+$X1600</f>
        <v>17.999999999999989</v>
      </c>
      <c r="AC1600" s="214">
        <f ca="1">+$W1600-XOffset</f>
        <v>10.80282152230971</v>
      </c>
    </row>
    <row r="1601" spans="19:29" ht="8.4" customHeight="1">
      <c r="S1601" s="307"/>
      <c r="T1601" s="226">
        <f t="shared" si="88"/>
        <v>1598</v>
      </c>
      <c r="U1601" s="224">
        <f t="shared" si="86"/>
        <v>0</v>
      </c>
      <c r="V1601" s="225">
        <f t="shared" si="87"/>
        <v>1</v>
      </c>
      <c r="W1601" s="237">
        <f ca="1">$U1601*EWSpacingFt+XOffset+PanArrayWidthHighEndFt</f>
        <v>10.80282152230971</v>
      </c>
      <c r="X1601" s="241">
        <f ca="1">$V1601*NSSpacingFt+YOffset+PanArrayLenFt*COS(RADIANS(Latitude+DecAng))</f>
        <v>34.439632545931751</v>
      </c>
      <c r="Y1601" s="245">
        <f ca="1">+$V1601*NSGradeFt+PedHeight+PanArrayLenFt*SIN(RADIANS(Latitude+DecAng))</f>
        <v>7.401410761154855</v>
      </c>
      <c r="Z1601" s="214">
        <f ca="1">+$W1601</f>
        <v>10.80282152230971</v>
      </c>
      <c r="AA1601" s="214">
        <f ca="1">+$Y1601</f>
        <v>7.401410761154855</v>
      </c>
      <c r="AB1601" s="214">
        <f ca="1">+$X1601</f>
        <v>34.439632545931751</v>
      </c>
      <c r="AC1601" s="214">
        <f ca="1">+$W1601-XOffset</f>
        <v>10.80282152230971</v>
      </c>
    </row>
    <row r="1602" spans="19:29" ht="8.4" customHeight="1">
      <c r="S1602" s="307"/>
      <c r="T1602" s="226">
        <f t="shared" si="88"/>
        <v>1599</v>
      </c>
      <c r="U1602" s="224">
        <f t="shared" si="86"/>
        <v>0</v>
      </c>
      <c r="V1602" s="225">
        <f t="shared" si="87"/>
        <v>1</v>
      </c>
      <c r="W1602" s="238">
        <f ca="1">$U1602*EWSpacingFt+XOffset+0</f>
        <v>0</v>
      </c>
      <c r="X1602" s="242">
        <f ca="1">$V1602*NSSpacingFt+YOffset+PanArrayLenFt*COS(RADIANS(Latitude+DecAng))</f>
        <v>34.439632545931751</v>
      </c>
      <c r="Y1602" s="246">
        <f ca="1">+$V1602*NSGradeFt+PedHeight+PanArrayLenFt*SIN(RADIANS(Latitude+DecAng))</f>
        <v>7.401410761154855</v>
      </c>
      <c r="Z1602" s="214">
        <f ca="1">+$W1602</f>
        <v>0</v>
      </c>
      <c r="AA1602" s="214">
        <f ca="1">+$Y1602</f>
        <v>7.401410761154855</v>
      </c>
      <c r="AB1602" s="214">
        <f ca="1">+$X1602</f>
        <v>34.439632545931751</v>
      </c>
      <c r="AC1602" s="214">
        <f ca="1">+$W1602-XOffset</f>
        <v>0</v>
      </c>
    </row>
    <row r="1603" spans="19:29" ht="8.4" customHeight="1">
      <c r="S1603" s="307"/>
      <c r="T1603" s="226">
        <f t="shared" si="88"/>
        <v>1600</v>
      </c>
      <c r="U1603" s="224">
        <f t="shared" ref="U1603:U1666" si="89">+MOD(INT(T1603/6),ColumnsOfMounts)</f>
        <v>0</v>
      </c>
      <c r="V1603" s="225">
        <f t="shared" ref="V1603:V1666" si="90">+MOD(INT(T1603/6/ColumnsOfMounts),RowsOfMounts)</f>
        <v>1</v>
      </c>
      <c r="W1603" s="239">
        <f ca="1">$U1603*EWSpacingFt+XOffset+(PanArrayWidthHighEndFt-PanArrayWidthLowEndFt)/2</f>
        <v>0</v>
      </c>
      <c r="X1603" s="243">
        <f ca="1">$V1603*NSSpacingFt+YOffset+0</f>
        <v>17.999999999999989</v>
      </c>
      <c r="Y1603" s="247">
        <f ca="1">+$V1603*NSGradeFt+PedHeight+0</f>
        <v>7.401410761154855</v>
      </c>
      <c r="Z1603" s="214">
        <f ca="1">+$W1603</f>
        <v>0</v>
      </c>
      <c r="AA1603" s="214">
        <f ca="1">+$Y1603</f>
        <v>7.401410761154855</v>
      </c>
      <c r="AB1603" s="214">
        <f ca="1">+$X1603</f>
        <v>17.999999999999989</v>
      </c>
      <c r="AC1603" s="214">
        <f ca="1">+$W1603-XOffset</f>
        <v>0</v>
      </c>
    </row>
    <row r="1604" spans="19:29" ht="8.4" customHeight="1">
      <c r="S1604" s="307"/>
      <c r="T1604" s="226">
        <f t="shared" si="88"/>
        <v>1601</v>
      </c>
      <c r="U1604" s="224">
        <f t="shared" si="89"/>
        <v>0</v>
      </c>
      <c r="V1604" s="225">
        <f t="shared" si="90"/>
        <v>1</v>
      </c>
      <c r="W1604" s="217"/>
      <c r="X1604" s="217"/>
      <c r="Y1604" s="217"/>
      <c r="Z1604" s="214"/>
      <c r="AA1604" s="214"/>
      <c r="AB1604" s="214"/>
      <c r="AC1604" s="214"/>
    </row>
    <row r="1605" spans="19:29" ht="8.4" customHeight="1">
      <c r="S1605" s="307">
        <f>INT((T1605-0)/6)+1</f>
        <v>268</v>
      </c>
      <c r="T1605" s="226">
        <f t="shared" si="88"/>
        <v>1602</v>
      </c>
      <c r="U1605" s="224">
        <f t="shared" si="89"/>
        <v>1</v>
      </c>
      <c r="V1605" s="225">
        <f t="shared" si="90"/>
        <v>1</v>
      </c>
      <c r="W1605" s="233">
        <f ca="1">$U1605*EWSpacingFt+XOffset+(PanArrayWidthHighEndFt-PanArrayWidthLowEndFt)/2</f>
        <v>30.000006832286932</v>
      </c>
      <c r="X1605" s="234">
        <f ca="1">$V1605*NSSpacingFt+YOffset+0</f>
        <v>17.999999999999989</v>
      </c>
      <c r="Y1605" s="235">
        <f ca="1">+$V1605*NSGradeFt+PedHeight+0</f>
        <v>7.401410761154855</v>
      </c>
      <c r="Z1605" s="214">
        <f ca="1">+$W1605</f>
        <v>30.000006832286932</v>
      </c>
      <c r="AA1605" s="214">
        <f ca="1">+$Y1605</f>
        <v>7.401410761154855</v>
      </c>
      <c r="AB1605" s="214">
        <f ca="1">+$X1605</f>
        <v>17.999999999999989</v>
      </c>
      <c r="AC1605" s="214">
        <f ca="1">+$W1605-XOffset</f>
        <v>30.000006832286932</v>
      </c>
    </row>
    <row r="1606" spans="19:29" ht="8.4" customHeight="1">
      <c r="S1606" s="307"/>
      <c r="T1606" s="226">
        <f t="shared" si="88"/>
        <v>1603</v>
      </c>
      <c r="U1606" s="224">
        <f t="shared" si="89"/>
        <v>1</v>
      </c>
      <c r="V1606" s="225">
        <f t="shared" si="90"/>
        <v>1</v>
      </c>
      <c r="W1606" s="236">
        <f ca="1">+$U1606*EWSpacingFt+XOffset+PanArrayWidthHighEndFt-(PanArrayWidthHighEndFt-PanArrayWidthLowEndFt)/2</f>
        <v>40.802828354596642</v>
      </c>
      <c r="X1606" s="240">
        <f ca="1">$V1606*NSSpacingFt+YOffset+0</f>
        <v>17.999999999999989</v>
      </c>
      <c r="Y1606" s="244">
        <f ca="1">+$V1606*NSGradeFt+PedHeight+0</f>
        <v>7.401410761154855</v>
      </c>
      <c r="Z1606" s="214">
        <f ca="1">+$W1606</f>
        <v>40.802828354596642</v>
      </c>
      <c r="AA1606" s="214">
        <f ca="1">+$Y1606</f>
        <v>7.401410761154855</v>
      </c>
      <c r="AB1606" s="214">
        <f ca="1">+$X1606</f>
        <v>17.999999999999989</v>
      </c>
      <c r="AC1606" s="214">
        <f ca="1">+$W1606-XOffset</f>
        <v>40.802828354596642</v>
      </c>
    </row>
    <row r="1607" spans="19:29" ht="8.4" customHeight="1">
      <c r="S1607" s="307"/>
      <c r="T1607" s="226">
        <f t="shared" si="88"/>
        <v>1604</v>
      </c>
      <c r="U1607" s="224">
        <f t="shared" si="89"/>
        <v>1</v>
      </c>
      <c r="V1607" s="225">
        <f t="shared" si="90"/>
        <v>1</v>
      </c>
      <c r="W1607" s="237">
        <f ca="1">$U1607*EWSpacingFt+XOffset+PanArrayWidthHighEndFt</f>
        <v>40.802828354596642</v>
      </c>
      <c r="X1607" s="241">
        <f ca="1">$V1607*NSSpacingFt+YOffset+PanArrayLenFt*COS(RADIANS(Latitude+DecAng))</f>
        <v>34.439632545931751</v>
      </c>
      <c r="Y1607" s="245">
        <f ca="1">+$V1607*NSGradeFt+PedHeight+PanArrayLenFt*SIN(RADIANS(Latitude+DecAng))</f>
        <v>7.401410761154855</v>
      </c>
      <c r="Z1607" s="214">
        <f ca="1">+$W1607</f>
        <v>40.802828354596642</v>
      </c>
      <c r="AA1607" s="214">
        <f ca="1">+$Y1607</f>
        <v>7.401410761154855</v>
      </c>
      <c r="AB1607" s="214">
        <f ca="1">+$X1607</f>
        <v>34.439632545931751</v>
      </c>
      <c r="AC1607" s="214">
        <f ca="1">+$W1607-XOffset</f>
        <v>40.802828354596642</v>
      </c>
    </row>
    <row r="1608" spans="19:29" ht="8.4" customHeight="1">
      <c r="S1608" s="307"/>
      <c r="T1608" s="226">
        <f t="shared" si="88"/>
        <v>1605</v>
      </c>
      <c r="U1608" s="224">
        <f t="shared" si="89"/>
        <v>1</v>
      </c>
      <c r="V1608" s="225">
        <f t="shared" si="90"/>
        <v>1</v>
      </c>
      <c r="W1608" s="238">
        <f ca="1">$U1608*EWSpacingFt+XOffset+0</f>
        <v>30.000006832286932</v>
      </c>
      <c r="X1608" s="242">
        <f ca="1">$V1608*NSSpacingFt+YOffset+PanArrayLenFt*COS(RADIANS(Latitude+DecAng))</f>
        <v>34.439632545931751</v>
      </c>
      <c r="Y1608" s="246">
        <f ca="1">+$V1608*NSGradeFt+PedHeight+PanArrayLenFt*SIN(RADIANS(Latitude+DecAng))</f>
        <v>7.401410761154855</v>
      </c>
      <c r="Z1608" s="214">
        <f ca="1">+$W1608</f>
        <v>30.000006832286932</v>
      </c>
      <c r="AA1608" s="214">
        <f ca="1">+$Y1608</f>
        <v>7.401410761154855</v>
      </c>
      <c r="AB1608" s="214">
        <f ca="1">+$X1608</f>
        <v>34.439632545931751</v>
      </c>
      <c r="AC1608" s="214">
        <f ca="1">+$W1608-XOffset</f>
        <v>30.000006832286932</v>
      </c>
    </row>
    <row r="1609" spans="19:29" ht="8.4" customHeight="1">
      <c r="S1609" s="307"/>
      <c r="T1609" s="226">
        <f t="shared" si="88"/>
        <v>1606</v>
      </c>
      <c r="U1609" s="224">
        <f t="shared" si="89"/>
        <v>1</v>
      </c>
      <c r="V1609" s="225">
        <f t="shared" si="90"/>
        <v>1</v>
      </c>
      <c r="W1609" s="239">
        <f ca="1">$U1609*EWSpacingFt+XOffset+(PanArrayWidthHighEndFt-PanArrayWidthLowEndFt)/2</f>
        <v>30.000006832286932</v>
      </c>
      <c r="X1609" s="243">
        <f ca="1">$V1609*NSSpacingFt+YOffset+0</f>
        <v>17.999999999999989</v>
      </c>
      <c r="Y1609" s="247">
        <f ca="1">+$V1609*NSGradeFt+PedHeight+0</f>
        <v>7.401410761154855</v>
      </c>
      <c r="Z1609" s="214">
        <f ca="1">+$W1609</f>
        <v>30.000006832286932</v>
      </c>
      <c r="AA1609" s="214">
        <f ca="1">+$Y1609</f>
        <v>7.401410761154855</v>
      </c>
      <c r="AB1609" s="214">
        <f ca="1">+$X1609</f>
        <v>17.999999999999989</v>
      </c>
      <c r="AC1609" s="214">
        <f ca="1">+$W1609-XOffset</f>
        <v>30.000006832286932</v>
      </c>
    </row>
    <row r="1610" spans="19:29" ht="8.4" customHeight="1">
      <c r="S1610" s="307"/>
      <c r="T1610" s="226">
        <f t="shared" si="88"/>
        <v>1607</v>
      </c>
      <c r="U1610" s="224">
        <f t="shared" si="89"/>
        <v>1</v>
      </c>
      <c r="V1610" s="225">
        <f t="shared" si="90"/>
        <v>1</v>
      </c>
      <c r="W1610" s="217"/>
      <c r="X1610" s="217"/>
      <c r="Y1610" s="217"/>
      <c r="Z1610" s="214"/>
      <c r="AA1610" s="214"/>
      <c r="AB1610" s="214"/>
      <c r="AC1610" s="214"/>
    </row>
    <row r="1611" spans="19:29" ht="8.4" customHeight="1">
      <c r="S1611" s="307">
        <f>INT((T1611-0)/6)+1</f>
        <v>269</v>
      </c>
      <c r="T1611" s="226">
        <f t="shared" si="88"/>
        <v>1608</v>
      </c>
      <c r="U1611" s="224">
        <f t="shared" si="89"/>
        <v>0</v>
      </c>
      <c r="V1611" s="225">
        <f t="shared" si="90"/>
        <v>2</v>
      </c>
      <c r="W1611" s="233">
        <f ca="1">$U1611*EWSpacingFt+XOffset+(PanArrayWidthHighEndFt-PanArrayWidthLowEndFt)/2</f>
        <v>0</v>
      </c>
      <c r="X1611" s="234">
        <f ca="1">$V1611*NSSpacingFt+YOffset+0</f>
        <v>35.999999999999979</v>
      </c>
      <c r="Y1611" s="235">
        <f ca="1">+$V1611*NSGradeFt+PedHeight+0</f>
        <v>7.401410761154855</v>
      </c>
      <c r="Z1611" s="214">
        <f ca="1">+$W1611</f>
        <v>0</v>
      </c>
      <c r="AA1611" s="214">
        <f ca="1">+$Y1611</f>
        <v>7.401410761154855</v>
      </c>
      <c r="AB1611" s="214">
        <f ca="1">+$X1611</f>
        <v>35.999999999999979</v>
      </c>
      <c r="AC1611" s="214">
        <f ca="1">+$W1611-XOffset</f>
        <v>0</v>
      </c>
    </row>
    <row r="1612" spans="19:29" ht="8.4" customHeight="1">
      <c r="S1612" s="307"/>
      <c r="T1612" s="226">
        <f t="shared" si="88"/>
        <v>1609</v>
      </c>
      <c r="U1612" s="224">
        <f t="shared" si="89"/>
        <v>0</v>
      </c>
      <c r="V1612" s="225">
        <f t="shared" si="90"/>
        <v>2</v>
      </c>
      <c r="W1612" s="236">
        <f ca="1">+$U1612*EWSpacingFt+XOffset+PanArrayWidthHighEndFt-(PanArrayWidthHighEndFt-PanArrayWidthLowEndFt)/2</f>
        <v>10.80282152230971</v>
      </c>
      <c r="X1612" s="240">
        <f ca="1">$V1612*NSSpacingFt+YOffset+0</f>
        <v>35.999999999999979</v>
      </c>
      <c r="Y1612" s="244">
        <f ca="1">+$V1612*NSGradeFt+PedHeight+0</f>
        <v>7.401410761154855</v>
      </c>
      <c r="Z1612" s="214">
        <f ca="1">+$W1612</f>
        <v>10.80282152230971</v>
      </c>
      <c r="AA1612" s="214">
        <f ca="1">+$Y1612</f>
        <v>7.401410761154855</v>
      </c>
      <c r="AB1612" s="214">
        <f ca="1">+$X1612</f>
        <v>35.999999999999979</v>
      </c>
      <c r="AC1612" s="214">
        <f ca="1">+$W1612-XOffset</f>
        <v>10.80282152230971</v>
      </c>
    </row>
    <row r="1613" spans="19:29" ht="8.4" customHeight="1">
      <c r="S1613" s="307"/>
      <c r="T1613" s="226">
        <f t="shared" si="88"/>
        <v>1610</v>
      </c>
      <c r="U1613" s="224">
        <f t="shared" si="89"/>
        <v>0</v>
      </c>
      <c r="V1613" s="225">
        <f t="shared" si="90"/>
        <v>2</v>
      </c>
      <c r="W1613" s="237">
        <f ca="1">$U1613*EWSpacingFt+XOffset+PanArrayWidthHighEndFt</f>
        <v>10.80282152230971</v>
      </c>
      <c r="X1613" s="241">
        <f ca="1">$V1613*NSSpacingFt+YOffset+PanArrayLenFt*COS(RADIANS(Latitude+DecAng))</f>
        <v>52.439632545931744</v>
      </c>
      <c r="Y1613" s="245">
        <f ca="1">+$V1613*NSGradeFt+PedHeight+PanArrayLenFt*SIN(RADIANS(Latitude+DecAng))</f>
        <v>7.401410761154855</v>
      </c>
      <c r="Z1613" s="214">
        <f ca="1">+$W1613</f>
        <v>10.80282152230971</v>
      </c>
      <c r="AA1613" s="214">
        <f ca="1">+$Y1613</f>
        <v>7.401410761154855</v>
      </c>
      <c r="AB1613" s="214">
        <f ca="1">+$X1613</f>
        <v>52.439632545931744</v>
      </c>
      <c r="AC1613" s="214">
        <f ca="1">+$W1613-XOffset</f>
        <v>10.80282152230971</v>
      </c>
    </row>
    <row r="1614" spans="19:29" ht="8.4" customHeight="1">
      <c r="S1614" s="307"/>
      <c r="T1614" s="226">
        <f t="shared" si="88"/>
        <v>1611</v>
      </c>
      <c r="U1614" s="224">
        <f t="shared" si="89"/>
        <v>0</v>
      </c>
      <c r="V1614" s="225">
        <f t="shared" si="90"/>
        <v>2</v>
      </c>
      <c r="W1614" s="238">
        <f ca="1">$U1614*EWSpacingFt+XOffset+0</f>
        <v>0</v>
      </c>
      <c r="X1614" s="242">
        <f ca="1">$V1614*NSSpacingFt+YOffset+PanArrayLenFt*COS(RADIANS(Latitude+DecAng))</f>
        <v>52.439632545931744</v>
      </c>
      <c r="Y1614" s="246">
        <f ca="1">+$V1614*NSGradeFt+PedHeight+PanArrayLenFt*SIN(RADIANS(Latitude+DecAng))</f>
        <v>7.401410761154855</v>
      </c>
      <c r="Z1614" s="214">
        <f ca="1">+$W1614</f>
        <v>0</v>
      </c>
      <c r="AA1614" s="214">
        <f ca="1">+$Y1614</f>
        <v>7.401410761154855</v>
      </c>
      <c r="AB1614" s="214">
        <f ca="1">+$X1614</f>
        <v>52.439632545931744</v>
      </c>
      <c r="AC1614" s="214">
        <f ca="1">+$W1614-XOffset</f>
        <v>0</v>
      </c>
    </row>
    <row r="1615" spans="19:29" ht="8.4" customHeight="1">
      <c r="S1615" s="307"/>
      <c r="T1615" s="226">
        <f t="shared" si="88"/>
        <v>1612</v>
      </c>
      <c r="U1615" s="224">
        <f t="shared" si="89"/>
        <v>0</v>
      </c>
      <c r="V1615" s="225">
        <f t="shared" si="90"/>
        <v>2</v>
      </c>
      <c r="W1615" s="239">
        <f ca="1">$U1615*EWSpacingFt+XOffset+(PanArrayWidthHighEndFt-PanArrayWidthLowEndFt)/2</f>
        <v>0</v>
      </c>
      <c r="X1615" s="243">
        <f ca="1">$V1615*NSSpacingFt+YOffset+0</f>
        <v>35.999999999999979</v>
      </c>
      <c r="Y1615" s="247">
        <f ca="1">+$V1615*NSGradeFt+PedHeight+0</f>
        <v>7.401410761154855</v>
      </c>
      <c r="Z1615" s="214">
        <f ca="1">+$W1615</f>
        <v>0</v>
      </c>
      <c r="AA1615" s="214">
        <f ca="1">+$Y1615</f>
        <v>7.401410761154855</v>
      </c>
      <c r="AB1615" s="214">
        <f ca="1">+$X1615</f>
        <v>35.999999999999979</v>
      </c>
      <c r="AC1615" s="214">
        <f ca="1">+$W1615-XOffset</f>
        <v>0</v>
      </c>
    </row>
    <row r="1616" spans="19:29" ht="8.4" customHeight="1">
      <c r="S1616" s="307"/>
      <c r="T1616" s="226">
        <f t="shared" si="88"/>
        <v>1613</v>
      </c>
      <c r="U1616" s="224">
        <f t="shared" si="89"/>
        <v>0</v>
      </c>
      <c r="V1616" s="225">
        <f t="shared" si="90"/>
        <v>2</v>
      </c>
      <c r="W1616" s="217"/>
      <c r="X1616" s="217"/>
      <c r="Y1616" s="217"/>
      <c r="Z1616" s="214"/>
      <c r="AA1616" s="214"/>
      <c r="AB1616" s="214"/>
      <c r="AC1616" s="214"/>
    </row>
    <row r="1617" spans="19:29" ht="8.4" customHeight="1">
      <c r="S1617" s="307">
        <f>INT((T1617-0)/6)+1</f>
        <v>270</v>
      </c>
      <c r="T1617" s="226">
        <f t="shared" si="88"/>
        <v>1614</v>
      </c>
      <c r="U1617" s="224">
        <f t="shared" si="89"/>
        <v>1</v>
      </c>
      <c r="V1617" s="225">
        <f t="shared" si="90"/>
        <v>2</v>
      </c>
      <c r="W1617" s="233">
        <f ca="1">$U1617*EWSpacingFt+XOffset+(PanArrayWidthHighEndFt-PanArrayWidthLowEndFt)/2</f>
        <v>30.000006832286932</v>
      </c>
      <c r="X1617" s="234">
        <f ca="1">$V1617*NSSpacingFt+YOffset+0</f>
        <v>35.999999999999979</v>
      </c>
      <c r="Y1617" s="235">
        <f ca="1">+$V1617*NSGradeFt+PedHeight+0</f>
        <v>7.401410761154855</v>
      </c>
      <c r="Z1617" s="214">
        <f ca="1">+$W1617</f>
        <v>30.000006832286932</v>
      </c>
      <c r="AA1617" s="214">
        <f ca="1">+$Y1617</f>
        <v>7.401410761154855</v>
      </c>
      <c r="AB1617" s="214">
        <f ca="1">+$X1617</f>
        <v>35.999999999999979</v>
      </c>
      <c r="AC1617" s="214">
        <f ca="1">+$W1617-XOffset</f>
        <v>30.000006832286932</v>
      </c>
    </row>
    <row r="1618" spans="19:29" ht="8.4" customHeight="1">
      <c r="S1618" s="307"/>
      <c r="T1618" s="226">
        <f t="shared" si="88"/>
        <v>1615</v>
      </c>
      <c r="U1618" s="224">
        <f t="shared" si="89"/>
        <v>1</v>
      </c>
      <c r="V1618" s="225">
        <f t="shared" si="90"/>
        <v>2</v>
      </c>
      <c r="W1618" s="236">
        <f ca="1">+$U1618*EWSpacingFt+XOffset+PanArrayWidthHighEndFt-(PanArrayWidthHighEndFt-PanArrayWidthLowEndFt)/2</f>
        <v>40.802828354596642</v>
      </c>
      <c r="X1618" s="240">
        <f ca="1">$V1618*NSSpacingFt+YOffset+0</f>
        <v>35.999999999999979</v>
      </c>
      <c r="Y1618" s="244">
        <f ca="1">+$V1618*NSGradeFt+PedHeight+0</f>
        <v>7.401410761154855</v>
      </c>
      <c r="Z1618" s="214">
        <f ca="1">+$W1618</f>
        <v>40.802828354596642</v>
      </c>
      <c r="AA1618" s="214">
        <f ca="1">+$Y1618</f>
        <v>7.401410761154855</v>
      </c>
      <c r="AB1618" s="214">
        <f ca="1">+$X1618</f>
        <v>35.999999999999979</v>
      </c>
      <c r="AC1618" s="214">
        <f ca="1">+$W1618-XOffset</f>
        <v>40.802828354596642</v>
      </c>
    </row>
    <row r="1619" spans="19:29" ht="8.4" customHeight="1">
      <c r="S1619" s="307"/>
      <c r="T1619" s="226">
        <f t="shared" si="88"/>
        <v>1616</v>
      </c>
      <c r="U1619" s="224">
        <f t="shared" si="89"/>
        <v>1</v>
      </c>
      <c r="V1619" s="225">
        <f t="shared" si="90"/>
        <v>2</v>
      </c>
      <c r="W1619" s="237">
        <f ca="1">$U1619*EWSpacingFt+XOffset+PanArrayWidthHighEndFt</f>
        <v>40.802828354596642</v>
      </c>
      <c r="X1619" s="241">
        <f ca="1">$V1619*NSSpacingFt+YOffset+PanArrayLenFt*COS(RADIANS(Latitude+DecAng))</f>
        <v>52.439632545931744</v>
      </c>
      <c r="Y1619" s="245">
        <f ca="1">+$V1619*NSGradeFt+PedHeight+PanArrayLenFt*SIN(RADIANS(Latitude+DecAng))</f>
        <v>7.401410761154855</v>
      </c>
      <c r="Z1619" s="214">
        <f ca="1">+$W1619</f>
        <v>40.802828354596642</v>
      </c>
      <c r="AA1619" s="214">
        <f ca="1">+$Y1619</f>
        <v>7.401410761154855</v>
      </c>
      <c r="AB1619" s="214">
        <f ca="1">+$X1619</f>
        <v>52.439632545931744</v>
      </c>
      <c r="AC1619" s="214">
        <f ca="1">+$W1619-XOffset</f>
        <v>40.802828354596642</v>
      </c>
    </row>
    <row r="1620" spans="19:29" ht="8.4" customHeight="1">
      <c r="S1620" s="307"/>
      <c r="T1620" s="226">
        <f t="shared" si="88"/>
        <v>1617</v>
      </c>
      <c r="U1620" s="224">
        <f t="shared" si="89"/>
        <v>1</v>
      </c>
      <c r="V1620" s="225">
        <f t="shared" si="90"/>
        <v>2</v>
      </c>
      <c r="W1620" s="238">
        <f ca="1">$U1620*EWSpacingFt+XOffset+0</f>
        <v>30.000006832286932</v>
      </c>
      <c r="X1620" s="242">
        <f ca="1">$V1620*NSSpacingFt+YOffset+PanArrayLenFt*COS(RADIANS(Latitude+DecAng))</f>
        <v>52.439632545931744</v>
      </c>
      <c r="Y1620" s="246">
        <f ca="1">+$V1620*NSGradeFt+PedHeight+PanArrayLenFt*SIN(RADIANS(Latitude+DecAng))</f>
        <v>7.401410761154855</v>
      </c>
      <c r="Z1620" s="214">
        <f ca="1">+$W1620</f>
        <v>30.000006832286932</v>
      </c>
      <c r="AA1620" s="214">
        <f ca="1">+$Y1620</f>
        <v>7.401410761154855</v>
      </c>
      <c r="AB1620" s="214">
        <f ca="1">+$X1620</f>
        <v>52.439632545931744</v>
      </c>
      <c r="AC1620" s="214">
        <f ca="1">+$W1620-XOffset</f>
        <v>30.000006832286932</v>
      </c>
    </row>
    <row r="1621" spans="19:29" ht="8.4" customHeight="1">
      <c r="S1621" s="307"/>
      <c r="T1621" s="226">
        <f t="shared" si="88"/>
        <v>1618</v>
      </c>
      <c r="U1621" s="224">
        <f t="shared" si="89"/>
        <v>1</v>
      </c>
      <c r="V1621" s="225">
        <f t="shared" si="90"/>
        <v>2</v>
      </c>
      <c r="W1621" s="239">
        <f ca="1">$U1621*EWSpacingFt+XOffset+(PanArrayWidthHighEndFt-PanArrayWidthLowEndFt)/2</f>
        <v>30.000006832286932</v>
      </c>
      <c r="X1621" s="243">
        <f ca="1">$V1621*NSSpacingFt+YOffset+0</f>
        <v>35.999999999999979</v>
      </c>
      <c r="Y1621" s="247">
        <f ca="1">+$V1621*NSGradeFt+PedHeight+0</f>
        <v>7.401410761154855</v>
      </c>
      <c r="Z1621" s="214">
        <f ca="1">+$W1621</f>
        <v>30.000006832286932</v>
      </c>
      <c r="AA1621" s="214">
        <f ca="1">+$Y1621</f>
        <v>7.401410761154855</v>
      </c>
      <c r="AB1621" s="214">
        <f ca="1">+$X1621</f>
        <v>35.999999999999979</v>
      </c>
      <c r="AC1621" s="214">
        <f ca="1">+$W1621-XOffset</f>
        <v>30.000006832286932</v>
      </c>
    </row>
    <row r="1622" spans="19:29" ht="8.4" customHeight="1">
      <c r="S1622" s="307"/>
      <c r="T1622" s="226">
        <f t="shared" si="88"/>
        <v>1619</v>
      </c>
      <c r="U1622" s="224">
        <f t="shared" si="89"/>
        <v>1</v>
      </c>
      <c r="V1622" s="225">
        <f t="shared" si="90"/>
        <v>2</v>
      </c>
      <c r="W1622" s="217"/>
      <c r="X1622" s="217"/>
      <c r="Y1622" s="217"/>
      <c r="Z1622" s="214"/>
      <c r="AA1622" s="214"/>
      <c r="AB1622" s="214"/>
      <c r="AC1622" s="214"/>
    </row>
    <row r="1623" spans="19:29" ht="8.4" customHeight="1">
      <c r="S1623" s="307">
        <f>INT((T1623-0)/6)+1</f>
        <v>271</v>
      </c>
      <c r="T1623" s="226">
        <f t="shared" si="88"/>
        <v>1620</v>
      </c>
      <c r="U1623" s="224">
        <f t="shared" si="89"/>
        <v>0</v>
      </c>
      <c r="V1623" s="225">
        <f t="shared" si="90"/>
        <v>3</v>
      </c>
      <c r="W1623" s="233">
        <f ca="1">$U1623*EWSpacingFt+XOffset+(PanArrayWidthHighEndFt-PanArrayWidthLowEndFt)/2</f>
        <v>0</v>
      </c>
      <c r="X1623" s="234">
        <f ca="1">$V1623*NSSpacingFt+YOffset+0</f>
        <v>53.999999999999972</v>
      </c>
      <c r="Y1623" s="235">
        <f ca="1">+$V1623*NSGradeFt+PedHeight+0</f>
        <v>7.401410761154855</v>
      </c>
      <c r="Z1623" s="214">
        <f ca="1">+$W1623</f>
        <v>0</v>
      </c>
      <c r="AA1623" s="214">
        <f ca="1">+$Y1623</f>
        <v>7.401410761154855</v>
      </c>
      <c r="AB1623" s="214">
        <f ca="1">+$X1623</f>
        <v>53.999999999999972</v>
      </c>
      <c r="AC1623" s="214">
        <f ca="1">+$W1623-XOffset</f>
        <v>0</v>
      </c>
    </row>
    <row r="1624" spans="19:29" ht="8.4" customHeight="1">
      <c r="S1624" s="307"/>
      <c r="T1624" s="226">
        <f t="shared" si="88"/>
        <v>1621</v>
      </c>
      <c r="U1624" s="224">
        <f t="shared" si="89"/>
        <v>0</v>
      </c>
      <c r="V1624" s="225">
        <f t="shared" si="90"/>
        <v>3</v>
      </c>
      <c r="W1624" s="236">
        <f ca="1">+$U1624*EWSpacingFt+XOffset+PanArrayWidthHighEndFt-(PanArrayWidthHighEndFt-PanArrayWidthLowEndFt)/2</f>
        <v>10.80282152230971</v>
      </c>
      <c r="X1624" s="240">
        <f ca="1">$V1624*NSSpacingFt+YOffset+0</f>
        <v>53.999999999999972</v>
      </c>
      <c r="Y1624" s="244">
        <f ca="1">+$V1624*NSGradeFt+PedHeight+0</f>
        <v>7.401410761154855</v>
      </c>
      <c r="Z1624" s="214">
        <f ca="1">+$W1624</f>
        <v>10.80282152230971</v>
      </c>
      <c r="AA1624" s="214">
        <f ca="1">+$Y1624</f>
        <v>7.401410761154855</v>
      </c>
      <c r="AB1624" s="214">
        <f ca="1">+$X1624</f>
        <v>53.999999999999972</v>
      </c>
      <c r="AC1624" s="214">
        <f ca="1">+$W1624-XOffset</f>
        <v>10.80282152230971</v>
      </c>
    </row>
    <row r="1625" spans="19:29" ht="8.4" customHeight="1">
      <c r="S1625" s="307"/>
      <c r="T1625" s="226">
        <f t="shared" si="88"/>
        <v>1622</v>
      </c>
      <c r="U1625" s="224">
        <f t="shared" si="89"/>
        <v>0</v>
      </c>
      <c r="V1625" s="225">
        <f t="shared" si="90"/>
        <v>3</v>
      </c>
      <c r="W1625" s="237">
        <f ca="1">$U1625*EWSpacingFt+XOffset+PanArrayWidthHighEndFt</f>
        <v>10.80282152230971</v>
      </c>
      <c r="X1625" s="241">
        <f ca="1">$V1625*NSSpacingFt+YOffset+PanArrayLenFt*COS(RADIANS(Latitude+DecAng))</f>
        <v>70.43963254593173</v>
      </c>
      <c r="Y1625" s="245">
        <f ca="1">+$V1625*NSGradeFt+PedHeight+PanArrayLenFt*SIN(RADIANS(Latitude+DecAng))</f>
        <v>7.401410761154855</v>
      </c>
      <c r="Z1625" s="214">
        <f ca="1">+$W1625</f>
        <v>10.80282152230971</v>
      </c>
      <c r="AA1625" s="214">
        <f ca="1">+$Y1625</f>
        <v>7.401410761154855</v>
      </c>
      <c r="AB1625" s="214">
        <f ca="1">+$X1625</f>
        <v>70.43963254593173</v>
      </c>
      <c r="AC1625" s="214">
        <f ca="1">+$W1625-XOffset</f>
        <v>10.80282152230971</v>
      </c>
    </row>
    <row r="1626" spans="19:29" ht="8.4" customHeight="1">
      <c r="S1626" s="307"/>
      <c r="T1626" s="226">
        <f t="shared" si="88"/>
        <v>1623</v>
      </c>
      <c r="U1626" s="224">
        <f t="shared" si="89"/>
        <v>0</v>
      </c>
      <c r="V1626" s="225">
        <f t="shared" si="90"/>
        <v>3</v>
      </c>
      <c r="W1626" s="238">
        <f ca="1">$U1626*EWSpacingFt+XOffset+0</f>
        <v>0</v>
      </c>
      <c r="X1626" s="242">
        <f ca="1">$V1626*NSSpacingFt+YOffset+PanArrayLenFt*COS(RADIANS(Latitude+DecAng))</f>
        <v>70.43963254593173</v>
      </c>
      <c r="Y1626" s="246">
        <f ca="1">+$V1626*NSGradeFt+PedHeight+PanArrayLenFt*SIN(RADIANS(Latitude+DecAng))</f>
        <v>7.401410761154855</v>
      </c>
      <c r="Z1626" s="214">
        <f ca="1">+$W1626</f>
        <v>0</v>
      </c>
      <c r="AA1626" s="214">
        <f ca="1">+$Y1626</f>
        <v>7.401410761154855</v>
      </c>
      <c r="AB1626" s="214">
        <f ca="1">+$X1626</f>
        <v>70.43963254593173</v>
      </c>
      <c r="AC1626" s="214">
        <f ca="1">+$W1626-XOffset</f>
        <v>0</v>
      </c>
    </row>
    <row r="1627" spans="19:29" ht="8.4" customHeight="1">
      <c r="S1627" s="307"/>
      <c r="T1627" s="226">
        <f t="shared" si="88"/>
        <v>1624</v>
      </c>
      <c r="U1627" s="224">
        <f t="shared" si="89"/>
        <v>0</v>
      </c>
      <c r="V1627" s="225">
        <f t="shared" si="90"/>
        <v>3</v>
      </c>
      <c r="W1627" s="239">
        <f ca="1">$U1627*EWSpacingFt+XOffset+(PanArrayWidthHighEndFt-PanArrayWidthLowEndFt)/2</f>
        <v>0</v>
      </c>
      <c r="X1627" s="243">
        <f ca="1">$V1627*NSSpacingFt+YOffset+0</f>
        <v>53.999999999999972</v>
      </c>
      <c r="Y1627" s="247">
        <f ca="1">+$V1627*NSGradeFt+PedHeight+0</f>
        <v>7.401410761154855</v>
      </c>
      <c r="Z1627" s="214">
        <f ca="1">+$W1627</f>
        <v>0</v>
      </c>
      <c r="AA1627" s="214">
        <f ca="1">+$Y1627</f>
        <v>7.401410761154855</v>
      </c>
      <c r="AB1627" s="214">
        <f ca="1">+$X1627</f>
        <v>53.999999999999972</v>
      </c>
      <c r="AC1627" s="214">
        <f ca="1">+$W1627-XOffset</f>
        <v>0</v>
      </c>
    </row>
    <row r="1628" spans="19:29" ht="8.4" customHeight="1">
      <c r="S1628" s="307"/>
      <c r="T1628" s="226">
        <f t="shared" si="88"/>
        <v>1625</v>
      </c>
      <c r="U1628" s="224">
        <f t="shared" si="89"/>
        <v>0</v>
      </c>
      <c r="V1628" s="225">
        <f t="shared" si="90"/>
        <v>3</v>
      </c>
      <c r="W1628" s="217"/>
      <c r="X1628" s="217"/>
      <c r="Y1628" s="217"/>
      <c r="Z1628" s="214"/>
      <c r="AA1628" s="214"/>
      <c r="AB1628" s="214"/>
      <c r="AC1628" s="214"/>
    </row>
    <row r="1629" spans="19:29" ht="8.4" customHeight="1">
      <c r="S1629" s="307">
        <f>INT((T1629-0)/6)+1</f>
        <v>272</v>
      </c>
      <c r="T1629" s="226">
        <f t="shared" si="88"/>
        <v>1626</v>
      </c>
      <c r="U1629" s="224">
        <f t="shared" si="89"/>
        <v>1</v>
      </c>
      <c r="V1629" s="225">
        <f t="shared" si="90"/>
        <v>3</v>
      </c>
      <c r="W1629" s="233">
        <f ca="1">$U1629*EWSpacingFt+XOffset+(PanArrayWidthHighEndFt-PanArrayWidthLowEndFt)/2</f>
        <v>30.000006832286932</v>
      </c>
      <c r="X1629" s="234">
        <f ca="1">$V1629*NSSpacingFt+YOffset+0</f>
        <v>53.999999999999972</v>
      </c>
      <c r="Y1629" s="235">
        <f ca="1">+$V1629*NSGradeFt+PedHeight+0</f>
        <v>7.401410761154855</v>
      </c>
      <c r="Z1629" s="214">
        <f ca="1">+$W1629</f>
        <v>30.000006832286932</v>
      </c>
      <c r="AA1629" s="214">
        <f ca="1">+$Y1629</f>
        <v>7.401410761154855</v>
      </c>
      <c r="AB1629" s="214">
        <f ca="1">+$X1629</f>
        <v>53.999999999999972</v>
      </c>
      <c r="AC1629" s="214">
        <f ca="1">+$W1629-XOffset</f>
        <v>30.000006832286932</v>
      </c>
    </row>
    <row r="1630" spans="19:29" ht="8.4" customHeight="1">
      <c r="S1630" s="307"/>
      <c r="T1630" s="226">
        <f t="shared" si="88"/>
        <v>1627</v>
      </c>
      <c r="U1630" s="224">
        <f t="shared" si="89"/>
        <v>1</v>
      </c>
      <c r="V1630" s="225">
        <f t="shared" si="90"/>
        <v>3</v>
      </c>
      <c r="W1630" s="236">
        <f ca="1">+$U1630*EWSpacingFt+XOffset+PanArrayWidthHighEndFt-(PanArrayWidthHighEndFt-PanArrayWidthLowEndFt)/2</f>
        <v>40.802828354596642</v>
      </c>
      <c r="X1630" s="240">
        <f ca="1">$V1630*NSSpacingFt+YOffset+0</f>
        <v>53.999999999999972</v>
      </c>
      <c r="Y1630" s="244">
        <f ca="1">+$V1630*NSGradeFt+PedHeight+0</f>
        <v>7.401410761154855</v>
      </c>
      <c r="Z1630" s="214">
        <f ca="1">+$W1630</f>
        <v>40.802828354596642</v>
      </c>
      <c r="AA1630" s="214">
        <f ca="1">+$Y1630</f>
        <v>7.401410761154855</v>
      </c>
      <c r="AB1630" s="214">
        <f ca="1">+$X1630</f>
        <v>53.999999999999972</v>
      </c>
      <c r="AC1630" s="214">
        <f ca="1">+$W1630-XOffset</f>
        <v>40.802828354596642</v>
      </c>
    </row>
    <row r="1631" spans="19:29" ht="8.4" customHeight="1">
      <c r="S1631" s="307"/>
      <c r="T1631" s="226">
        <f t="shared" si="88"/>
        <v>1628</v>
      </c>
      <c r="U1631" s="224">
        <f t="shared" si="89"/>
        <v>1</v>
      </c>
      <c r="V1631" s="225">
        <f t="shared" si="90"/>
        <v>3</v>
      </c>
      <c r="W1631" s="237">
        <f ca="1">$U1631*EWSpacingFt+XOffset+PanArrayWidthHighEndFt</f>
        <v>40.802828354596642</v>
      </c>
      <c r="X1631" s="241">
        <f ca="1">$V1631*NSSpacingFt+YOffset+PanArrayLenFt*COS(RADIANS(Latitude+DecAng))</f>
        <v>70.43963254593173</v>
      </c>
      <c r="Y1631" s="245">
        <f ca="1">+$V1631*NSGradeFt+PedHeight+PanArrayLenFt*SIN(RADIANS(Latitude+DecAng))</f>
        <v>7.401410761154855</v>
      </c>
      <c r="Z1631" s="214">
        <f ca="1">+$W1631</f>
        <v>40.802828354596642</v>
      </c>
      <c r="AA1631" s="214">
        <f ca="1">+$Y1631</f>
        <v>7.401410761154855</v>
      </c>
      <c r="AB1631" s="214">
        <f ca="1">+$X1631</f>
        <v>70.43963254593173</v>
      </c>
      <c r="AC1631" s="214">
        <f ca="1">+$W1631-XOffset</f>
        <v>40.802828354596642</v>
      </c>
    </row>
    <row r="1632" spans="19:29" ht="8.4" customHeight="1">
      <c r="S1632" s="307"/>
      <c r="T1632" s="226">
        <f t="shared" si="88"/>
        <v>1629</v>
      </c>
      <c r="U1632" s="224">
        <f t="shared" si="89"/>
        <v>1</v>
      </c>
      <c r="V1632" s="225">
        <f t="shared" si="90"/>
        <v>3</v>
      </c>
      <c r="W1632" s="238">
        <f ca="1">$U1632*EWSpacingFt+XOffset+0</f>
        <v>30.000006832286932</v>
      </c>
      <c r="X1632" s="242">
        <f ca="1">$V1632*NSSpacingFt+YOffset+PanArrayLenFt*COS(RADIANS(Latitude+DecAng))</f>
        <v>70.43963254593173</v>
      </c>
      <c r="Y1632" s="246">
        <f ca="1">+$V1632*NSGradeFt+PedHeight+PanArrayLenFt*SIN(RADIANS(Latitude+DecAng))</f>
        <v>7.401410761154855</v>
      </c>
      <c r="Z1632" s="214">
        <f ca="1">+$W1632</f>
        <v>30.000006832286932</v>
      </c>
      <c r="AA1632" s="214">
        <f ca="1">+$Y1632</f>
        <v>7.401410761154855</v>
      </c>
      <c r="AB1632" s="214">
        <f ca="1">+$X1632</f>
        <v>70.43963254593173</v>
      </c>
      <c r="AC1632" s="214">
        <f ca="1">+$W1632-XOffset</f>
        <v>30.000006832286932</v>
      </c>
    </row>
    <row r="1633" spans="19:29" ht="8.4" customHeight="1">
      <c r="S1633" s="307"/>
      <c r="T1633" s="226">
        <f t="shared" si="88"/>
        <v>1630</v>
      </c>
      <c r="U1633" s="224">
        <f t="shared" si="89"/>
        <v>1</v>
      </c>
      <c r="V1633" s="225">
        <f t="shared" si="90"/>
        <v>3</v>
      </c>
      <c r="W1633" s="239">
        <f ca="1">$U1633*EWSpacingFt+XOffset+(PanArrayWidthHighEndFt-PanArrayWidthLowEndFt)/2</f>
        <v>30.000006832286932</v>
      </c>
      <c r="X1633" s="243">
        <f ca="1">$V1633*NSSpacingFt+YOffset+0</f>
        <v>53.999999999999972</v>
      </c>
      <c r="Y1633" s="247">
        <f ca="1">+$V1633*NSGradeFt+PedHeight+0</f>
        <v>7.401410761154855</v>
      </c>
      <c r="Z1633" s="214">
        <f ca="1">+$W1633</f>
        <v>30.000006832286932</v>
      </c>
      <c r="AA1633" s="214">
        <f ca="1">+$Y1633</f>
        <v>7.401410761154855</v>
      </c>
      <c r="AB1633" s="214">
        <f ca="1">+$X1633</f>
        <v>53.999999999999972</v>
      </c>
      <c r="AC1633" s="214">
        <f ca="1">+$W1633-XOffset</f>
        <v>30.000006832286932</v>
      </c>
    </row>
    <row r="1634" spans="19:29" ht="8.4" customHeight="1">
      <c r="S1634" s="307"/>
      <c r="T1634" s="226">
        <f t="shared" si="88"/>
        <v>1631</v>
      </c>
      <c r="U1634" s="224">
        <f t="shared" si="89"/>
        <v>1</v>
      </c>
      <c r="V1634" s="225">
        <f t="shared" si="90"/>
        <v>3</v>
      </c>
      <c r="W1634" s="217"/>
      <c r="X1634" s="217"/>
      <c r="Y1634" s="217"/>
      <c r="Z1634" s="214"/>
      <c r="AA1634" s="214"/>
      <c r="AB1634" s="214"/>
      <c r="AC1634" s="214"/>
    </row>
    <row r="1635" spans="19:29" ht="8.4" customHeight="1">
      <c r="S1635" s="307">
        <f>INT((T1635-0)/6)+1</f>
        <v>273</v>
      </c>
      <c r="T1635" s="226">
        <f t="shared" si="88"/>
        <v>1632</v>
      </c>
      <c r="U1635" s="224">
        <f t="shared" si="89"/>
        <v>0</v>
      </c>
      <c r="V1635" s="225">
        <f t="shared" si="90"/>
        <v>0</v>
      </c>
      <c r="W1635" s="233">
        <f ca="1">$U1635*EWSpacingFt+XOffset+(PanArrayWidthHighEndFt-PanArrayWidthLowEndFt)/2</f>
        <v>0</v>
      </c>
      <c r="X1635" s="234">
        <f ca="1">$V1635*NSSpacingFt+YOffset+0</f>
        <v>0</v>
      </c>
      <c r="Y1635" s="235">
        <f ca="1">+$V1635*NSGradeFt+PedHeight+0</f>
        <v>7.401410761154855</v>
      </c>
      <c r="Z1635" s="214">
        <f ca="1">+$W1635</f>
        <v>0</v>
      </c>
      <c r="AA1635" s="214">
        <f ca="1">+$Y1635</f>
        <v>7.401410761154855</v>
      </c>
      <c r="AB1635" s="214">
        <f ca="1">+$X1635</f>
        <v>0</v>
      </c>
      <c r="AC1635" s="214">
        <f ca="1">+$W1635-XOffset</f>
        <v>0</v>
      </c>
    </row>
    <row r="1636" spans="19:29" ht="8.4" customHeight="1">
      <c r="S1636" s="307"/>
      <c r="T1636" s="226">
        <f t="shared" si="88"/>
        <v>1633</v>
      </c>
      <c r="U1636" s="224">
        <f t="shared" si="89"/>
        <v>0</v>
      </c>
      <c r="V1636" s="225">
        <f t="shared" si="90"/>
        <v>0</v>
      </c>
      <c r="W1636" s="236">
        <f ca="1">+$U1636*EWSpacingFt+XOffset+PanArrayWidthHighEndFt-(PanArrayWidthHighEndFt-PanArrayWidthLowEndFt)/2</f>
        <v>10.80282152230971</v>
      </c>
      <c r="X1636" s="240">
        <f ca="1">$V1636*NSSpacingFt+YOffset+0</f>
        <v>0</v>
      </c>
      <c r="Y1636" s="244">
        <f ca="1">+$V1636*NSGradeFt+PedHeight+0</f>
        <v>7.401410761154855</v>
      </c>
      <c r="Z1636" s="214">
        <f ca="1">+$W1636</f>
        <v>10.80282152230971</v>
      </c>
      <c r="AA1636" s="214">
        <f ca="1">+$Y1636</f>
        <v>7.401410761154855</v>
      </c>
      <c r="AB1636" s="214">
        <f ca="1">+$X1636</f>
        <v>0</v>
      </c>
      <c r="AC1636" s="214">
        <f ca="1">+$W1636-XOffset</f>
        <v>10.80282152230971</v>
      </c>
    </row>
    <row r="1637" spans="19:29" ht="8.4" customHeight="1">
      <c r="S1637" s="307"/>
      <c r="T1637" s="226">
        <f t="shared" ref="T1637:T1700" si="91">+T1636+1</f>
        <v>1634</v>
      </c>
      <c r="U1637" s="224">
        <f t="shared" si="89"/>
        <v>0</v>
      </c>
      <c r="V1637" s="225">
        <f t="shared" si="90"/>
        <v>0</v>
      </c>
      <c r="W1637" s="237">
        <f ca="1">$U1637*EWSpacingFt+XOffset+PanArrayWidthHighEndFt</f>
        <v>10.80282152230971</v>
      </c>
      <c r="X1637" s="241">
        <f ca="1">$V1637*NSSpacingFt+YOffset+PanArrayLenFt*COS(RADIANS(Latitude+DecAng))</f>
        <v>16.439632545931762</v>
      </c>
      <c r="Y1637" s="245">
        <f ca="1">+$V1637*NSGradeFt+PedHeight+PanArrayLenFt*SIN(RADIANS(Latitude+DecAng))</f>
        <v>7.401410761154855</v>
      </c>
      <c r="Z1637" s="214">
        <f ca="1">+$W1637</f>
        <v>10.80282152230971</v>
      </c>
      <c r="AA1637" s="214">
        <f ca="1">+$Y1637</f>
        <v>7.401410761154855</v>
      </c>
      <c r="AB1637" s="214">
        <f ca="1">+$X1637</f>
        <v>16.439632545931762</v>
      </c>
      <c r="AC1637" s="214">
        <f ca="1">+$W1637-XOffset</f>
        <v>10.80282152230971</v>
      </c>
    </row>
    <row r="1638" spans="19:29" ht="8.4" customHeight="1">
      <c r="S1638" s="307"/>
      <c r="T1638" s="226">
        <f t="shared" si="91"/>
        <v>1635</v>
      </c>
      <c r="U1638" s="224">
        <f t="shared" si="89"/>
        <v>0</v>
      </c>
      <c r="V1638" s="225">
        <f t="shared" si="90"/>
        <v>0</v>
      </c>
      <c r="W1638" s="238">
        <f ca="1">$U1638*EWSpacingFt+XOffset+0</f>
        <v>0</v>
      </c>
      <c r="X1638" s="242">
        <f ca="1">$V1638*NSSpacingFt+YOffset+PanArrayLenFt*COS(RADIANS(Latitude+DecAng))</f>
        <v>16.439632545931762</v>
      </c>
      <c r="Y1638" s="246">
        <f ca="1">+$V1638*NSGradeFt+PedHeight+PanArrayLenFt*SIN(RADIANS(Latitude+DecAng))</f>
        <v>7.401410761154855</v>
      </c>
      <c r="Z1638" s="214">
        <f ca="1">+$W1638</f>
        <v>0</v>
      </c>
      <c r="AA1638" s="214">
        <f ca="1">+$Y1638</f>
        <v>7.401410761154855</v>
      </c>
      <c r="AB1638" s="214">
        <f ca="1">+$X1638</f>
        <v>16.439632545931762</v>
      </c>
      <c r="AC1638" s="214">
        <f ca="1">+$W1638-XOffset</f>
        <v>0</v>
      </c>
    </row>
    <row r="1639" spans="19:29" ht="8.4" customHeight="1">
      <c r="S1639" s="307"/>
      <c r="T1639" s="226">
        <f t="shared" si="91"/>
        <v>1636</v>
      </c>
      <c r="U1639" s="224">
        <f t="shared" si="89"/>
        <v>0</v>
      </c>
      <c r="V1639" s="225">
        <f t="shared" si="90"/>
        <v>0</v>
      </c>
      <c r="W1639" s="239">
        <f ca="1">$U1639*EWSpacingFt+XOffset+(PanArrayWidthHighEndFt-PanArrayWidthLowEndFt)/2</f>
        <v>0</v>
      </c>
      <c r="X1639" s="243">
        <f ca="1">$V1639*NSSpacingFt+YOffset+0</f>
        <v>0</v>
      </c>
      <c r="Y1639" s="247">
        <f ca="1">+$V1639*NSGradeFt+PedHeight+0</f>
        <v>7.401410761154855</v>
      </c>
      <c r="Z1639" s="214">
        <f ca="1">+$W1639</f>
        <v>0</v>
      </c>
      <c r="AA1639" s="214">
        <f ca="1">+$Y1639</f>
        <v>7.401410761154855</v>
      </c>
      <c r="AB1639" s="214">
        <f ca="1">+$X1639</f>
        <v>0</v>
      </c>
      <c r="AC1639" s="214">
        <f ca="1">+$W1639-XOffset</f>
        <v>0</v>
      </c>
    </row>
    <row r="1640" spans="19:29" ht="8.4" customHeight="1">
      <c r="S1640" s="307"/>
      <c r="T1640" s="226">
        <f t="shared" si="91"/>
        <v>1637</v>
      </c>
      <c r="U1640" s="224">
        <f t="shared" si="89"/>
        <v>0</v>
      </c>
      <c r="V1640" s="225">
        <f t="shared" si="90"/>
        <v>0</v>
      </c>
      <c r="W1640" s="217"/>
      <c r="X1640" s="217"/>
      <c r="Y1640" s="217"/>
      <c r="Z1640" s="214"/>
      <c r="AA1640" s="214"/>
      <c r="AB1640" s="214"/>
      <c r="AC1640" s="214"/>
    </row>
    <row r="1641" spans="19:29" ht="8.4" customHeight="1">
      <c r="S1641" s="307">
        <f>INT((T1641-0)/6)+1</f>
        <v>274</v>
      </c>
      <c r="T1641" s="226">
        <f t="shared" si="91"/>
        <v>1638</v>
      </c>
      <c r="U1641" s="224">
        <f t="shared" si="89"/>
        <v>1</v>
      </c>
      <c r="V1641" s="225">
        <f t="shared" si="90"/>
        <v>0</v>
      </c>
      <c r="W1641" s="233">
        <f ca="1">$U1641*EWSpacingFt+XOffset+(PanArrayWidthHighEndFt-PanArrayWidthLowEndFt)/2</f>
        <v>30.000006832286932</v>
      </c>
      <c r="X1641" s="234">
        <f ca="1">$V1641*NSSpacingFt+YOffset+0</f>
        <v>0</v>
      </c>
      <c r="Y1641" s="235">
        <f ca="1">+$V1641*NSGradeFt+PedHeight+0</f>
        <v>7.401410761154855</v>
      </c>
      <c r="Z1641" s="214">
        <f ca="1">+$W1641</f>
        <v>30.000006832286932</v>
      </c>
      <c r="AA1641" s="214">
        <f ca="1">+$Y1641</f>
        <v>7.401410761154855</v>
      </c>
      <c r="AB1641" s="214">
        <f ca="1">+$X1641</f>
        <v>0</v>
      </c>
      <c r="AC1641" s="214">
        <f ca="1">+$W1641-XOffset</f>
        <v>30.000006832286932</v>
      </c>
    </row>
    <row r="1642" spans="19:29" ht="8.4" customHeight="1">
      <c r="S1642" s="307"/>
      <c r="T1642" s="226">
        <f t="shared" si="91"/>
        <v>1639</v>
      </c>
      <c r="U1642" s="224">
        <f t="shared" si="89"/>
        <v>1</v>
      </c>
      <c r="V1642" s="225">
        <f t="shared" si="90"/>
        <v>0</v>
      </c>
      <c r="W1642" s="236">
        <f ca="1">+$U1642*EWSpacingFt+XOffset+PanArrayWidthHighEndFt-(PanArrayWidthHighEndFt-PanArrayWidthLowEndFt)/2</f>
        <v>40.802828354596642</v>
      </c>
      <c r="X1642" s="240">
        <f ca="1">$V1642*NSSpacingFt+YOffset+0</f>
        <v>0</v>
      </c>
      <c r="Y1642" s="244">
        <f ca="1">+$V1642*NSGradeFt+PedHeight+0</f>
        <v>7.401410761154855</v>
      </c>
      <c r="Z1642" s="214">
        <f ca="1">+$W1642</f>
        <v>40.802828354596642</v>
      </c>
      <c r="AA1642" s="214">
        <f ca="1">+$Y1642</f>
        <v>7.401410761154855</v>
      </c>
      <c r="AB1642" s="214">
        <f ca="1">+$X1642</f>
        <v>0</v>
      </c>
      <c r="AC1642" s="214">
        <f ca="1">+$W1642-XOffset</f>
        <v>40.802828354596642</v>
      </c>
    </row>
    <row r="1643" spans="19:29" ht="8.4" customHeight="1">
      <c r="S1643" s="307"/>
      <c r="T1643" s="226">
        <f t="shared" si="91"/>
        <v>1640</v>
      </c>
      <c r="U1643" s="224">
        <f t="shared" si="89"/>
        <v>1</v>
      </c>
      <c r="V1643" s="225">
        <f t="shared" si="90"/>
        <v>0</v>
      </c>
      <c r="W1643" s="237">
        <f ca="1">$U1643*EWSpacingFt+XOffset+PanArrayWidthHighEndFt</f>
        <v>40.802828354596642</v>
      </c>
      <c r="X1643" s="241">
        <f ca="1">$V1643*NSSpacingFt+YOffset+PanArrayLenFt*COS(RADIANS(Latitude+DecAng))</f>
        <v>16.439632545931762</v>
      </c>
      <c r="Y1643" s="245">
        <f ca="1">+$V1643*NSGradeFt+PedHeight+PanArrayLenFt*SIN(RADIANS(Latitude+DecAng))</f>
        <v>7.401410761154855</v>
      </c>
      <c r="Z1643" s="214">
        <f ca="1">+$W1643</f>
        <v>40.802828354596642</v>
      </c>
      <c r="AA1643" s="214">
        <f ca="1">+$Y1643</f>
        <v>7.401410761154855</v>
      </c>
      <c r="AB1643" s="214">
        <f ca="1">+$X1643</f>
        <v>16.439632545931762</v>
      </c>
      <c r="AC1643" s="214">
        <f ca="1">+$W1643-XOffset</f>
        <v>40.802828354596642</v>
      </c>
    </row>
    <row r="1644" spans="19:29" ht="8.4" customHeight="1">
      <c r="S1644" s="307"/>
      <c r="T1644" s="226">
        <f t="shared" si="91"/>
        <v>1641</v>
      </c>
      <c r="U1644" s="224">
        <f t="shared" si="89"/>
        <v>1</v>
      </c>
      <c r="V1644" s="225">
        <f t="shared" si="90"/>
        <v>0</v>
      </c>
      <c r="W1644" s="238">
        <f ca="1">$U1644*EWSpacingFt+XOffset+0</f>
        <v>30.000006832286932</v>
      </c>
      <c r="X1644" s="242">
        <f ca="1">$V1644*NSSpacingFt+YOffset+PanArrayLenFt*COS(RADIANS(Latitude+DecAng))</f>
        <v>16.439632545931762</v>
      </c>
      <c r="Y1644" s="246">
        <f ca="1">+$V1644*NSGradeFt+PedHeight+PanArrayLenFt*SIN(RADIANS(Latitude+DecAng))</f>
        <v>7.401410761154855</v>
      </c>
      <c r="Z1644" s="214">
        <f ca="1">+$W1644</f>
        <v>30.000006832286932</v>
      </c>
      <c r="AA1644" s="214">
        <f ca="1">+$Y1644</f>
        <v>7.401410761154855</v>
      </c>
      <c r="AB1644" s="214">
        <f ca="1">+$X1644</f>
        <v>16.439632545931762</v>
      </c>
      <c r="AC1644" s="214">
        <f ca="1">+$W1644-XOffset</f>
        <v>30.000006832286932</v>
      </c>
    </row>
    <row r="1645" spans="19:29" ht="8.4" customHeight="1">
      <c r="S1645" s="307"/>
      <c r="T1645" s="226">
        <f t="shared" si="91"/>
        <v>1642</v>
      </c>
      <c r="U1645" s="224">
        <f t="shared" si="89"/>
        <v>1</v>
      </c>
      <c r="V1645" s="225">
        <f t="shared" si="90"/>
        <v>0</v>
      </c>
      <c r="W1645" s="239">
        <f ca="1">$U1645*EWSpacingFt+XOffset+(PanArrayWidthHighEndFt-PanArrayWidthLowEndFt)/2</f>
        <v>30.000006832286932</v>
      </c>
      <c r="X1645" s="243">
        <f ca="1">$V1645*NSSpacingFt+YOffset+0</f>
        <v>0</v>
      </c>
      <c r="Y1645" s="247">
        <f ca="1">+$V1645*NSGradeFt+PedHeight+0</f>
        <v>7.401410761154855</v>
      </c>
      <c r="Z1645" s="214">
        <f ca="1">+$W1645</f>
        <v>30.000006832286932</v>
      </c>
      <c r="AA1645" s="214">
        <f ca="1">+$Y1645</f>
        <v>7.401410761154855</v>
      </c>
      <c r="AB1645" s="214">
        <f ca="1">+$X1645</f>
        <v>0</v>
      </c>
      <c r="AC1645" s="214">
        <f ca="1">+$W1645-XOffset</f>
        <v>30.000006832286932</v>
      </c>
    </row>
    <row r="1646" spans="19:29" ht="8.4" customHeight="1">
      <c r="S1646" s="307"/>
      <c r="T1646" s="226">
        <f t="shared" si="91"/>
        <v>1643</v>
      </c>
      <c r="U1646" s="224">
        <f t="shared" si="89"/>
        <v>1</v>
      </c>
      <c r="V1646" s="225">
        <f t="shared" si="90"/>
        <v>0</v>
      </c>
      <c r="W1646" s="217"/>
      <c r="X1646" s="217"/>
      <c r="Y1646" s="217"/>
      <c r="Z1646" s="214"/>
      <c r="AA1646" s="214"/>
      <c r="AB1646" s="214"/>
      <c r="AC1646" s="214"/>
    </row>
    <row r="1647" spans="19:29" ht="8.4" customHeight="1">
      <c r="S1647" s="307">
        <f>INT((T1647-0)/6)+1</f>
        <v>275</v>
      </c>
      <c r="T1647" s="226">
        <f t="shared" si="91"/>
        <v>1644</v>
      </c>
      <c r="U1647" s="224">
        <f t="shared" si="89"/>
        <v>0</v>
      </c>
      <c r="V1647" s="225">
        <f t="shared" si="90"/>
        <v>1</v>
      </c>
      <c r="W1647" s="233">
        <f ca="1">$U1647*EWSpacingFt+XOffset+(PanArrayWidthHighEndFt-PanArrayWidthLowEndFt)/2</f>
        <v>0</v>
      </c>
      <c r="X1647" s="234">
        <f ca="1">$V1647*NSSpacingFt+YOffset+0</f>
        <v>17.999999999999989</v>
      </c>
      <c r="Y1647" s="235">
        <f ca="1">+$V1647*NSGradeFt+PedHeight+0</f>
        <v>7.401410761154855</v>
      </c>
      <c r="Z1647" s="214">
        <f ca="1">+$W1647</f>
        <v>0</v>
      </c>
      <c r="AA1647" s="214">
        <f ca="1">+$Y1647</f>
        <v>7.401410761154855</v>
      </c>
      <c r="AB1647" s="214">
        <f ca="1">+$X1647</f>
        <v>17.999999999999989</v>
      </c>
      <c r="AC1647" s="214">
        <f ca="1">+$W1647-XOffset</f>
        <v>0</v>
      </c>
    </row>
    <row r="1648" spans="19:29" ht="8.4" customHeight="1">
      <c r="S1648" s="307"/>
      <c r="T1648" s="226">
        <f t="shared" si="91"/>
        <v>1645</v>
      </c>
      <c r="U1648" s="224">
        <f t="shared" si="89"/>
        <v>0</v>
      </c>
      <c r="V1648" s="225">
        <f t="shared" si="90"/>
        <v>1</v>
      </c>
      <c r="W1648" s="236">
        <f ca="1">+$U1648*EWSpacingFt+XOffset+PanArrayWidthHighEndFt-(PanArrayWidthHighEndFt-PanArrayWidthLowEndFt)/2</f>
        <v>10.80282152230971</v>
      </c>
      <c r="X1648" s="240">
        <f ca="1">$V1648*NSSpacingFt+YOffset+0</f>
        <v>17.999999999999989</v>
      </c>
      <c r="Y1648" s="244">
        <f ca="1">+$V1648*NSGradeFt+PedHeight+0</f>
        <v>7.401410761154855</v>
      </c>
      <c r="Z1648" s="214">
        <f ca="1">+$W1648</f>
        <v>10.80282152230971</v>
      </c>
      <c r="AA1648" s="214">
        <f ca="1">+$Y1648</f>
        <v>7.401410761154855</v>
      </c>
      <c r="AB1648" s="214">
        <f ca="1">+$X1648</f>
        <v>17.999999999999989</v>
      </c>
      <c r="AC1648" s="214">
        <f ca="1">+$W1648-XOffset</f>
        <v>10.80282152230971</v>
      </c>
    </row>
    <row r="1649" spans="19:29" ht="8.4" customHeight="1">
      <c r="S1649" s="307"/>
      <c r="T1649" s="226">
        <f t="shared" si="91"/>
        <v>1646</v>
      </c>
      <c r="U1649" s="224">
        <f t="shared" si="89"/>
        <v>0</v>
      </c>
      <c r="V1649" s="225">
        <f t="shared" si="90"/>
        <v>1</v>
      </c>
      <c r="W1649" s="237">
        <f ca="1">$U1649*EWSpacingFt+XOffset+PanArrayWidthHighEndFt</f>
        <v>10.80282152230971</v>
      </c>
      <c r="X1649" s="241">
        <f ca="1">$V1649*NSSpacingFt+YOffset+PanArrayLenFt*COS(RADIANS(Latitude+DecAng))</f>
        <v>34.439632545931751</v>
      </c>
      <c r="Y1649" s="245">
        <f ca="1">+$V1649*NSGradeFt+PedHeight+PanArrayLenFt*SIN(RADIANS(Latitude+DecAng))</f>
        <v>7.401410761154855</v>
      </c>
      <c r="Z1649" s="214">
        <f ca="1">+$W1649</f>
        <v>10.80282152230971</v>
      </c>
      <c r="AA1649" s="214">
        <f ca="1">+$Y1649</f>
        <v>7.401410761154855</v>
      </c>
      <c r="AB1649" s="214">
        <f ca="1">+$X1649</f>
        <v>34.439632545931751</v>
      </c>
      <c r="AC1649" s="214">
        <f ca="1">+$W1649-XOffset</f>
        <v>10.80282152230971</v>
      </c>
    </row>
    <row r="1650" spans="19:29" ht="8.4" customHeight="1">
      <c r="S1650" s="307"/>
      <c r="T1650" s="226">
        <f t="shared" si="91"/>
        <v>1647</v>
      </c>
      <c r="U1650" s="224">
        <f t="shared" si="89"/>
        <v>0</v>
      </c>
      <c r="V1650" s="225">
        <f t="shared" si="90"/>
        <v>1</v>
      </c>
      <c r="W1650" s="238">
        <f ca="1">$U1650*EWSpacingFt+XOffset+0</f>
        <v>0</v>
      </c>
      <c r="X1650" s="242">
        <f ca="1">$V1650*NSSpacingFt+YOffset+PanArrayLenFt*COS(RADIANS(Latitude+DecAng))</f>
        <v>34.439632545931751</v>
      </c>
      <c r="Y1650" s="246">
        <f ca="1">+$V1650*NSGradeFt+PedHeight+PanArrayLenFt*SIN(RADIANS(Latitude+DecAng))</f>
        <v>7.401410761154855</v>
      </c>
      <c r="Z1650" s="214">
        <f ca="1">+$W1650</f>
        <v>0</v>
      </c>
      <c r="AA1650" s="214">
        <f ca="1">+$Y1650</f>
        <v>7.401410761154855</v>
      </c>
      <c r="AB1650" s="214">
        <f ca="1">+$X1650</f>
        <v>34.439632545931751</v>
      </c>
      <c r="AC1650" s="214">
        <f ca="1">+$W1650-XOffset</f>
        <v>0</v>
      </c>
    </row>
    <row r="1651" spans="19:29" ht="8.4" customHeight="1">
      <c r="S1651" s="307"/>
      <c r="T1651" s="226">
        <f t="shared" si="91"/>
        <v>1648</v>
      </c>
      <c r="U1651" s="224">
        <f t="shared" si="89"/>
        <v>0</v>
      </c>
      <c r="V1651" s="225">
        <f t="shared" si="90"/>
        <v>1</v>
      </c>
      <c r="W1651" s="239">
        <f ca="1">$U1651*EWSpacingFt+XOffset+(PanArrayWidthHighEndFt-PanArrayWidthLowEndFt)/2</f>
        <v>0</v>
      </c>
      <c r="X1651" s="243">
        <f ca="1">$V1651*NSSpacingFt+YOffset+0</f>
        <v>17.999999999999989</v>
      </c>
      <c r="Y1651" s="247">
        <f ca="1">+$V1651*NSGradeFt+PedHeight+0</f>
        <v>7.401410761154855</v>
      </c>
      <c r="Z1651" s="214">
        <f ca="1">+$W1651</f>
        <v>0</v>
      </c>
      <c r="AA1651" s="214">
        <f ca="1">+$Y1651</f>
        <v>7.401410761154855</v>
      </c>
      <c r="AB1651" s="214">
        <f ca="1">+$X1651</f>
        <v>17.999999999999989</v>
      </c>
      <c r="AC1651" s="214">
        <f ca="1">+$W1651-XOffset</f>
        <v>0</v>
      </c>
    </row>
    <row r="1652" spans="19:29" ht="8.4" customHeight="1">
      <c r="S1652" s="307"/>
      <c r="T1652" s="226">
        <f t="shared" si="91"/>
        <v>1649</v>
      </c>
      <c r="U1652" s="224">
        <f t="shared" si="89"/>
        <v>0</v>
      </c>
      <c r="V1652" s="225">
        <f t="shared" si="90"/>
        <v>1</v>
      </c>
      <c r="W1652" s="217"/>
      <c r="X1652" s="217"/>
      <c r="Y1652" s="217"/>
      <c r="Z1652" s="214"/>
      <c r="AA1652" s="214"/>
      <c r="AB1652" s="214"/>
      <c r="AC1652" s="214"/>
    </row>
    <row r="1653" spans="19:29" ht="8.4" customHeight="1">
      <c r="S1653" s="307">
        <f>INT((T1653-0)/6)+1</f>
        <v>276</v>
      </c>
      <c r="T1653" s="226">
        <f t="shared" si="91"/>
        <v>1650</v>
      </c>
      <c r="U1653" s="224">
        <f t="shared" si="89"/>
        <v>1</v>
      </c>
      <c r="V1653" s="225">
        <f t="shared" si="90"/>
        <v>1</v>
      </c>
      <c r="W1653" s="233">
        <f ca="1">$U1653*EWSpacingFt+XOffset+(PanArrayWidthHighEndFt-PanArrayWidthLowEndFt)/2</f>
        <v>30.000006832286932</v>
      </c>
      <c r="X1653" s="234">
        <f ca="1">$V1653*NSSpacingFt+YOffset+0</f>
        <v>17.999999999999989</v>
      </c>
      <c r="Y1653" s="235">
        <f ca="1">+$V1653*NSGradeFt+PedHeight+0</f>
        <v>7.401410761154855</v>
      </c>
      <c r="Z1653" s="214">
        <f ca="1">+$W1653</f>
        <v>30.000006832286932</v>
      </c>
      <c r="AA1653" s="214">
        <f ca="1">+$Y1653</f>
        <v>7.401410761154855</v>
      </c>
      <c r="AB1653" s="214">
        <f ca="1">+$X1653</f>
        <v>17.999999999999989</v>
      </c>
      <c r="AC1653" s="214">
        <f ca="1">+$W1653-XOffset</f>
        <v>30.000006832286932</v>
      </c>
    </row>
    <row r="1654" spans="19:29" ht="8.4" customHeight="1">
      <c r="S1654" s="307"/>
      <c r="T1654" s="226">
        <f t="shared" si="91"/>
        <v>1651</v>
      </c>
      <c r="U1654" s="224">
        <f t="shared" si="89"/>
        <v>1</v>
      </c>
      <c r="V1654" s="225">
        <f t="shared" si="90"/>
        <v>1</v>
      </c>
      <c r="W1654" s="236">
        <f ca="1">+$U1654*EWSpacingFt+XOffset+PanArrayWidthHighEndFt-(PanArrayWidthHighEndFt-PanArrayWidthLowEndFt)/2</f>
        <v>40.802828354596642</v>
      </c>
      <c r="X1654" s="240">
        <f ca="1">$V1654*NSSpacingFt+YOffset+0</f>
        <v>17.999999999999989</v>
      </c>
      <c r="Y1654" s="244">
        <f ca="1">+$V1654*NSGradeFt+PedHeight+0</f>
        <v>7.401410761154855</v>
      </c>
      <c r="Z1654" s="214">
        <f ca="1">+$W1654</f>
        <v>40.802828354596642</v>
      </c>
      <c r="AA1654" s="214">
        <f ca="1">+$Y1654</f>
        <v>7.401410761154855</v>
      </c>
      <c r="AB1654" s="214">
        <f ca="1">+$X1654</f>
        <v>17.999999999999989</v>
      </c>
      <c r="AC1654" s="214">
        <f ca="1">+$W1654-XOffset</f>
        <v>40.802828354596642</v>
      </c>
    </row>
    <row r="1655" spans="19:29" ht="8.4" customHeight="1">
      <c r="S1655" s="307"/>
      <c r="T1655" s="226">
        <f t="shared" si="91"/>
        <v>1652</v>
      </c>
      <c r="U1655" s="224">
        <f t="shared" si="89"/>
        <v>1</v>
      </c>
      <c r="V1655" s="225">
        <f t="shared" si="90"/>
        <v>1</v>
      </c>
      <c r="W1655" s="237">
        <f ca="1">$U1655*EWSpacingFt+XOffset+PanArrayWidthHighEndFt</f>
        <v>40.802828354596642</v>
      </c>
      <c r="X1655" s="241">
        <f ca="1">$V1655*NSSpacingFt+YOffset+PanArrayLenFt*COS(RADIANS(Latitude+DecAng))</f>
        <v>34.439632545931751</v>
      </c>
      <c r="Y1655" s="245">
        <f ca="1">+$V1655*NSGradeFt+PedHeight+PanArrayLenFt*SIN(RADIANS(Latitude+DecAng))</f>
        <v>7.401410761154855</v>
      </c>
      <c r="Z1655" s="214">
        <f ca="1">+$W1655</f>
        <v>40.802828354596642</v>
      </c>
      <c r="AA1655" s="214">
        <f ca="1">+$Y1655</f>
        <v>7.401410761154855</v>
      </c>
      <c r="AB1655" s="214">
        <f ca="1">+$X1655</f>
        <v>34.439632545931751</v>
      </c>
      <c r="AC1655" s="214">
        <f ca="1">+$W1655-XOffset</f>
        <v>40.802828354596642</v>
      </c>
    </row>
    <row r="1656" spans="19:29" ht="8.4" customHeight="1">
      <c r="S1656" s="307"/>
      <c r="T1656" s="226">
        <f t="shared" si="91"/>
        <v>1653</v>
      </c>
      <c r="U1656" s="224">
        <f t="shared" si="89"/>
        <v>1</v>
      </c>
      <c r="V1656" s="225">
        <f t="shared" si="90"/>
        <v>1</v>
      </c>
      <c r="W1656" s="238">
        <f ca="1">$U1656*EWSpacingFt+XOffset+0</f>
        <v>30.000006832286932</v>
      </c>
      <c r="X1656" s="242">
        <f ca="1">$V1656*NSSpacingFt+YOffset+PanArrayLenFt*COS(RADIANS(Latitude+DecAng))</f>
        <v>34.439632545931751</v>
      </c>
      <c r="Y1656" s="246">
        <f ca="1">+$V1656*NSGradeFt+PedHeight+PanArrayLenFt*SIN(RADIANS(Latitude+DecAng))</f>
        <v>7.401410761154855</v>
      </c>
      <c r="Z1656" s="214">
        <f ca="1">+$W1656</f>
        <v>30.000006832286932</v>
      </c>
      <c r="AA1656" s="214">
        <f ca="1">+$Y1656</f>
        <v>7.401410761154855</v>
      </c>
      <c r="AB1656" s="214">
        <f ca="1">+$X1656</f>
        <v>34.439632545931751</v>
      </c>
      <c r="AC1656" s="214">
        <f ca="1">+$W1656-XOffset</f>
        <v>30.000006832286932</v>
      </c>
    </row>
    <row r="1657" spans="19:29" ht="8.4" customHeight="1">
      <c r="S1657" s="307"/>
      <c r="T1657" s="226">
        <f t="shared" si="91"/>
        <v>1654</v>
      </c>
      <c r="U1657" s="224">
        <f t="shared" si="89"/>
        <v>1</v>
      </c>
      <c r="V1657" s="225">
        <f t="shared" si="90"/>
        <v>1</v>
      </c>
      <c r="W1657" s="239">
        <f ca="1">$U1657*EWSpacingFt+XOffset+(PanArrayWidthHighEndFt-PanArrayWidthLowEndFt)/2</f>
        <v>30.000006832286932</v>
      </c>
      <c r="X1657" s="243">
        <f ca="1">$V1657*NSSpacingFt+YOffset+0</f>
        <v>17.999999999999989</v>
      </c>
      <c r="Y1657" s="247">
        <f ca="1">+$V1657*NSGradeFt+PedHeight+0</f>
        <v>7.401410761154855</v>
      </c>
      <c r="Z1657" s="214">
        <f ca="1">+$W1657</f>
        <v>30.000006832286932</v>
      </c>
      <c r="AA1657" s="214">
        <f ca="1">+$Y1657</f>
        <v>7.401410761154855</v>
      </c>
      <c r="AB1657" s="214">
        <f ca="1">+$X1657</f>
        <v>17.999999999999989</v>
      </c>
      <c r="AC1657" s="214">
        <f ca="1">+$W1657-XOffset</f>
        <v>30.000006832286932</v>
      </c>
    </row>
    <row r="1658" spans="19:29" ht="8.4" customHeight="1">
      <c r="S1658" s="307"/>
      <c r="T1658" s="226">
        <f t="shared" si="91"/>
        <v>1655</v>
      </c>
      <c r="U1658" s="224">
        <f t="shared" si="89"/>
        <v>1</v>
      </c>
      <c r="V1658" s="225">
        <f t="shared" si="90"/>
        <v>1</v>
      </c>
      <c r="W1658" s="217"/>
      <c r="X1658" s="217"/>
      <c r="Y1658" s="217"/>
      <c r="Z1658" s="214"/>
      <c r="AA1658" s="214"/>
      <c r="AB1658" s="214"/>
      <c r="AC1658" s="214"/>
    </row>
    <row r="1659" spans="19:29" ht="8.4" customHeight="1">
      <c r="S1659" s="307">
        <f>INT((T1659-0)/6)+1</f>
        <v>277</v>
      </c>
      <c r="T1659" s="226">
        <f t="shared" si="91"/>
        <v>1656</v>
      </c>
      <c r="U1659" s="224">
        <f t="shared" si="89"/>
        <v>0</v>
      </c>
      <c r="V1659" s="225">
        <f t="shared" si="90"/>
        <v>2</v>
      </c>
      <c r="W1659" s="233">
        <f ca="1">$U1659*EWSpacingFt+XOffset+(PanArrayWidthHighEndFt-PanArrayWidthLowEndFt)/2</f>
        <v>0</v>
      </c>
      <c r="X1659" s="234">
        <f ca="1">$V1659*NSSpacingFt+YOffset+0</f>
        <v>35.999999999999979</v>
      </c>
      <c r="Y1659" s="235">
        <f ca="1">+$V1659*NSGradeFt+PedHeight+0</f>
        <v>7.401410761154855</v>
      </c>
      <c r="Z1659" s="214">
        <f ca="1">+$W1659</f>
        <v>0</v>
      </c>
      <c r="AA1659" s="214">
        <f ca="1">+$Y1659</f>
        <v>7.401410761154855</v>
      </c>
      <c r="AB1659" s="214">
        <f ca="1">+$X1659</f>
        <v>35.999999999999979</v>
      </c>
      <c r="AC1659" s="214">
        <f ca="1">+$W1659-XOffset</f>
        <v>0</v>
      </c>
    </row>
    <row r="1660" spans="19:29" ht="8.4" customHeight="1">
      <c r="S1660" s="307"/>
      <c r="T1660" s="226">
        <f t="shared" si="91"/>
        <v>1657</v>
      </c>
      <c r="U1660" s="224">
        <f t="shared" si="89"/>
        <v>0</v>
      </c>
      <c r="V1660" s="225">
        <f t="shared" si="90"/>
        <v>2</v>
      </c>
      <c r="W1660" s="236">
        <f ca="1">+$U1660*EWSpacingFt+XOffset+PanArrayWidthHighEndFt-(PanArrayWidthHighEndFt-PanArrayWidthLowEndFt)/2</f>
        <v>10.80282152230971</v>
      </c>
      <c r="X1660" s="240">
        <f ca="1">$V1660*NSSpacingFt+YOffset+0</f>
        <v>35.999999999999979</v>
      </c>
      <c r="Y1660" s="244">
        <f ca="1">+$V1660*NSGradeFt+PedHeight+0</f>
        <v>7.401410761154855</v>
      </c>
      <c r="Z1660" s="214">
        <f ca="1">+$W1660</f>
        <v>10.80282152230971</v>
      </c>
      <c r="AA1660" s="214">
        <f ca="1">+$Y1660</f>
        <v>7.401410761154855</v>
      </c>
      <c r="AB1660" s="214">
        <f ca="1">+$X1660</f>
        <v>35.999999999999979</v>
      </c>
      <c r="AC1660" s="214">
        <f ca="1">+$W1660-XOffset</f>
        <v>10.80282152230971</v>
      </c>
    </row>
    <row r="1661" spans="19:29" ht="8.4" customHeight="1">
      <c r="S1661" s="307"/>
      <c r="T1661" s="226">
        <f t="shared" si="91"/>
        <v>1658</v>
      </c>
      <c r="U1661" s="224">
        <f t="shared" si="89"/>
        <v>0</v>
      </c>
      <c r="V1661" s="225">
        <f t="shared" si="90"/>
        <v>2</v>
      </c>
      <c r="W1661" s="237">
        <f ca="1">$U1661*EWSpacingFt+XOffset+PanArrayWidthHighEndFt</f>
        <v>10.80282152230971</v>
      </c>
      <c r="X1661" s="241">
        <f ca="1">$V1661*NSSpacingFt+YOffset+PanArrayLenFt*COS(RADIANS(Latitude+DecAng))</f>
        <v>52.439632545931744</v>
      </c>
      <c r="Y1661" s="245">
        <f ca="1">+$V1661*NSGradeFt+PedHeight+PanArrayLenFt*SIN(RADIANS(Latitude+DecAng))</f>
        <v>7.401410761154855</v>
      </c>
      <c r="Z1661" s="214">
        <f ca="1">+$W1661</f>
        <v>10.80282152230971</v>
      </c>
      <c r="AA1661" s="214">
        <f ca="1">+$Y1661</f>
        <v>7.401410761154855</v>
      </c>
      <c r="AB1661" s="214">
        <f ca="1">+$X1661</f>
        <v>52.439632545931744</v>
      </c>
      <c r="AC1661" s="214">
        <f ca="1">+$W1661-XOffset</f>
        <v>10.80282152230971</v>
      </c>
    </row>
    <row r="1662" spans="19:29" ht="8.4" customHeight="1">
      <c r="S1662" s="307"/>
      <c r="T1662" s="226">
        <f t="shared" si="91"/>
        <v>1659</v>
      </c>
      <c r="U1662" s="224">
        <f t="shared" si="89"/>
        <v>0</v>
      </c>
      <c r="V1662" s="225">
        <f t="shared" si="90"/>
        <v>2</v>
      </c>
      <c r="W1662" s="238">
        <f ca="1">$U1662*EWSpacingFt+XOffset+0</f>
        <v>0</v>
      </c>
      <c r="X1662" s="242">
        <f ca="1">$V1662*NSSpacingFt+YOffset+PanArrayLenFt*COS(RADIANS(Latitude+DecAng))</f>
        <v>52.439632545931744</v>
      </c>
      <c r="Y1662" s="246">
        <f ca="1">+$V1662*NSGradeFt+PedHeight+PanArrayLenFt*SIN(RADIANS(Latitude+DecAng))</f>
        <v>7.401410761154855</v>
      </c>
      <c r="Z1662" s="214">
        <f ca="1">+$W1662</f>
        <v>0</v>
      </c>
      <c r="AA1662" s="214">
        <f ca="1">+$Y1662</f>
        <v>7.401410761154855</v>
      </c>
      <c r="AB1662" s="214">
        <f ca="1">+$X1662</f>
        <v>52.439632545931744</v>
      </c>
      <c r="AC1662" s="214">
        <f ca="1">+$W1662-XOffset</f>
        <v>0</v>
      </c>
    </row>
    <row r="1663" spans="19:29" ht="8.4" customHeight="1">
      <c r="S1663" s="307"/>
      <c r="T1663" s="226">
        <f t="shared" si="91"/>
        <v>1660</v>
      </c>
      <c r="U1663" s="224">
        <f t="shared" si="89"/>
        <v>0</v>
      </c>
      <c r="V1663" s="225">
        <f t="shared" si="90"/>
        <v>2</v>
      </c>
      <c r="W1663" s="239">
        <f ca="1">$U1663*EWSpacingFt+XOffset+(PanArrayWidthHighEndFt-PanArrayWidthLowEndFt)/2</f>
        <v>0</v>
      </c>
      <c r="X1663" s="243">
        <f ca="1">$V1663*NSSpacingFt+YOffset+0</f>
        <v>35.999999999999979</v>
      </c>
      <c r="Y1663" s="247">
        <f ca="1">+$V1663*NSGradeFt+PedHeight+0</f>
        <v>7.401410761154855</v>
      </c>
      <c r="Z1663" s="214">
        <f ca="1">+$W1663</f>
        <v>0</v>
      </c>
      <c r="AA1663" s="214">
        <f ca="1">+$Y1663</f>
        <v>7.401410761154855</v>
      </c>
      <c r="AB1663" s="214">
        <f ca="1">+$X1663</f>
        <v>35.999999999999979</v>
      </c>
      <c r="AC1663" s="214">
        <f ca="1">+$W1663-XOffset</f>
        <v>0</v>
      </c>
    </row>
    <row r="1664" spans="19:29" ht="8.4" customHeight="1">
      <c r="S1664" s="307"/>
      <c r="T1664" s="226">
        <f t="shared" si="91"/>
        <v>1661</v>
      </c>
      <c r="U1664" s="224">
        <f t="shared" si="89"/>
        <v>0</v>
      </c>
      <c r="V1664" s="225">
        <f t="shared" si="90"/>
        <v>2</v>
      </c>
      <c r="W1664" s="217"/>
      <c r="X1664" s="217"/>
      <c r="Y1664" s="217"/>
      <c r="Z1664" s="214"/>
      <c r="AA1664" s="214"/>
      <c r="AB1664" s="214"/>
      <c r="AC1664" s="214"/>
    </row>
    <row r="1665" spans="19:29" ht="8.4" customHeight="1">
      <c r="S1665" s="307">
        <f>INT((T1665-0)/6)+1</f>
        <v>278</v>
      </c>
      <c r="T1665" s="226">
        <f t="shared" si="91"/>
        <v>1662</v>
      </c>
      <c r="U1665" s="224">
        <f t="shared" si="89"/>
        <v>1</v>
      </c>
      <c r="V1665" s="225">
        <f t="shared" si="90"/>
        <v>2</v>
      </c>
      <c r="W1665" s="233">
        <f ca="1">$U1665*EWSpacingFt+XOffset+(PanArrayWidthHighEndFt-PanArrayWidthLowEndFt)/2</f>
        <v>30.000006832286932</v>
      </c>
      <c r="X1665" s="234">
        <f ca="1">$V1665*NSSpacingFt+YOffset+0</f>
        <v>35.999999999999979</v>
      </c>
      <c r="Y1665" s="235">
        <f ca="1">+$V1665*NSGradeFt+PedHeight+0</f>
        <v>7.401410761154855</v>
      </c>
      <c r="Z1665" s="214">
        <f ca="1">+$W1665</f>
        <v>30.000006832286932</v>
      </c>
      <c r="AA1665" s="214">
        <f ca="1">+$Y1665</f>
        <v>7.401410761154855</v>
      </c>
      <c r="AB1665" s="214">
        <f ca="1">+$X1665</f>
        <v>35.999999999999979</v>
      </c>
      <c r="AC1665" s="214">
        <f ca="1">+$W1665-XOffset</f>
        <v>30.000006832286932</v>
      </c>
    </row>
    <row r="1666" spans="19:29" ht="8.4" customHeight="1">
      <c r="S1666" s="307"/>
      <c r="T1666" s="226">
        <f t="shared" si="91"/>
        <v>1663</v>
      </c>
      <c r="U1666" s="224">
        <f t="shared" si="89"/>
        <v>1</v>
      </c>
      <c r="V1666" s="225">
        <f t="shared" si="90"/>
        <v>2</v>
      </c>
      <c r="W1666" s="236">
        <f ca="1">+$U1666*EWSpacingFt+XOffset+PanArrayWidthHighEndFt-(PanArrayWidthHighEndFt-PanArrayWidthLowEndFt)/2</f>
        <v>40.802828354596642</v>
      </c>
      <c r="X1666" s="240">
        <f ca="1">$V1666*NSSpacingFt+YOffset+0</f>
        <v>35.999999999999979</v>
      </c>
      <c r="Y1666" s="244">
        <f ca="1">+$V1666*NSGradeFt+PedHeight+0</f>
        <v>7.401410761154855</v>
      </c>
      <c r="Z1666" s="214">
        <f ca="1">+$W1666</f>
        <v>40.802828354596642</v>
      </c>
      <c r="AA1666" s="214">
        <f ca="1">+$Y1666</f>
        <v>7.401410761154855</v>
      </c>
      <c r="AB1666" s="214">
        <f ca="1">+$X1666</f>
        <v>35.999999999999979</v>
      </c>
      <c r="AC1666" s="214">
        <f ca="1">+$W1666-XOffset</f>
        <v>40.802828354596642</v>
      </c>
    </row>
    <row r="1667" spans="19:29" ht="8.4" customHeight="1">
      <c r="S1667" s="307"/>
      <c r="T1667" s="226">
        <f t="shared" si="91"/>
        <v>1664</v>
      </c>
      <c r="U1667" s="224">
        <f t="shared" ref="U1667:U1730" si="92">+MOD(INT(T1667/6),ColumnsOfMounts)</f>
        <v>1</v>
      </c>
      <c r="V1667" s="225">
        <f t="shared" ref="V1667:V1730" si="93">+MOD(INT(T1667/6/ColumnsOfMounts),RowsOfMounts)</f>
        <v>2</v>
      </c>
      <c r="W1667" s="237">
        <f ca="1">$U1667*EWSpacingFt+XOffset+PanArrayWidthHighEndFt</f>
        <v>40.802828354596642</v>
      </c>
      <c r="X1667" s="241">
        <f ca="1">$V1667*NSSpacingFt+YOffset+PanArrayLenFt*COS(RADIANS(Latitude+DecAng))</f>
        <v>52.439632545931744</v>
      </c>
      <c r="Y1667" s="245">
        <f ca="1">+$V1667*NSGradeFt+PedHeight+PanArrayLenFt*SIN(RADIANS(Latitude+DecAng))</f>
        <v>7.401410761154855</v>
      </c>
      <c r="Z1667" s="214">
        <f ca="1">+$W1667</f>
        <v>40.802828354596642</v>
      </c>
      <c r="AA1667" s="214">
        <f ca="1">+$Y1667</f>
        <v>7.401410761154855</v>
      </c>
      <c r="AB1667" s="214">
        <f ca="1">+$X1667</f>
        <v>52.439632545931744</v>
      </c>
      <c r="AC1667" s="214">
        <f ca="1">+$W1667-XOffset</f>
        <v>40.802828354596642</v>
      </c>
    </row>
    <row r="1668" spans="19:29" ht="8.4" customHeight="1">
      <c r="S1668" s="307"/>
      <c r="T1668" s="226">
        <f t="shared" si="91"/>
        <v>1665</v>
      </c>
      <c r="U1668" s="224">
        <f t="shared" si="92"/>
        <v>1</v>
      </c>
      <c r="V1668" s="225">
        <f t="shared" si="93"/>
        <v>2</v>
      </c>
      <c r="W1668" s="238">
        <f ca="1">$U1668*EWSpacingFt+XOffset+0</f>
        <v>30.000006832286932</v>
      </c>
      <c r="X1668" s="242">
        <f ca="1">$V1668*NSSpacingFt+YOffset+PanArrayLenFt*COS(RADIANS(Latitude+DecAng))</f>
        <v>52.439632545931744</v>
      </c>
      <c r="Y1668" s="246">
        <f ca="1">+$V1668*NSGradeFt+PedHeight+PanArrayLenFt*SIN(RADIANS(Latitude+DecAng))</f>
        <v>7.401410761154855</v>
      </c>
      <c r="Z1668" s="214">
        <f ca="1">+$W1668</f>
        <v>30.000006832286932</v>
      </c>
      <c r="AA1668" s="214">
        <f ca="1">+$Y1668</f>
        <v>7.401410761154855</v>
      </c>
      <c r="AB1668" s="214">
        <f ca="1">+$X1668</f>
        <v>52.439632545931744</v>
      </c>
      <c r="AC1668" s="214">
        <f ca="1">+$W1668-XOffset</f>
        <v>30.000006832286932</v>
      </c>
    </row>
    <row r="1669" spans="19:29" ht="8.4" customHeight="1">
      <c r="S1669" s="307"/>
      <c r="T1669" s="226">
        <f t="shared" si="91"/>
        <v>1666</v>
      </c>
      <c r="U1669" s="224">
        <f t="shared" si="92"/>
        <v>1</v>
      </c>
      <c r="V1669" s="225">
        <f t="shared" si="93"/>
        <v>2</v>
      </c>
      <c r="W1669" s="239">
        <f ca="1">$U1669*EWSpacingFt+XOffset+(PanArrayWidthHighEndFt-PanArrayWidthLowEndFt)/2</f>
        <v>30.000006832286932</v>
      </c>
      <c r="X1669" s="243">
        <f ca="1">$V1669*NSSpacingFt+YOffset+0</f>
        <v>35.999999999999979</v>
      </c>
      <c r="Y1669" s="247">
        <f ca="1">+$V1669*NSGradeFt+PedHeight+0</f>
        <v>7.401410761154855</v>
      </c>
      <c r="Z1669" s="214">
        <f ca="1">+$W1669</f>
        <v>30.000006832286932</v>
      </c>
      <c r="AA1669" s="214">
        <f ca="1">+$Y1669</f>
        <v>7.401410761154855</v>
      </c>
      <c r="AB1669" s="214">
        <f ca="1">+$X1669</f>
        <v>35.999999999999979</v>
      </c>
      <c r="AC1669" s="214">
        <f ca="1">+$W1669-XOffset</f>
        <v>30.000006832286932</v>
      </c>
    </row>
    <row r="1670" spans="19:29" ht="8.4" customHeight="1">
      <c r="S1670" s="307"/>
      <c r="T1670" s="226">
        <f t="shared" si="91"/>
        <v>1667</v>
      </c>
      <c r="U1670" s="224">
        <f t="shared" si="92"/>
        <v>1</v>
      </c>
      <c r="V1670" s="225">
        <f t="shared" si="93"/>
        <v>2</v>
      </c>
      <c r="W1670" s="217"/>
      <c r="X1670" s="217"/>
      <c r="Y1670" s="217"/>
      <c r="Z1670" s="214"/>
      <c r="AA1670" s="214"/>
      <c r="AB1670" s="214"/>
      <c r="AC1670" s="214"/>
    </row>
    <row r="1671" spans="19:29" ht="8.4" customHeight="1">
      <c r="S1671" s="307">
        <f>INT((T1671-0)/6)+1</f>
        <v>279</v>
      </c>
      <c r="T1671" s="226">
        <f t="shared" si="91"/>
        <v>1668</v>
      </c>
      <c r="U1671" s="224">
        <f t="shared" si="92"/>
        <v>0</v>
      </c>
      <c r="V1671" s="225">
        <f t="shared" si="93"/>
        <v>3</v>
      </c>
      <c r="W1671" s="233">
        <f ca="1">$U1671*EWSpacingFt+XOffset+(PanArrayWidthHighEndFt-PanArrayWidthLowEndFt)/2</f>
        <v>0</v>
      </c>
      <c r="X1671" s="234">
        <f ca="1">$V1671*NSSpacingFt+YOffset+0</f>
        <v>53.999999999999972</v>
      </c>
      <c r="Y1671" s="235">
        <f ca="1">+$V1671*NSGradeFt+PedHeight+0</f>
        <v>7.401410761154855</v>
      </c>
      <c r="Z1671" s="214">
        <f ca="1">+$W1671</f>
        <v>0</v>
      </c>
      <c r="AA1671" s="214">
        <f ca="1">+$Y1671</f>
        <v>7.401410761154855</v>
      </c>
      <c r="AB1671" s="214">
        <f ca="1">+$X1671</f>
        <v>53.999999999999972</v>
      </c>
      <c r="AC1671" s="214">
        <f ca="1">+$W1671-XOffset</f>
        <v>0</v>
      </c>
    </row>
    <row r="1672" spans="19:29" ht="8.4" customHeight="1">
      <c r="S1672" s="307"/>
      <c r="T1672" s="226">
        <f t="shared" si="91"/>
        <v>1669</v>
      </c>
      <c r="U1672" s="224">
        <f t="shared" si="92"/>
        <v>0</v>
      </c>
      <c r="V1672" s="225">
        <f t="shared" si="93"/>
        <v>3</v>
      </c>
      <c r="W1672" s="236">
        <f ca="1">+$U1672*EWSpacingFt+XOffset+PanArrayWidthHighEndFt-(PanArrayWidthHighEndFt-PanArrayWidthLowEndFt)/2</f>
        <v>10.80282152230971</v>
      </c>
      <c r="X1672" s="240">
        <f ca="1">$V1672*NSSpacingFt+YOffset+0</f>
        <v>53.999999999999972</v>
      </c>
      <c r="Y1672" s="244">
        <f ca="1">+$V1672*NSGradeFt+PedHeight+0</f>
        <v>7.401410761154855</v>
      </c>
      <c r="Z1672" s="214">
        <f ca="1">+$W1672</f>
        <v>10.80282152230971</v>
      </c>
      <c r="AA1672" s="214">
        <f ca="1">+$Y1672</f>
        <v>7.401410761154855</v>
      </c>
      <c r="AB1672" s="214">
        <f ca="1">+$X1672</f>
        <v>53.999999999999972</v>
      </c>
      <c r="AC1672" s="214">
        <f ca="1">+$W1672-XOffset</f>
        <v>10.80282152230971</v>
      </c>
    </row>
    <row r="1673" spans="19:29" ht="8.4" customHeight="1">
      <c r="S1673" s="307"/>
      <c r="T1673" s="226">
        <f t="shared" si="91"/>
        <v>1670</v>
      </c>
      <c r="U1673" s="224">
        <f t="shared" si="92"/>
        <v>0</v>
      </c>
      <c r="V1673" s="225">
        <f t="shared" si="93"/>
        <v>3</v>
      </c>
      <c r="W1673" s="237">
        <f ca="1">$U1673*EWSpacingFt+XOffset+PanArrayWidthHighEndFt</f>
        <v>10.80282152230971</v>
      </c>
      <c r="X1673" s="241">
        <f ca="1">$V1673*NSSpacingFt+YOffset+PanArrayLenFt*COS(RADIANS(Latitude+DecAng))</f>
        <v>70.43963254593173</v>
      </c>
      <c r="Y1673" s="245">
        <f ca="1">+$V1673*NSGradeFt+PedHeight+PanArrayLenFt*SIN(RADIANS(Latitude+DecAng))</f>
        <v>7.401410761154855</v>
      </c>
      <c r="Z1673" s="214">
        <f ca="1">+$W1673</f>
        <v>10.80282152230971</v>
      </c>
      <c r="AA1673" s="214">
        <f ca="1">+$Y1673</f>
        <v>7.401410761154855</v>
      </c>
      <c r="AB1673" s="214">
        <f ca="1">+$X1673</f>
        <v>70.43963254593173</v>
      </c>
      <c r="AC1673" s="214">
        <f ca="1">+$W1673-XOffset</f>
        <v>10.80282152230971</v>
      </c>
    </row>
    <row r="1674" spans="19:29" ht="8.4" customHeight="1">
      <c r="S1674" s="307"/>
      <c r="T1674" s="226">
        <f t="shared" si="91"/>
        <v>1671</v>
      </c>
      <c r="U1674" s="224">
        <f t="shared" si="92"/>
        <v>0</v>
      </c>
      <c r="V1674" s="225">
        <f t="shared" si="93"/>
        <v>3</v>
      </c>
      <c r="W1674" s="238">
        <f ca="1">$U1674*EWSpacingFt+XOffset+0</f>
        <v>0</v>
      </c>
      <c r="X1674" s="242">
        <f ca="1">$V1674*NSSpacingFt+YOffset+PanArrayLenFt*COS(RADIANS(Latitude+DecAng))</f>
        <v>70.43963254593173</v>
      </c>
      <c r="Y1674" s="246">
        <f ca="1">+$V1674*NSGradeFt+PedHeight+PanArrayLenFt*SIN(RADIANS(Latitude+DecAng))</f>
        <v>7.401410761154855</v>
      </c>
      <c r="Z1674" s="214">
        <f ca="1">+$W1674</f>
        <v>0</v>
      </c>
      <c r="AA1674" s="214">
        <f ca="1">+$Y1674</f>
        <v>7.401410761154855</v>
      </c>
      <c r="AB1674" s="214">
        <f ca="1">+$X1674</f>
        <v>70.43963254593173</v>
      </c>
      <c r="AC1674" s="214">
        <f ca="1">+$W1674-XOffset</f>
        <v>0</v>
      </c>
    </row>
    <row r="1675" spans="19:29" ht="8.4" customHeight="1">
      <c r="S1675" s="307"/>
      <c r="T1675" s="226">
        <f t="shared" si="91"/>
        <v>1672</v>
      </c>
      <c r="U1675" s="224">
        <f t="shared" si="92"/>
        <v>0</v>
      </c>
      <c r="V1675" s="225">
        <f t="shared" si="93"/>
        <v>3</v>
      </c>
      <c r="W1675" s="239">
        <f ca="1">$U1675*EWSpacingFt+XOffset+(PanArrayWidthHighEndFt-PanArrayWidthLowEndFt)/2</f>
        <v>0</v>
      </c>
      <c r="X1675" s="243">
        <f ca="1">$V1675*NSSpacingFt+YOffset+0</f>
        <v>53.999999999999972</v>
      </c>
      <c r="Y1675" s="247">
        <f ca="1">+$V1675*NSGradeFt+PedHeight+0</f>
        <v>7.401410761154855</v>
      </c>
      <c r="Z1675" s="214">
        <f ca="1">+$W1675</f>
        <v>0</v>
      </c>
      <c r="AA1675" s="214">
        <f ca="1">+$Y1675</f>
        <v>7.401410761154855</v>
      </c>
      <c r="AB1675" s="214">
        <f ca="1">+$X1675</f>
        <v>53.999999999999972</v>
      </c>
      <c r="AC1675" s="214">
        <f ca="1">+$W1675-XOffset</f>
        <v>0</v>
      </c>
    </row>
    <row r="1676" spans="19:29" ht="8.4" customHeight="1">
      <c r="S1676" s="307"/>
      <c r="T1676" s="226">
        <f t="shared" si="91"/>
        <v>1673</v>
      </c>
      <c r="U1676" s="224">
        <f t="shared" si="92"/>
        <v>0</v>
      </c>
      <c r="V1676" s="225">
        <f t="shared" si="93"/>
        <v>3</v>
      </c>
      <c r="W1676" s="217"/>
      <c r="X1676" s="217"/>
      <c r="Y1676" s="217"/>
      <c r="Z1676" s="214"/>
      <c r="AA1676" s="214"/>
      <c r="AB1676" s="214"/>
      <c r="AC1676" s="214"/>
    </row>
    <row r="1677" spans="19:29" ht="8.4" customHeight="1">
      <c r="S1677" s="307">
        <f>INT((T1677-0)/6)+1</f>
        <v>280</v>
      </c>
      <c r="T1677" s="226">
        <f t="shared" si="91"/>
        <v>1674</v>
      </c>
      <c r="U1677" s="224">
        <f t="shared" si="92"/>
        <v>1</v>
      </c>
      <c r="V1677" s="225">
        <f t="shared" si="93"/>
        <v>3</v>
      </c>
      <c r="W1677" s="233">
        <f ca="1">$U1677*EWSpacingFt+XOffset+(PanArrayWidthHighEndFt-PanArrayWidthLowEndFt)/2</f>
        <v>30.000006832286932</v>
      </c>
      <c r="X1677" s="234">
        <f ca="1">$V1677*NSSpacingFt+YOffset+0</f>
        <v>53.999999999999972</v>
      </c>
      <c r="Y1677" s="235">
        <f ca="1">+$V1677*NSGradeFt+PedHeight+0</f>
        <v>7.401410761154855</v>
      </c>
      <c r="Z1677" s="214">
        <f ca="1">+$W1677</f>
        <v>30.000006832286932</v>
      </c>
      <c r="AA1677" s="214">
        <f ca="1">+$Y1677</f>
        <v>7.401410761154855</v>
      </c>
      <c r="AB1677" s="214">
        <f ca="1">+$X1677</f>
        <v>53.999999999999972</v>
      </c>
      <c r="AC1677" s="214">
        <f ca="1">+$W1677-XOffset</f>
        <v>30.000006832286932</v>
      </c>
    </row>
    <row r="1678" spans="19:29" ht="8.4" customHeight="1">
      <c r="S1678" s="307"/>
      <c r="T1678" s="226">
        <f t="shared" si="91"/>
        <v>1675</v>
      </c>
      <c r="U1678" s="224">
        <f t="shared" si="92"/>
        <v>1</v>
      </c>
      <c r="V1678" s="225">
        <f t="shared" si="93"/>
        <v>3</v>
      </c>
      <c r="W1678" s="236">
        <f ca="1">+$U1678*EWSpacingFt+XOffset+PanArrayWidthHighEndFt-(PanArrayWidthHighEndFt-PanArrayWidthLowEndFt)/2</f>
        <v>40.802828354596642</v>
      </c>
      <c r="X1678" s="240">
        <f ca="1">$V1678*NSSpacingFt+YOffset+0</f>
        <v>53.999999999999972</v>
      </c>
      <c r="Y1678" s="244">
        <f ca="1">+$V1678*NSGradeFt+PedHeight+0</f>
        <v>7.401410761154855</v>
      </c>
      <c r="Z1678" s="214">
        <f ca="1">+$W1678</f>
        <v>40.802828354596642</v>
      </c>
      <c r="AA1678" s="214">
        <f ca="1">+$Y1678</f>
        <v>7.401410761154855</v>
      </c>
      <c r="AB1678" s="214">
        <f ca="1">+$X1678</f>
        <v>53.999999999999972</v>
      </c>
      <c r="AC1678" s="214">
        <f ca="1">+$W1678-XOffset</f>
        <v>40.802828354596642</v>
      </c>
    </row>
    <row r="1679" spans="19:29" ht="8.4" customHeight="1">
      <c r="S1679" s="307"/>
      <c r="T1679" s="226">
        <f t="shared" si="91"/>
        <v>1676</v>
      </c>
      <c r="U1679" s="224">
        <f t="shared" si="92"/>
        <v>1</v>
      </c>
      <c r="V1679" s="225">
        <f t="shared" si="93"/>
        <v>3</v>
      </c>
      <c r="W1679" s="237">
        <f ca="1">$U1679*EWSpacingFt+XOffset+PanArrayWidthHighEndFt</f>
        <v>40.802828354596642</v>
      </c>
      <c r="X1679" s="241">
        <f ca="1">$V1679*NSSpacingFt+YOffset+PanArrayLenFt*COS(RADIANS(Latitude+DecAng))</f>
        <v>70.43963254593173</v>
      </c>
      <c r="Y1679" s="245">
        <f ca="1">+$V1679*NSGradeFt+PedHeight+PanArrayLenFt*SIN(RADIANS(Latitude+DecAng))</f>
        <v>7.401410761154855</v>
      </c>
      <c r="Z1679" s="214">
        <f ca="1">+$W1679</f>
        <v>40.802828354596642</v>
      </c>
      <c r="AA1679" s="214">
        <f ca="1">+$Y1679</f>
        <v>7.401410761154855</v>
      </c>
      <c r="AB1679" s="214">
        <f ca="1">+$X1679</f>
        <v>70.43963254593173</v>
      </c>
      <c r="AC1679" s="214">
        <f ca="1">+$W1679-XOffset</f>
        <v>40.802828354596642</v>
      </c>
    </row>
    <row r="1680" spans="19:29" ht="8.4" customHeight="1">
      <c r="S1680" s="307"/>
      <c r="T1680" s="226">
        <f t="shared" si="91"/>
        <v>1677</v>
      </c>
      <c r="U1680" s="224">
        <f t="shared" si="92"/>
        <v>1</v>
      </c>
      <c r="V1680" s="225">
        <f t="shared" si="93"/>
        <v>3</v>
      </c>
      <c r="W1680" s="238">
        <f ca="1">$U1680*EWSpacingFt+XOffset+0</f>
        <v>30.000006832286932</v>
      </c>
      <c r="X1680" s="242">
        <f ca="1">$V1680*NSSpacingFt+YOffset+PanArrayLenFt*COS(RADIANS(Latitude+DecAng))</f>
        <v>70.43963254593173</v>
      </c>
      <c r="Y1680" s="246">
        <f ca="1">+$V1680*NSGradeFt+PedHeight+PanArrayLenFt*SIN(RADIANS(Latitude+DecAng))</f>
        <v>7.401410761154855</v>
      </c>
      <c r="Z1680" s="214">
        <f ca="1">+$W1680</f>
        <v>30.000006832286932</v>
      </c>
      <c r="AA1680" s="214">
        <f ca="1">+$Y1680</f>
        <v>7.401410761154855</v>
      </c>
      <c r="AB1680" s="214">
        <f ca="1">+$X1680</f>
        <v>70.43963254593173</v>
      </c>
      <c r="AC1680" s="214">
        <f ca="1">+$W1680-XOffset</f>
        <v>30.000006832286932</v>
      </c>
    </row>
    <row r="1681" spans="19:29" ht="8.4" customHeight="1">
      <c r="S1681" s="307"/>
      <c r="T1681" s="226">
        <f t="shared" si="91"/>
        <v>1678</v>
      </c>
      <c r="U1681" s="224">
        <f t="shared" si="92"/>
        <v>1</v>
      </c>
      <c r="V1681" s="225">
        <f t="shared" si="93"/>
        <v>3</v>
      </c>
      <c r="W1681" s="239">
        <f ca="1">$U1681*EWSpacingFt+XOffset+(PanArrayWidthHighEndFt-PanArrayWidthLowEndFt)/2</f>
        <v>30.000006832286932</v>
      </c>
      <c r="X1681" s="243">
        <f ca="1">$V1681*NSSpacingFt+YOffset+0</f>
        <v>53.999999999999972</v>
      </c>
      <c r="Y1681" s="247">
        <f ca="1">+$V1681*NSGradeFt+PedHeight+0</f>
        <v>7.401410761154855</v>
      </c>
      <c r="Z1681" s="214">
        <f ca="1">+$W1681</f>
        <v>30.000006832286932</v>
      </c>
      <c r="AA1681" s="214">
        <f ca="1">+$Y1681</f>
        <v>7.401410761154855</v>
      </c>
      <c r="AB1681" s="214">
        <f ca="1">+$X1681</f>
        <v>53.999999999999972</v>
      </c>
      <c r="AC1681" s="214">
        <f ca="1">+$W1681-XOffset</f>
        <v>30.000006832286932</v>
      </c>
    </row>
    <row r="1682" spans="19:29" ht="8.4" customHeight="1">
      <c r="S1682" s="307"/>
      <c r="T1682" s="226">
        <f t="shared" si="91"/>
        <v>1679</v>
      </c>
      <c r="U1682" s="224">
        <f t="shared" si="92"/>
        <v>1</v>
      </c>
      <c r="V1682" s="225">
        <f t="shared" si="93"/>
        <v>3</v>
      </c>
      <c r="W1682" s="217"/>
      <c r="X1682" s="217"/>
      <c r="Y1682" s="217"/>
      <c r="Z1682" s="214"/>
      <c r="AA1682" s="214"/>
      <c r="AB1682" s="214"/>
      <c r="AC1682" s="214"/>
    </row>
    <row r="1683" spans="19:29" ht="8.4" customHeight="1">
      <c r="S1683" s="307">
        <f>INT((T1683-0)/6)+1</f>
        <v>281</v>
      </c>
      <c r="T1683" s="226">
        <f t="shared" si="91"/>
        <v>1680</v>
      </c>
      <c r="U1683" s="224">
        <f t="shared" si="92"/>
        <v>0</v>
      </c>
      <c r="V1683" s="225">
        <f t="shared" si="93"/>
        <v>0</v>
      </c>
      <c r="W1683" s="233">
        <f ca="1">$U1683*EWSpacingFt+XOffset+(PanArrayWidthHighEndFt-PanArrayWidthLowEndFt)/2</f>
        <v>0</v>
      </c>
      <c r="X1683" s="234">
        <f ca="1">$V1683*NSSpacingFt+YOffset+0</f>
        <v>0</v>
      </c>
      <c r="Y1683" s="235">
        <f ca="1">+$V1683*NSGradeFt+PedHeight+0</f>
        <v>7.401410761154855</v>
      </c>
      <c r="Z1683" s="214">
        <f ca="1">+$W1683</f>
        <v>0</v>
      </c>
      <c r="AA1683" s="214">
        <f ca="1">+$Y1683</f>
        <v>7.401410761154855</v>
      </c>
      <c r="AB1683" s="214">
        <f ca="1">+$X1683</f>
        <v>0</v>
      </c>
      <c r="AC1683" s="214">
        <f ca="1">+$W1683-XOffset</f>
        <v>0</v>
      </c>
    </row>
    <row r="1684" spans="19:29" ht="8.4" customHeight="1">
      <c r="S1684" s="307"/>
      <c r="T1684" s="226">
        <f t="shared" si="91"/>
        <v>1681</v>
      </c>
      <c r="U1684" s="224">
        <f t="shared" si="92"/>
        <v>0</v>
      </c>
      <c r="V1684" s="225">
        <f t="shared" si="93"/>
        <v>0</v>
      </c>
      <c r="W1684" s="236">
        <f ca="1">+$U1684*EWSpacingFt+XOffset+PanArrayWidthHighEndFt-(PanArrayWidthHighEndFt-PanArrayWidthLowEndFt)/2</f>
        <v>10.80282152230971</v>
      </c>
      <c r="X1684" s="240">
        <f ca="1">$V1684*NSSpacingFt+YOffset+0</f>
        <v>0</v>
      </c>
      <c r="Y1684" s="244">
        <f ca="1">+$V1684*NSGradeFt+PedHeight+0</f>
        <v>7.401410761154855</v>
      </c>
      <c r="Z1684" s="214">
        <f ca="1">+$W1684</f>
        <v>10.80282152230971</v>
      </c>
      <c r="AA1684" s="214">
        <f ca="1">+$Y1684</f>
        <v>7.401410761154855</v>
      </c>
      <c r="AB1684" s="214">
        <f ca="1">+$X1684</f>
        <v>0</v>
      </c>
      <c r="AC1684" s="214">
        <f ca="1">+$W1684-XOffset</f>
        <v>10.80282152230971</v>
      </c>
    </row>
    <row r="1685" spans="19:29" ht="8.4" customHeight="1">
      <c r="S1685" s="307"/>
      <c r="T1685" s="226">
        <f t="shared" si="91"/>
        <v>1682</v>
      </c>
      <c r="U1685" s="224">
        <f t="shared" si="92"/>
        <v>0</v>
      </c>
      <c r="V1685" s="225">
        <f t="shared" si="93"/>
        <v>0</v>
      </c>
      <c r="W1685" s="237">
        <f ca="1">$U1685*EWSpacingFt+XOffset+PanArrayWidthHighEndFt</f>
        <v>10.80282152230971</v>
      </c>
      <c r="X1685" s="241">
        <f ca="1">$V1685*NSSpacingFt+YOffset+PanArrayLenFt*COS(RADIANS(Latitude+DecAng))</f>
        <v>16.439632545931762</v>
      </c>
      <c r="Y1685" s="245">
        <f ca="1">+$V1685*NSGradeFt+PedHeight+PanArrayLenFt*SIN(RADIANS(Latitude+DecAng))</f>
        <v>7.401410761154855</v>
      </c>
      <c r="Z1685" s="214">
        <f ca="1">+$W1685</f>
        <v>10.80282152230971</v>
      </c>
      <c r="AA1685" s="214">
        <f ca="1">+$Y1685</f>
        <v>7.401410761154855</v>
      </c>
      <c r="AB1685" s="214">
        <f ca="1">+$X1685</f>
        <v>16.439632545931762</v>
      </c>
      <c r="AC1685" s="214">
        <f ca="1">+$W1685-XOffset</f>
        <v>10.80282152230971</v>
      </c>
    </row>
    <row r="1686" spans="19:29" ht="8.4" customHeight="1">
      <c r="S1686" s="307"/>
      <c r="T1686" s="226">
        <f t="shared" si="91"/>
        <v>1683</v>
      </c>
      <c r="U1686" s="224">
        <f t="shared" si="92"/>
        <v>0</v>
      </c>
      <c r="V1686" s="225">
        <f t="shared" si="93"/>
        <v>0</v>
      </c>
      <c r="W1686" s="238">
        <f ca="1">$U1686*EWSpacingFt+XOffset+0</f>
        <v>0</v>
      </c>
      <c r="X1686" s="242">
        <f ca="1">$V1686*NSSpacingFt+YOffset+PanArrayLenFt*COS(RADIANS(Latitude+DecAng))</f>
        <v>16.439632545931762</v>
      </c>
      <c r="Y1686" s="246">
        <f ca="1">+$V1686*NSGradeFt+PedHeight+PanArrayLenFt*SIN(RADIANS(Latitude+DecAng))</f>
        <v>7.401410761154855</v>
      </c>
      <c r="Z1686" s="214">
        <f ca="1">+$W1686</f>
        <v>0</v>
      </c>
      <c r="AA1686" s="214">
        <f ca="1">+$Y1686</f>
        <v>7.401410761154855</v>
      </c>
      <c r="AB1686" s="214">
        <f ca="1">+$X1686</f>
        <v>16.439632545931762</v>
      </c>
      <c r="AC1686" s="214">
        <f ca="1">+$W1686-XOffset</f>
        <v>0</v>
      </c>
    </row>
    <row r="1687" spans="19:29" ht="8.4" customHeight="1">
      <c r="S1687" s="307"/>
      <c r="T1687" s="226">
        <f t="shared" si="91"/>
        <v>1684</v>
      </c>
      <c r="U1687" s="224">
        <f t="shared" si="92"/>
        <v>0</v>
      </c>
      <c r="V1687" s="225">
        <f t="shared" si="93"/>
        <v>0</v>
      </c>
      <c r="W1687" s="239">
        <f ca="1">$U1687*EWSpacingFt+XOffset+(PanArrayWidthHighEndFt-PanArrayWidthLowEndFt)/2</f>
        <v>0</v>
      </c>
      <c r="X1687" s="243">
        <f ca="1">$V1687*NSSpacingFt+YOffset+0</f>
        <v>0</v>
      </c>
      <c r="Y1687" s="247">
        <f ca="1">+$V1687*NSGradeFt+PedHeight+0</f>
        <v>7.401410761154855</v>
      </c>
      <c r="Z1687" s="214">
        <f ca="1">+$W1687</f>
        <v>0</v>
      </c>
      <c r="AA1687" s="214">
        <f ca="1">+$Y1687</f>
        <v>7.401410761154855</v>
      </c>
      <c r="AB1687" s="214">
        <f ca="1">+$X1687</f>
        <v>0</v>
      </c>
      <c r="AC1687" s="214">
        <f ca="1">+$W1687-XOffset</f>
        <v>0</v>
      </c>
    </row>
    <row r="1688" spans="19:29" ht="8.4" customHeight="1">
      <c r="S1688" s="307"/>
      <c r="T1688" s="226">
        <f t="shared" si="91"/>
        <v>1685</v>
      </c>
      <c r="U1688" s="224">
        <f t="shared" si="92"/>
        <v>0</v>
      </c>
      <c r="V1688" s="225">
        <f t="shared" si="93"/>
        <v>0</v>
      </c>
      <c r="W1688" s="217"/>
      <c r="X1688" s="217"/>
      <c r="Y1688" s="217"/>
      <c r="Z1688" s="214"/>
      <c r="AA1688" s="214"/>
      <c r="AB1688" s="214"/>
      <c r="AC1688" s="214"/>
    </row>
    <row r="1689" spans="19:29" ht="8.4" customHeight="1">
      <c r="S1689" s="307">
        <f>INT((T1689-0)/6)+1</f>
        <v>282</v>
      </c>
      <c r="T1689" s="226">
        <f t="shared" si="91"/>
        <v>1686</v>
      </c>
      <c r="U1689" s="224">
        <f t="shared" si="92"/>
        <v>1</v>
      </c>
      <c r="V1689" s="225">
        <f t="shared" si="93"/>
        <v>0</v>
      </c>
      <c r="W1689" s="233">
        <f ca="1">$U1689*EWSpacingFt+XOffset+(PanArrayWidthHighEndFt-PanArrayWidthLowEndFt)/2</f>
        <v>30.000006832286932</v>
      </c>
      <c r="X1689" s="234">
        <f ca="1">$V1689*NSSpacingFt+YOffset+0</f>
        <v>0</v>
      </c>
      <c r="Y1689" s="235">
        <f ca="1">+$V1689*NSGradeFt+PedHeight+0</f>
        <v>7.401410761154855</v>
      </c>
      <c r="Z1689" s="214">
        <f ca="1">+$W1689</f>
        <v>30.000006832286932</v>
      </c>
      <c r="AA1689" s="214">
        <f ca="1">+$Y1689</f>
        <v>7.401410761154855</v>
      </c>
      <c r="AB1689" s="214">
        <f ca="1">+$X1689</f>
        <v>0</v>
      </c>
      <c r="AC1689" s="214">
        <f ca="1">+$W1689-XOffset</f>
        <v>30.000006832286932</v>
      </c>
    </row>
    <row r="1690" spans="19:29" ht="8.4" customHeight="1">
      <c r="S1690" s="307"/>
      <c r="T1690" s="226">
        <f t="shared" si="91"/>
        <v>1687</v>
      </c>
      <c r="U1690" s="224">
        <f t="shared" si="92"/>
        <v>1</v>
      </c>
      <c r="V1690" s="225">
        <f t="shared" si="93"/>
        <v>0</v>
      </c>
      <c r="W1690" s="236">
        <f ca="1">+$U1690*EWSpacingFt+XOffset+PanArrayWidthHighEndFt-(PanArrayWidthHighEndFt-PanArrayWidthLowEndFt)/2</f>
        <v>40.802828354596642</v>
      </c>
      <c r="X1690" s="240">
        <f ca="1">$V1690*NSSpacingFt+YOffset+0</f>
        <v>0</v>
      </c>
      <c r="Y1690" s="244">
        <f ca="1">+$V1690*NSGradeFt+PedHeight+0</f>
        <v>7.401410761154855</v>
      </c>
      <c r="Z1690" s="214">
        <f ca="1">+$W1690</f>
        <v>40.802828354596642</v>
      </c>
      <c r="AA1690" s="214">
        <f ca="1">+$Y1690</f>
        <v>7.401410761154855</v>
      </c>
      <c r="AB1690" s="214">
        <f ca="1">+$X1690</f>
        <v>0</v>
      </c>
      <c r="AC1690" s="214">
        <f ca="1">+$W1690-XOffset</f>
        <v>40.802828354596642</v>
      </c>
    </row>
    <row r="1691" spans="19:29" ht="8.4" customHeight="1">
      <c r="S1691" s="307"/>
      <c r="T1691" s="226">
        <f t="shared" si="91"/>
        <v>1688</v>
      </c>
      <c r="U1691" s="224">
        <f t="shared" si="92"/>
        <v>1</v>
      </c>
      <c r="V1691" s="225">
        <f t="shared" si="93"/>
        <v>0</v>
      </c>
      <c r="W1691" s="237">
        <f ca="1">$U1691*EWSpacingFt+XOffset+PanArrayWidthHighEndFt</f>
        <v>40.802828354596642</v>
      </c>
      <c r="X1691" s="241">
        <f ca="1">$V1691*NSSpacingFt+YOffset+PanArrayLenFt*COS(RADIANS(Latitude+DecAng))</f>
        <v>16.439632545931762</v>
      </c>
      <c r="Y1691" s="245">
        <f ca="1">+$V1691*NSGradeFt+PedHeight+PanArrayLenFt*SIN(RADIANS(Latitude+DecAng))</f>
        <v>7.401410761154855</v>
      </c>
      <c r="Z1691" s="214">
        <f ca="1">+$W1691</f>
        <v>40.802828354596642</v>
      </c>
      <c r="AA1691" s="214">
        <f ca="1">+$Y1691</f>
        <v>7.401410761154855</v>
      </c>
      <c r="AB1691" s="214">
        <f ca="1">+$X1691</f>
        <v>16.439632545931762</v>
      </c>
      <c r="AC1691" s="214">
        <f ca="1">+$W1691-XOffset</f>
        <v>40.802828354596642</v>
      </c>
    </row>
    <row r="1692" spans="19:29" ht="8.4" customHeight="1">
      <c r="S1692" s="307"/>
      <c r="T1692" s="226">
        <f t="shared" si="91"/>
        <v>1689</v>
      </c>
      <c r="U1692" s="224">
        <f t="shared" si="92"/>
        <v>1</v>
      </c>
      <c r="V1692" s="225">
        <f t="shared" si="93"/>
        <v>0</v>
      </c>
      <c r="W1692" s="238">
        <f ca="1">$U1692*EWSpacingFt+XOffset+0</f>
        <v>30.000006832286932</v>
      </c>
      <c r="X1692" s="242">
        <f ca="1">$V1692*NSSpacingFt+YOffset+PanArrayLenFt*COS(RADIANS(Latitude+DecAng))</f>
        <v>16.439632545931762</v>
      </c>
      <c r="Y1692" s="246">
        <f ca="1">+$V1692*NSGradeFt+PedHeight+PanArrayLenFt*SIN(RADIANS(Latitude+DecAng))</f>
        <v>7.401410761154855</v>
      </c>
      <c r="Z1692" s="214">
        <f ca="1">+$W1692</f>
        <v>30.000006832286932</v>
      </c>
      <c r="AA1692" s="214">
        <f ca="1">+$Y1692</f>
        <v>7.401410761154855</v>
      </c>
      <c r="AB1692" s="214">
        <f ca="1">+$X1692</f>
        <v>16.439632545931762</v>
      </c>
      <c r="AC1692" s="214">
        <f ca="1">+$W1692-XOffset</f>
        <v>30.000006832286932</v>
      </c>
    </row>
    <row r="1693" spans="19:29" ht="8.4" customHeight="1">
      <c r="S1693" s="307"/>
      <c r="T1693" s="226">
        <f t="shared" si="91"/>
        <v>1690</v>
      </c>
      <c r="U1693" s="224">
        <f t="shared" si="92"/>
        <v>1</v>
      </c>
      <c r="V1693" s="225">
        <f t="shared" si="93"/>
        <v>0</v>
      </c>
      <c r="W1693" s="239">
        <f ca="1">$U1693*EWSpacingFt+XOffset+(PanArrayWidthHighEndFt-PanArrayWidthLowEndFt)/2</f>
        <v>30.000006832286932</v>
      </c>
      <c r="X1693" s="243">
        <f ca="1">$V1693*NSSpacingFt+YOffset+0</f>
        <v>0</v>
      </c>
      <c r="Y1693" s="247">
        <f ca="1">+$V1693*NSGradeFt+PedHeight+0</f>
        <v>7.401410761154855</v>
      </c>
      <c r="Z1693" s="214">
        <f ca="1">+$W1693</f>
        <v>30.000006832286932</v>
      </c>
      <c r="AA1693" s="214">
        <f ca="1">+$Y1693</f>
        <v>7.401410761154855</v>
      </c>
      <c r="AB1693" s="214">
        <f ca="1">+$X1693</f>
        <v>0</v>
      </c>
      <c r="AC1693" s="214">
        <f ca="1">+$W1693-XOffset</f>
        <v>30.000006832286932</v>
      </c>
    </row>
    <row r="1694" spans="19:29" ht="8.4" customHeight="1">
      <c r="S1694" s="307"/>
      <c r="T1694" s="226">
        <f t="shared" si="91"/>
        <v>1691</v>
      </c>
      <c r="U1694" s="224">
        <f t="shared" si="92"/>
        <v>1</v>
      </c>
      <c r="V1694" s="225">
        <f t="shared" si="93"/>
        <v>0</v>
      </c>
      <c r="W1694" s="217"/>
      <c r="X1694" s="217"/>
      <c r="Y1694" s="217"/>
      <c r="Z1694" s="214"/>
      <c r="AA1694" s="214"/>
      <c r="AB1694" s="214"/>
      <c r="AC1694" s="214"/>
    </row>
    <row r="1695" spans="19:29" ht="8.4" customHeight="1">
      <c r="S1695" s="307">
        <f>INT((T1695-0)/6)+1</f>
        <v>283</v>
      </c>
      <c r="T1695" s="226">
        <f t="shared" si="91"/>
        <v>1692</v>
      </c>
      <c r="U1695" s="224">
        <f t="shared" si="92"/>
        <v>0</v>
      </c>
      <c r="V1695" s="225">
        <f t="shared" si="93"/>
        <v>1</v>
      </c>
      <c r="W1695" s="233">
        <f ca="1">$U1695*EWSpacingFt+XOffset+(PanArrayWidthHighEndFt-PanArrayWidthLowEndFt)/2</f>
        <v>0</v>
      </c>
      <c r="X1695" s="234">
        <f ca="1">$V1695*NSSpacingFt+YOffset+0</f>
        <v>17.999999999999989</v>
      </c>
      <c r="Y1695" s="235">
        <f ca="1">+$V1695*NSGradeFt+PedHeight+0</f>
        <v>7.401410761154855</v>
      </c>
      <c r="Z1695" s="214">
        <f ca="1">+$W1695</f>
        <v>0</v>
      </c>
      <c r="AA1695" s="214">
        <f ca="1">+$Y1695</f>
        <v>7.401410761154855</v>
      </c>
      <c r="AB1695" s="214">
        <f ca="1">+$X1695</f>
        <v>17.999999999999989</v>
      </c>
      <c r="AC1695" s="214">
        <f ca="1">+$W1695-XOffset</f>
        <v>0</v>
      </c>
    </row>
    <row r="1696" spans="19:29" ht="8.4" customHeight="1">
      <c r="S1696" s="307"/>
      <c r="T1696" s="226">
        <f t="shared" si="91"/>
        <v>1693</v>
      </c>
      <c r="U1696" s="224">
        <f t="shared" si="92"/>
        <v>0</v>
      </c>
      <c r="V1696" s="225">
        <f t="shared" si="93"/>
        <v>1</v>
      </c>
      <c r="W1696" s="236">
        <f ca="1">+$U1696*EWSpacingFt+XOffset+PanArrayWidthHighEndFt-(PanArrayWidthHighEndFt-PanArrayWidthLowEndFt)/2</f>
        <v>10.80282152230971</v>
      </c>
      <c r="X1696" s="240">
        <f ca="1">$V1696*NSSpacingFt+YOffset+0</f>
        <v>17.999999999999989</v>
      </c>
      <c r="Y1696" s="244">
        <f ca="1">+$V1696*NSGradeFt+PedHeight+0</f>
        <v>7.401410761154855</v>
      </c>
      <c r="Z1696" s="214">
        <f ca="1">+$W1696</f>
        <v>10.80282152230971</v>
      </c>
      <c r="AA1696" s="214">
        <f ca="1">+$Y1696</f>
        <v>7.401410761154855</v>
      </c>
      <c r="AB1696" s="214">
        <f ca="1">+$X1696</f>
        <v>17.999999999999989</v>
      </c>
      <c r="AC1696" s="214">
        <f ca="1">+$W1696-XOffset</f>
        <v>10.80282152230971</v>
      </c>
    </row>
    <row r="1697" spans="19:29" ht="8.4" customHeight="1">
      <c r="S1697" s="307"/>
      <c r="T1697" s="226">
        <f t="shared" si="91"/>
        <v>1694</v>
      </c>
      <c r="U1697" s="224">
        <f t="shared" si="92"/>
        <v>0</v>
      </c>
      <c r="V1697" s="225">
        <f t="shared" si="93"/>
        <v>1</v>
      </c>
      <c r="W1697" s="237">
        <f ca="1">$U1697*EWSpacingFt+XOffset+PanArrayWidthHighEndFt</f>
        <v>10.80282152230971</v>
      </c>
      <c r="X1697" s="241">
        <f ca="1">$V1697*NSSpacingFt+YOffset+PanArrayLenFt*COS(RADIANS(Latitude+DecAng))</f>
        <v>34.439632545931751</v>
      </c>
      <c r="Y1697" s="245">
        <f ca="1">+$V1697*NSGradeFt+PedHeight+PanArrayLenFt*SIN(RADIANS(Latitude+DecAng))</f>
        <v>7.401410761154855</v>
      </c>
      <c r="Z1697" s="214">
        <f ca="1">+$W1697</f>
        <v>10.80282152230971</v>
      </c>
      <c r="AA1697" s="214">
        <f ca="1">+$Y1697</f>
        <v>7.401410761154855</v>
      </c>
      <c r="AB1697" s="214">
        <f ca="1">+$X1697</f>
        <v>34.439632545931751</v>
      </c>
      <c r="AC1697" s="214">
        <f ca="1">+$W1697-XOffset</f>
        <v>10.80282152230971</v>
      </c>
    </row>
    <row r="1698" spans="19:29" ht="8.4" customHeight="1">
      <c r="S1698" s="307"/>
      <c r="T1698" s="226">
        <f t="shared" si="91"/>
        <v>1695</v>
      </c>
      <c r="U1698" s="224">
        <f t="shared" si="92"/>
        <v>0</v>
      </c>
      <c r="V1698" s="225">
        <f t="shared" si="93"/>
        <v>1</v>
      </c>
      <c r="W1698" s="238">
        <f ca="1">$U1698*EWSpacingFt+XOffset+0</f>
        <v>0</v>
      </c>
      <c r="X1698" s="242">
        <f ca="1">$V1698*NSSpacingFt+YOffset+PanArrayLenFt*COS(RADIANS(Latitude+DecAng))</f>
        <v>34.439632545931751</v>
      </c>
      <c r="Y1698" s="246">
        <f ca="1">+$V1698*NSGradeFt+PedHeight+PanArrayLenFt*SIN(RADIANS(Latitude+DecAng))</f>
        <v>7.401410761154855</v>
      </c>
      <c r="Z1698" s="214">
        <f ca="1">+$W1698</f>
        <v>0</v>
      </c>
      <c r="AA1698" s="214">
        <f ca="1">+$Y1698</f>
        <v>7.401410761154855</v>
      </c>
      <c r="AB1698" s="214">
        <f ca="1">+$X1698</f>
        <v>34.439632545931751</v>
      </c>
      <c r="AC1698" s="214">
        <f ca="1">+$W1698-XOffset</f>
        <v>0</v>
      </c>
    </row>
    <row r="1699" spans="19:29" ht="8.4" customHeight="1">
      <c r="S1699" s="307"/>
      <c r="T1699" s="226">
        <f t="shared" si="91"/>
        <v>1696</v>
      </c>
      <c r="U1699" s="224">
        <f t="shared" si="92"/>
        <v>0</v>
      </c>
      <c r="V1699" s="225">
        <f t="shared" si="93"/>
        <v>1</v>
      </c>
      <c r="W1699" s="239">
        <f ca="1">$U1699*EWSpacingFt+XOffset+(PanArrayWidthHighEndFt-PanArrayWidthLowEndFt)/2</f>
        <v>0</v>
      </c>
      <c r="X1699" s="243">
        <f ca="1">$V1699*NSSpacingFt+YOffset+0</f>
        <v>17.999999999999989</v>
      </c>
      <c r="Y1699" s="247">
        <f ca="1">+$V1699*NSGradeFt+PedHeight+0</f>
        <v>7.401410761154855</v>
      </c>
      <c r="Z1699" s="214">
        <f ca="1">+$W1699</f>
        <v>0</v>
      </c>
      <c r="AA1699" s="214">
        <f ca="1">+$Y1699</f>
        <v>7.401410761154855</v>
      </c>
      <c r="AB1699" s="214">
        <f ca="1">+$X1699</f>
        <v>17.999999999999989</v>
      </c>
      <c r="AC1699" s="214">
        <f ca="1">+$W1699-XOffset</f>
        <v>0</v>
      </c>
    </row>
    <row r="1700" spans="19:29" ht="8.4" customHeight="1">
      <c r="S1700" s="307"/>
      <c r="T1700" s="226">
        <f t="shared" si="91"/>
        <v>1697</v>
      </c>
      <c r="U1700" s="224">
        <f t="shared" si="92"/>
        <v>0</v>
      </c>
      <c r="V1700" s="225">
        <f t="shared" si="93"/>
        <v>1</v>
      </c>
      <c r="W1700" s="217"/>
      <c r="X1700" s="217"/>
      <c r="Y1700" s="217"/>
      <c r="Z1700" s="214"/>
      <c r="AA1700" s="214"/>
      <c r="AB1700" s="214"/>
      <c r="AC1700" s="214"/>
    </row>
    <row r="1701" spans="19:29" ht="8.4" customHeight="1">
      <c r="S1701" s="307">
        <f>INT((T1701-0)/6)+1</f>
        <v>284</v>
      </c>
      <c r="T1701" s="226">
        <f t="shared" ref="T1701:T1764" si="94">+T1700+1</f>
        <v>1698</v>
      </c>
      <c r="U1701" s="224">
        <f t="shared" si="92"/>
        <v>1</v>
      </c>
      <c r="V1701" s="225">
        <f t="shared" si="93"/>
        <v>1</v>
      </c>
      <c r="W1701" s="233">
        <f ca="1">$U1701*EWSpacingFt+XOffset+(PanArrayWidthHighEndFt-PanArrayWidthLowEndFt)/2</f>
        <v>30.000006832286932</v>
      </c>
      <c r="X1701" s="234">
        <f ca="1">$V1701*NSSpacingFt+YOffset+0</f>
        <v>17.999999999999989</v>
      </c>
      <c r="Y1701" s="235">
        <f ca="1">+$V1701*NSGradeFt+PedHeight+0</f>
        <v>7.401410761154855</v>
      </c>
      <c r="Z1701" s="214">
        <f ca="1">+$W1701</f>
        <v>30.000006832286932</v>
      </c>
      <c r="AA1701" s="214">
        <f ca="1">+$Y1701</f>
        <v>7.401410761154855</v>
      </c>
      <c r="AB1701" s="214">
        <f ca="1">+$X1701</f>
        <v>17.999999999999989</v>
      </c>
      <c r="AC1701" s="214">
        <f ca="1">+$W1701-XOffset</f>
        <v>30.000006832286932</v>
      </c>
    </row>
    <row r="1702" spans="19:29" ht="8.4" customHeight="1">
      <c r="S1702" s="307"/>
      <c r="T1702" s="226">
        <f t="shared" si="94"/>
        <v>1699</v>
      </c>
      <c r="U1702" s="224">
        <f t="shared" si="92"/>
        <v>1</v>
      </c>
      <c r="V1702" s="225">
        <f t="shared" si="93"/>
        <v>1</v>
      </c>
      <c r="W1702" s="236">
        <f ca="1">+$U1702*EWSpacingFt+XOffset+PanArrayWidthHighEndFt-(PanArrayWidthHighEndFt-PanArrayWidthLowEndFt)/2</f>
        <v>40.802828354596642</v>
      </c>
      <c r="X1702" s="240">
        <f ca="1">$V1702*NSSpacingFt+YOffset+0</f>
        <v>17.999999999999989</v>
      </c>
      <c r="Y1702" s="244">
        <f ca="1">+$V1702*NSGradeFt+PedHeight+0</f>
        <v>7.401410761154855</v>
      </c>
      <c r="Z1702" s="214">
        <f ca="1">+$W1702</f>
        <v>40.802828354596642</v>
      </c>
      <c r="AA1702" s="214">
        <f ca="1">+$Y1702</f>
        <v>7.401410761154855</v>
      </c>
      <c r="AB1702" s="214">
        <f ca="1">+$X1702</f>
        <v>17.999999999999989</v>
      </c>
      <c r="AC1702" s="214">
        <f ca="1">+$W1702-XOffset</f>
        <v>40.802828354596642</v>
      </c>
    </row>
    <row r="1703" spans="19:29" ht="8.4" customHeight="1">
      <c r="S1703" s="307"/>
      <c r="T1703" s="226">
        <f t="shared" si="94"/>
        <v>1700</v>
      </c>
      <c r="U1703" s="224">
        <f t="shared" si="92"/>
        <v>1</v>
      </c>
      <c r="V1703" s="225">
        <f t="shared" si="93"/>
        <v>1</v>
      </c>
      <c r="W1703" s="237">
        <f ca="1">$U1703*EWSpacingFt+XOffset+PanArrayWidthHighEndFt</f>
        <v>40.802828354596642</v>
      </c>
      <c r="X1703" s="241">
        <f ca="1">$V1703*NSSpacingFt+YOffset+PanArrayLenFt*COS(RADIANS(Latitude+DecAng))</f>
        <v>34.439632545931751</v>
      </c>
      <c r="Y1703" s="245">
        <f ca="1">+$V1703*NSGradeFt+PedHeight+PanArrayLenFt*SIN(RADIANS(Latitude+DecAng))</f>
        <v>7.401410761154855</v>
      </c>
      <c r="Z1703" s="214">
        <f ca="1">+$W1703</f>
        <v>40.802828354596642</v>
      </c>
      <c r="AA1703" s="214">
        <f ca="1">+$Y1703</f>
        <v>7.401410761154855</v>
      </c>
      <c r="AB1703" s="214">
        <f ca="1">+$X1703</f>
        <v>34.439632545931751</v>
      </c>
      <c r="AC1703" s="214">
        <f ca="1">+$W1703-XOffset</f>
        <v>40.802828354596642</v>
      </c>
    </row>
    <row r="1704" spans="19:29" ht="8.4" customHeight="1">
      <c r="S1704" s="307"/>
      <c r="T1704" s="226">
        <f t="shared" si="94"/>
        <v>1701</v>
      </c>
      <c r="U1704" s="224">
        <f t="shared" si="92"/>
        <v>1</v>
      </c>
      <c r="V1704" s="225">
        <f t="shared" si="93"/>
        <v>1</v>
      </c>
      <c r="W1704" s="238">
        <f ca="1">$U1704*EWSpacingFt+XOffset+0</f>
        <v>30.000006832286932</v>
      </c>
      <c r="X1704" s="242">
        <f ca="1">$V1704*NSSpacingFt+YOffset+PanArrayLenFt*COS(RADIANS(Latitude+DecAng))</f>
        <v>34.439632545931751</v>
      </c>
      <c r="Y1704" s="246">
        <f ca="1">+$V1704*NSGradeFt+PedHeight+PanArrayLenFt*SIN(RADIANS(Latitude+DecAng))</f>
        <v>7.401410761154855</v>
      </c>
      <c r="Z1704" s="214">
        <f ca="1">+$W1704</f>
        <v>30.000006832286932</v>
      </c>
      <c r="AA1704" s="214">
        <f ca="1">+$Y1704</f>
        <v>7.401410761154855</v>
      </c>
      <c r="AB1704" s="214">
        <f ca="1">+$X1704</f>
        <v>34.439632545931751</v>
      </c>
      <c r="AC1704" s="214">
        <f ca="1">+$W1704-XOffset</f>
        <v>30.000006832286932</v>
      </c>
    </row>
    <row r="1705" spans="19:29" ht="8.4" customHeight="1">
      <c r="S1705" s="307"/>
      <c r="T1705" s="226">
        <f t="shared" si="94"/>
        <v>1702</v>
      </c>
      <c r="U1705" s="224">
        <f t="shared" si="92"/>
        <v>1</v>
      </c>
      <c r="V1705" s="225">
        <f t="shared" si="93"/>
        <v>1</v>
      </c>
      <c r="W1705" s="239">
        <f ca="1">$U1705*EWSpacingFt+XOffset+(PanArrayWidthHighEndFt-PanArrayWidthLowEndFt)/2</f>
        <v>30.000006832286932</v>
      </c>
      <c r="X1705" s="243">
        <f ca="1">$V1705*NSSpacingFt+YOffset+0</f>
        <v>17.999999999999989</v>
      </c>
      <c r="Y1705" s="247">
        <f ca="1">+$V1705*NSGradeFt+PedHeight+0</f>
        <v>7.401410761154855</v>
      </c>
      <c r="Z1705" s="214">
        <f ca="1">+$W1705</f>
        <v>30.000006832286932</v>
      </c>
      <c r="AA1705" s="214">
        <f ca="1">+$Y1705</f>
        <v>7.401410761154855</v>
      </c>
      <c r="AB1705" s="214">
        <f ca="1">+$X1705</f>
        <v>17.999999999999989</v>
      </c>
      <c r="AC1705" s="214">
        <f ca="1">+$W1705-XOffset</f>
        <v>30.000006832286932</v>
      </c>
    </row>
    <row r="1706" spans="19:29" ht="8.4" customHeight="1">
      <c r="S1706" s="307"/>
      <c r="T1706" s="226">
        <f t="shared" si="94"/>
        <v>1703</v>
      </c>
      <c r="U1706" s="224">
        <f t="shared" si="92"/>
        <v>1</v>
      </c>
      <c r="V1706" s="225">
        <f t="shared" si="93"/>
        <v>1</v>
      </c>
      <c r="W1706" s="217"/>
      <c r="X1706" s="217"/>
      <c r="Y1706" s="217"/>
      <c r="Z1706" s="214"/>
      <c r="AA1706" s="214"/>
      <c r="AB1706" s="214"/>
      <c r="AC1706" s="214"/>
    </row>
    <row r="1707" spans="19:29" ht="8.4" customHeight="1">
      <c r="S1707" s="307">
        <f>INT((T1707-0)/6)+1</f>
        <v>285</v>
      </c>
      <c r="T1707" s="226">
        <f t="shared" si="94"/>
        <v>1704</v>
      </c>
      <c r="U1707" s="224">
        <f t="shared" si="92"/>
        <v>0</v>
      </c>
      <c r="V1707" s="225">
        <f t="shared" si="93"/>
        <v>2</v>
      </c>
      <c r="W1707" s="233">
        <f ca="1">$U1707*EWSpacingFt+XOffset+(PanArrayWidthHighEndFt-PanArrayWidthLowEndFt)/2</f>
        <v>0</v>
      </c>
      <c r="X1707" s="234">
        <f ca="1">$V1707*NSSpacingFt+YOffset+0</f>
        <v>35.999999999999979</v>
      </c>
      <c r="Y1707" s="235">
        <f ca="1">+$V1707*NSGradeFt+PedHeight+0</f>
        <v>7.401410761154855</v>
      </c>
      <c r="Z1707" s="214">
        <f ca="1">+$W1707</f>
        <v>0</v>
      </c>
      <c r="AA1707" s="214">
        <f ca="1">+$Y1707</f>
        <v>7.401410761154855</v>
      </c>
      <c r="AB1707" s="214">
        <f ca="1">+$X1707</f>
        <v>35.999999999999979</v>
      </c>
      <c r="AC1707" s="214">
        <f ca="1">+$W1707-XOffset</f>
        <v>0</v>
      </c>
    </row>
    <row r="1708" spans="19:29" ht="8.4" customHeight="1">
      <c r="S1708" s="307"/>
      <c r="T1708" s="226">
        <f t="shared" si="94"/>
        <v>1705</v>
      </c>
      <c r="U1708" s="224">
        <f t="shared" si="92"/>
        <v>0</v>
      </c>
      <c r="V1708" s="225">
        <f t="shared" si="93"/>
        <v>2</v>
      </c>
      <c r="W1708" s="236">
        <f ca="1">+$U1708*EWSpacingFt+XOffset+PanArrayWidthHighEndFt-(PanArrayWidthHighEndFt-PanArrayWidthLowEndFt)/2</f>
        <v>10.80282152230971</v>
      </c>
      <c r="X1708" s="240">
        <f ca="1">$V1708*NSSpacingFt+YOffset+0</f>
        <v>35.999999999999979</v>
      </c>
      <c r="Y1708" s="244">
        <f ca="1">+$V1708*NSGradeFt+PedHeight+0</f>
        <v>7.401410761154855</v>
      </c>
      <c r="Z1708" s="214">
        <f ca="1">+$W1708</f>
        <v>10.80282152230971</v>
      </c>
      <c r="AA1708" s="214">
        <f ca="1">+$Y1708</f>
        <v>7.401410761154855</v>
      </c>
      <c r="AB1708" s="214">
        <f ca="1">+$X1708</f>
        <v>35.999999999999979</v>
      </c>
      <c r="AC1708" s="214">
        <f ca="1">+$W1708-XOffset</f>
        <v>10.80282152230971</v>
      </c>
    </row>
    <row r="1709" spans="19:29" ht="8.4" customHeight="1">
      <c r="S1709" s="307"/>
      <c r="T1709" s="226">
        <f t="shared" si="94"/>
        <v>1706</v>
      </c>
      <c r="U1709" s="224">
        <f t="shared" si="92"/>
        <v>0</v>
      </c>
      <c r="V1709" s="225">
        <f t="shared" si="93"/>
        <v>2</v>
      </c>
      <c r="W1709" s="237">
        <f ca="1">$U1709*EWSpacingFt+XOffset+PanArrayWidthHighEndFt</f>
        <v>10.80282152230971</v>
      </c>
      <c r="X1709" s="241">
        <f ca="1">$V1709*NSSpacingFt+YOffset+PanArrayLenFt*COS(RADIANS(Latitude+DecAng))</f>
        <v>52.439632545931744</v>
      </c>
      <c r="Y1709" s="245">
        <f ca="1">+$V1709*NSGradeFt+PedHeight+PanArrayLenFt*SIN(RADIANS(Latitude+DecAng))</f>
        <v>7.401410761154855</v>
      </c>
      <c r="Z1709" s="214">
        <f ca="1">+$W1709</f>
        <v>10.80282152230971</v>
      </c>
      <c r="AA1709" s="214">
        <f ca="1">+$Y1709</f>
        <v>7.401410761154855</v>
      </c>
      <c r="AB1709" s="214">
        <f ca="1">+$X1709</f>
        <v>52.439632545931744</v>
      </c>
      <c r="AC1709" s="214">
        <f ca="1">+$W1709-XOffset</f>
        <v>10.80282152230971</v>
      </c>
    </row>
    <row r="1710" spans="19:29" ht="8.4" customHeight="1">
      <c r="S1710" s="307"/>
      <c r="T1710" s="226">
        <f t="shared" si="94"/>
        <v>1707</v>
      </c>
      <c r="U1710" s="224">
        <f t="shared" si="92"/>
        <v>0</v>
      </c>
      <c r="V1710" s="225">
        <f t="shared" si="93"/>
        <v>2</v>
      </c>
      <c r="W1710" s="238">
        <f ca="1">$U1710*EWSpacingFt+XOffset+0</f>
        <v>0</v>
      </c>
      <c r="X1710" s="242">
        <f ca="1">$V1710*NSSpacingFt+YOffset+PanArrayLenFt*COS(RADIANS(Latitude+DecAng))</f>
        <v>52.439632545931744</v>
      </c>
      <c r="Y1710" s="246">
        <f ca="1">+$V1710*NSGradeFt+PedHeight+PanArrayLenFt*SIN(RADIANS(Latitude+DecAng))</f>
        <v>7.401410761154855</v>
      </c>
      <c r="Z1710" s="214">
        <f ca="1">+$W1710</f>
        <v>0</v>
      </c>
      <c r="AA1710" s="214">
        <f ca="1">+$Y1710</f>
        <v>7.401410761154855</v>
      </c>
      <c r="AB1710" s="214">
        <f ca="1">+$X1710</f>
        <v>52.439632545931744</v>
      </c>
      <c r="AC1710" s="214">
        <f ca="1">+$W1710-XOffset</f>
        <v>0</v>
      </c>
    </row>
    <row r="1711" spans="19:29" ht="8.4" customHeight="1">
      <c r="S1711" s="307"/>
      <c r="T1711" s="226">
        <f t="shared" si="94"/>
        <v>1708</v>
      </c>
      <c r="U1711" s="224">
        <f t="shared" si="92"/>
        <v>0</v>
      </c>
      <c r="V1711" s="225">
        <f t="shared" si="93"/>
        <v>2</v>
      </c>
      <c r="W1711" s="239">
        <f ca="1">$U1711*EWSpacingFt+XOffset+(PanArrayWidthHighEndFt-PanArrayWidthLowEndFt)/2</f>
        <v>0</v>
      </c>
      <c r="X1711" s="243">
        <f ca="1">$V1711*NSSpacingFt+YOffset+0</f>
        <v>35.999999999999979</v>
      </c>
      <c r="Y1711" s="247">
        <f ca="1">+$V1711*NSGradeFt+PedHeight+0</f>
        <v>7.401410761154855</v>
      </c>
      <c r="Z1711" s="214">
        <f ca="1">+$W1711</f>
        <v>0</v>
      </c>
      <c r="AA1711" s="214">
        <f ca="1">+$Y1711</f>
        <v>7.401410761154855</v>
      </c>
      <c r="AB1711" s="214">
        <f ca="1">+$X1711</f>
        <v>35.999999999999979</v>
      </c>
      <c r="AC1711" s="214">
        <f ca="1">+$W1711-XOffset</f>
        <v>0</v>
      </c>
    </row>
    <row r="1712" spans="19:29" ht="8.4" customHeight="1">
      <c r="S1712" s="307"/>
      <c r="T1712" s="226">
        <f t="shared" si="94"/>
        <v>1709</v>
      </c>
      <c r="U1712" s="224">
        <f t="shared" si="92"/>
        <v>0</v>
      </c>
      <c r="V1712" s="225">
        <f t="shared" si="93"/>
        <v>2</v>
      </c>
      <c r="W1712" s="217"/>
      <c r="X1712" s="217"/>
      <c r="Y1712" s="217"/>
      <c r="Z1712" s="214"/>
      <c r="AA1712" s="214"/>
      <c r="AB1712" s="214"/>
      <c r="AC1712" s="214"/>
    </row>
    <row r="1713" spans="19:29" ht="8.4" customHeight="1">
      <c r="S1713" s="307">
        <f>INT((T1713-0)/6)+1</f>
        <v>286</v>
      </c>
      <c r="T1713" s="226">
        <f t="shared" si="94"/>
        <v>1710</v>
      </c>
      <c r="U1713" s="224">
        <f t="shared" si="92"/>
        <v>1</v>
      </c>
      <c r="V1713" s="225">
        <f t="shared" si="93"/>
        <v>2</v>
      </c>
      <c r="W1713" s="233">
        <f ca="1">$U1713*EWSpacingFt+XOffset+(PanArrayWidthHighEndFt-PanArrayWidthLowEndFt)/2</f>
        <v>30.000006832286932</v>
      </c>
      <c r="X1713" s="234">
        <f ca="1">$V1713*NSSpacingFt+YOffset+0</f>
        <v>35.999999999999979</v>
      </c>
      <c r="Y1713" s="235">
        <f ca="1">+$V1713*NSGradeFt+PedHeight+0</f>
        <v>7.401410761154855</v>
      </c>
      <c r="Z1713" s="214">
        <f ca="1">+$W1713</f>
        <v>30.000006832286932</v>
      </c>
      <c r="AA1713" s="214">
        <f ca="1">+$Y1713</f>
        <v>7.401410761154855</v>
      </c>
      <c r="AB1713" s="214">
        <f ca="1">+$X1713</f>
        <v>35.999999999999979</v>
      </c>
      <c r="AC1713" s="214">
        <f ca="1">+$W1713-XOffset</f>
        <v>30.000006832286932</v>
      </c>
    </row>
    <row r="1714" spans="19:29" ht="8.4" customHeight="1">
      <c r="S1714" s="307"/>
      <c r="T1714" s="226">
        <f t="shared" si="94"/>
        <v>1711</v>
      </c>
      <c r="U1714" s="224">
        <f t="shared" si="92"/>
        <v>1</v>
      </c>
      <c r="V1714" s="225">
        <f t="shared" si="93"/>
        <v>2</v>
      </c>
      <c r="W1714" s="236">
        <f ca="1">+$U1714*EWSpacingFt+XOffset+PanArrayWidthHighEndFt-(PanArrayWidthHighEndFt-PanArrayWidthLowEndFt)/2</f>
        <v>40.802828354596642</v>
      </c>
      <c r="X1714" s="240">
        <f ca="1">$V1714*NSSpacingFt+YOffset+0</f>
        <v>35.999999999999979</v>
      </c>
      <c r="Y1714" s="244">
        <f ca="1">+$V1714*NSGradeFt+PedHeight+0</f>
        <v>7.401410761154855</v>
      </c>
      <c r="Z1714" s="214">
        <f ca="1">+$W1714</f>
        <v>40.802828354596642</v>
      </c>
      <c r="AA1714" s="214">
        <f ca="1">+$Y1714</f>
        <v>7.401410761154855</v>
      </c>
      <c r="AB1714" s="214">
        <f ca="1">+$X1714</f>
        <v>35.999999999999979</v>
      </c>
      <c r="AC1714" s="214">
        <f ca="1">+$W1714-XOffset</f>
        <v>40.802828354596642</v>
      </c>
    </row>
    <row r="1715" spans="19:29" ht="8.4" customHeight="1">
      <c r="S1715" s="307"/>
      <c r="T1715" s="226">
        <f t="shared" si="94"/>
        <v>1712</v>
      </c>
      <c r="U1715" s="224">
        <f t="shared" si="92"/>
        <v>1</v>
      </c>
      <c r="V1715" s="225">
        <f t="shared" si="93"/>
        <v>2</v>
      </c>
      <c r="W1715" s="237">
        <f ca="1">$U1715*EWSpacingFt+XOffset+PanArrayWidthHighEndFt</f>
        <v>40.802828354596642</v>
      </c>
      <c r="X1715" s="241">
        <f ca="1">$V1715*NSSpacingFt+YOffset+PanArrayLenFt*COS(RADIANS(Latitude+DecAng))</f>
        <v>52.439632545931744</v>
      </c>
      <c r="Y1715" s="245">
        <f ca="1">+$V1715*NSGradeFt+PedHeight+PanArrayLenFt*SIN(RADIANS(Latitude+DecAng))</f>
        <v>7.401410761154855</v>
      </c>
      <c r="Z1715" s="214">
        <f ca="1">+$W1715</f>
        <v>40.802828354596642</v>
      </c>
      <c r="AA1715" s="214">
        <f ca="1">+$Y1715</f>
        <v>7.401410761154855</v>
      </c>
      <c r="AB1715" s="214">
        <f ca="1">+$X1715</f>
        <v>52.439632545931744</v>
      </c>
      <c r="AC1715" s="214">
        <f ca="1">+$W1715-XOffset</f>
        <v>40.802828354596642</v>
      </c>
    </row>
    <row r="1716" spans="19:29" ht="8.4" customHeight="1">
      <c r="S1716" s="307"/>
      <c r="T1716" s="226">
        <f t="shared" si="94"/>
        <v>1713</v>
      </c>
      <c r="U1716" s="224">
        <f t="shared" si="92"/>
        <v>1</v>
      </c>
      <c r="V1716" s="225">
        <f t="shared" si="93"/>
        <v>2</v>
      </c>
      <c r="W1716" s="238">
        <f ca="1">$U1716*EWSpacingFt+XOffset+0</f>
        <v>30.000006832286932</v>
      </c>
      <c r="X1716" s="242">
        <f ca="1">$V1716*NSSpacingFt+YOffset+PanArrayLenFt*COS(RADIANS(Latitude+DecAng))</f>
        <v>52.439632545931744</v>
      </c>
      <c r="Y1716" s="246">
        <f ca="1">+$V1716*NSGradeFt+PedHeight+PanArrayLenFt*SIN(RADIANS(Latitude+DecAng))</f>
        <v>7.401410761154855</v>
      </c>
      <c r="Z1716" s="214">
        <f ca="1">+$W1716</f>
        <v>30.000006832286932</v>
      </c>
      <c r="AA1716" s="214">
        <f ca="1">+$Y1716</f>
        <v>7.401410761154855</v>
      </c>
      <c r="AB1716" s="214">
        <f ca="1">+$X1716</f>
        <v>52.439632545931744</v>
      </c>
      <c r="AC1716" s="214">
        <f ca="1">+$W1716-XOffset</f>
        <v>30.000006832286932</v>
      </c>
    </row>
    <row r="1717" spans="19:29" ht="8.4" customHeight="1">
      <c r="S1717" s="307"/>
      <c r="T1717" s="226">
        <f t="shared" si="94"/>
        <v>1714</v>
      </c>
      <c r="U1717" s="224">
        <f t="shared" si="92"/>
        <v>1</v>
      </c>
      <c r="V1717" s="225">
        <f t="shared" si="93"/>
        <v>2</v>
      </c>
      <c r="W1717" s="239">
        <f ca="1">$U1717*EWSpacingFt+XOffset+(PanArrayWidthHighEndFt-PanArrayWidthLowEndFt)/2</f>
        <v>30.000006832286932</v>
      </c>
      <c r="X1717" s="243">
        <f ca="1">$V1717*NSSpacingFt+YOffset+0</f>
        <v>35.999999999999979</v>
      </c>
      <c r="Y1717" s="247">
        <f ca="1">+$V1717*NSGradeFt+PedHeight+0</f>
        <v>7.401410761154855</v>
      </c>
      <c r="Z1717" s="214">
        <f ca="1">+$W1717</f>
        <v>30.000006832286932</v>
      </c>
      <c r="AA1717" s="214">
        <f ca="1">+$Y1717</f>
        <v>7.401410761154855</v>
      </c>
      <c r="AB1717" s="214">
        <f ca="1">+$X1717</f>
        <v>35.999999999999979</v>
      </c>
      <c r="AC1717" s="214">
        <f ca="1">+$W1717-XOffset</f>
        <v>30.000006832286932</v>
      </c>
    </row>
    <row r="1718" spans="19:29" ht="8.4" customHeight="1">
      <c r="S1718" s="307"/>
      <c r="T1718" s="226">
        <f t="shared" si="94"/>
        <v>1715</v>
      </c>
      <c r="U1718" s="224">
        <f t="shared" si="92"/>
        <v>1</v>
      </c>
      <c r="V1718" s="225">
        <f t="shared" si="93"/>
        <v>2</v>
      </c>
      <c r="W1718" s="217"/>
      <c r="X1718" s="217"/>
      <c r="Y1718" s="217"/>
      <c r="Z1718" s="214"/>
      <c r="AA1718" s="214"/>
      <c r="AB1718" s="214"/>
      <c r="AC1718" s="214"/>
    </row>
    <row r="1719" spans="19:29" ht="8.4" customHeight="1">
      <c r="S1719" s="307">
        <f>INT((T1719-0)/6)+1</f>
        <v>287</v>
      </c>
      <c r="T1719" s="226">
        <f t="shared" si="94"/>
        <v>1716</v>
      </c>
      <c r="U1719" s="224">
        <f t="shared" si="92"/>
        <v>0</v>
      </c>
      <c r="V1719" s="225">
        <f t="shared" si="93"/>
        <v>3</v>
      </c>
      <c r="W1719" s="233">
        <f ca="1">$U1719*EWSpacingFt+XOffset+(PanArrayWidthHighEndFt-PanArrayWidthLowEndFt)/2</f>
        <v>0</v>
      </c>
      <c r="X1719" s="234">
        <f ca="1">$V1719*NSSpacingFt+YOffset+0</f>
        <v>53.999999999999972</v>
      </c>
      <c r="Y1719" s="235">
        <f ca="1">+$V1719*NSGradeFt+PedHeight+0</f>
        <v>7.401410761154855</v>
      </c>
      <c r="Z1719" s="214">
        <f ca="1">+$W1719</f>
        <v>0</v>
      </c>
      <c r="AA1719" s="214">
        <f ca="1">+$Y1719</f>
        <v>7.401410761154855</v>
      </c>
      <c r="AB1719" s="214">
        <f ca="1">+$X1719</f>
        <v>53.999999999999972</v>
      </c>
      <c r="AC1719" s="214">
        <f ca="1">+$W1719-XOffset</f>
        <v>0</v>
      </c>
    </row>
    <row r="1720" spans="19:29" ht="8.4" customHeight="1">
      <c r="S1720" s="307"/>
      <c r="T1720" s="226">
        <f t="shared" si="94"/>
        <v>1717</v>
      </c>
      <c r="U1720" s="224">
        <f t="shared" si="92"/>
        <v>0</v>
      </c>
      <c r="V1720" s="225">
        <f t="shared" si="93"/>
        <v>3</v>
      </c>
      <c r="W1720" s="236">
        <f ca="1">+$U1720*EWSpacingFt+XOffset+PanArrayWidthHighEndFt-(PanArrayWidthHighEndFt-PanArrayWidthLowEndFt)/2</f>
        <v>10.80282152230971</v>
      </c>
      <c r="X1720" s="240">
        <f ca="1">$V1720*NSSpacingFt+YOffset+0</f>
        <v>53.999999999999972</v>
      </c>
      <c r="Y1720" s="244">
        <f ca="1">+$V1720*NSGradeFt+PedHeight+0</f>
        <v>7.401410761154855</v>
      </c>
      <c r="Z1720" s="214">
        <f ca="1">+$W1720</f>
        <v>10.80282152230971</v>
      </c>
      <c r="AA1720" s="214">
        <f ca="1">+$Y1720</f>
        <v>7.401410761154855</v>
      </c>
      <c r="AB1720" s="214">
        <f ca="1">+$X1720</f>
        <v>53.999999999999972</v>
      </c>
      <c r="AC1720" s="214">
        <f ca="1">+$W1720-XOffset</f>
        <v>10.80282152230971</v>
      </c>
    </row>
    <row r="1721" spans="19:29" ht="8.4" customHeight="1">
      <c r="S1721" s="307"/>
      <c r="T1721" s="226">
        <f t="shared" si="94"/>
        <v>1718</v>
      </c>
      <c r="U1721" s="224">
        <f t="shared" si="92"/>
        <v>0</v>
      </c>
      <c r="V1721" s="225">
        <f t="shared" si="93"/>
        <v>3</v>
      </c>
      <c r="W1721" s="237">
        <f ca="1">$U1721*EWSpacingFt+XOffset+PanArrayWidthHighEndFt</f>
        <v>10.80282152230971</v>
      </c>
      <c r="X1721" s="241">
        <f ca="1">$V1721*NSSpacingFt+YOffset+PanArrayLenFt*COS(RADIANS(Latitude+DecAng))</f>
        <v>70.43963254593173</v>
      </c>
      <c r="Y1721" s="245">
        <f ca="1">+$V1721*NSGradeFt+PedHeight+PanArrayLenFt*SIN(RADIANS(Latitude+DecAng))</f>
        <v>7.401410761154855</v>
      </c>
      <c r="Z1721" s="214">
        <f ca="1">+$W1721</f>
        <v>10.80282152230971</v>
      </c>
      <c r="AA1721" s="214">
        <f ca="1">+$Y1721</f>
        <v>7.401410761154855</v>
      </c>
      <c r="AB1721" s="214">
        <f ca="1">+$X1721</f>
        <v>70.43963254593173</v>
      </c>
      <c r="AC1721" s="214">
        <f ca="1">+$W1721-XOffset</f>
        <v>10.80282152230971</v>
      </c>
    </row>
    <row r="1722" spans="19:29" ht="8.4" customHeight="1">
      <c r="S1722" s="307"/>
      <c r="T1722" s="226">
        <f t="shared" si="94"/>
        <v>1719</v>
      </c>
      <c r="U1722" s="224">
        <f t="shared" si="92"/>
        <v>0</v>
      </c>
      <c r="V1722" s="225">
        <f t="shared" si="93"/>
        <v>3</v>
      </c>
      <c r="W1722" s="238">
        <f ca="1">$U1722*EWSpacingFt+XOffset+0</f>
        <v>0</v>
      </c>
      <c r="X1722" s="242">
        <f ca="1">$V1722*NSSpacingFt+YOffset+PanArrayLenFt*COS(RADIANS(Latitude+DecAng))</f>
        <v>70.43963254593173</v>
      </c>
      <c r="Y1722" s="246">
        <f ca="1">+$V1722*NSGradeFt+PedHeight+PanArrayLenFt*SIN(RADIANS(Latitude+DecAng))</f>
        <v>7.401410761154855</v>
      </c>
      <c r="Z1722" s="214">
        <f ca="1">+$W1722</f>
        <v>0</v>
      </c>
      <c r="AA1722" s="214">
        <f ca="1">+$Y1722</f>
        <v>7.401410761154855</v>
      </c>
      <c r="AB1722" s="214">
        <f ca="1">+$X1722</f>
        <v>70.43963254593173</v>
      </c>
      <c r="AC1722" s="214">
        <f ca="1">+$W1722-XOffset</f>
        <v>0</v>
      </c>
    </row>
    <row r="1723" spans="19:29" ht="8.4" customHeight="1">
      <c r="S1723" s="307"/>
      <c r="T1723" s="226">
        <f t="shared" si="94"/>
        <v>1720</v>
      </c>
      <c r="U1723" s="224">
        <f t="shared" si="92"/>
        <v>0</v>
      </c>
      <c r="V1723" s="225">
        <f t="shared" si="93"/>
        <v>3</v>
      </c>
      <c r="W1723" s="239">
        <f ca="1">$U1723*EWSpacingFt+XOffset+(PanArrayWidthHighEndFt-PanArrayWidthLowEndFt)/2</f>
        <v>0</v>
      </c>
      <c r="X1723" s="243">
        <f ca="1">$V1723*NSSpacingFt+YOffset+0</f>
        <v>53.999999999999972</v>
      </c>
      <c r="Y1723" s="247">
        <f ca="1">+$V1723*NSGradeFt+PedHeight+0</f>
        <v>7.401410761154855</v>
      </c>
      <c r="Z1723" s="214">
        <f ca="1">+$W1723</f>
        <v>0</v>
      </c>
      <c r="AA1723" s="214">
        <f ca="1">+$Y1723</f>
        <v>7.401410761154855</v>
      </c>
      <c r="AB1723" s="214">
        <f ca="1">+$X1723</f>
        <v>53.999999999999972</v>
      </c>
      <c r="AC1723" s="214">
        <f ca="1">+$W1723-XOffset</f>
        <v>0</v>
      </c>
    </row>
    <row r="1724" spans="19:29" ht="8.4" customHeight="1">
      <c r="S1724" s="307"/>
      <c r="T1724" s="226">
        <f t="shared" si="94"/>
        <v>1721</v>
      </c>
      <c r="U1724" s="224">
        <f t="shared" si="92"/>
        <v>0</v>
      </c>
      <c r="V1724" s="225">
        <f t="shared" si="93"/>
        <v>3</v>
      </c>
      <c r="W1724" s="217"/>
      <c r="X1724" s="217"/>
      <c r="Y1724" s="217"/>
      <c r="Z1724" s="214"/>
      <c r="AA1724" s="214"/>
      <c r="AB1724" s="214"/>
      <c r="AC1724" s="214"/>
    </row>
    <row r="1725" spans="19:29" ht="8.4" customHeight="1">
      <c r="S1725" s="307">
        <f>INT((T1725-0)/6)+1</f>
        <v>288</v>
      </c>
      <c r="T1725" s="226">
        <f t="shared" si="94"/>
        <v>1722</v>
      </c>
      <c r="U1725" s="224">
        <f t="shared" si="92"/>
        <v>1</v>
      </c>
      <c r="V1725" s="225">
        <f t="shared" si="93"/>
        <v>3</v>
      </c>
      <c r="W1725" s="233">
        <f ca="1">$U1725*EWSpacingFt+XOffset+(PanArrayWidthHighEndFt-PanArrayWidthLowEndFt)/2</f>
        <v>30.000006832286932</v>
      </c>
      <c r="X1725" s="234">
        <f ca="1">$V1725*NSSpacingFt+YOffset+0</f>
        <v>53.999999999999972</v>
      </c>
      <c r="Y1725" s="235">
        <f ca="1">+$V1725*NSGradeFt+PedHeight+0</f>
        <v>7.401410761154855</v>
      </c>
      <c r="Z1725" s="214">
        <f ca="1">+$W1725</f>
        <v>30.000006832286932</v>
      </c>
      <c r="AA1725" s="214">
        <f ca="1">+$Y1725</f>
        <v>7.401410761154855</v>
      </c>
      <c r="AB1725" s="214">
        <f ca="1">+$X1725</f>
        <v>53.999999999999972</v>
      </c>
      <c r="AC1725" s="214">
        <f ca="1">+$W1725-XOffset</f>
        <v>30.000006832286932</v>
      </c>
    </row>
    <row r="1726" spans="19:29" ht="8.4" customHeight="1">
      <c r="S1726" s="307"/>
      <c r="T1726" s="226">
        <f t="shared" si="94"/>
        <v>1723</v>
      </c>
      <c r="U1726" s="224">
        <f t="shared" si="92"/>
        <v>1</v>
      </c>
      <c r="V1726" s="225">
        <f t="shared" si="93"/>
        <v>3</v>
      </c>
      <c r="W1726" s="236">
        <f ca="1">+$U1726*EWSpacingFt+XOffset+PanArrayWidthHighEndFt-(PanArrayWidthHighEndFt-PanArrayWidthLowEndFt)/2</f>
        <v>40.802828354596642</v>
      </c>
      <c r="X1726" s="240">
        <f ca="1">$V1726*NSSpacingFt+YOffset+0</f>
        <v>53.999999999999972</v>
      </c>
      <c r="Y1726" s="244">
        <f ca="1">+$V1726*NSGradeFt+PedHeight+0</f>
        <v>7.401410761154855</v>
      </c>
      <c r="Z1726" s="214">
        <f ca="1">+$W1726</f>
        <v>40.802828354596642</v>
      </c>
      <c r="AA1726" s="214">
        <f ca="1">+$Y1726</f>
        <v>7.401410761154855</v>
      </c>
      <c r="AB1726" s="214">
        <f ca="1">+$X1726</f>
        <v>53.999999999999972</v>
      </c>
      <c r="AC1726" s="214">
        <f ca="1">+$W1726-XOffset</f>
        <v>40.802828354596642</v>
      </c>
    </row>
    <row r="1727" spans="19:29" ht="8.4" customHeight="1">
      <c r="S1727" s="307"/>
      <c r="T1727" s="226">
        <f t="shared" si="94"/>
        <v>1724</v>
      </c>
      <c r="U1727" s="224">
        <f t="shared" si="92"/>
        <v>1</v>
      </c>
      <c r="V1727" s="225">
        <f t="shared" si="93"/>
        <v>3</v>
      </c>
      <c r="W1727" s="237">
        <f ca="1">$U1727*EWSpacingFt+XOffset+PanArrayWidthHighEndFt</f>
        <v>40.802828354596642</v>
      </c>
      <c r="X1727" s="241">
        <f ca="1">$V1727*NSSpacingFt+YOffset+PanArrayLenFt*COS(RADIANS(Latitude+DecAng))</f>
        <v>70.43963254593173</v>
      </c>
      <c r="Y1727" s="245">
        <f ca="1">+$V1727*NSGradeFt+PedHeight+PanArrayLenFt*SIN(RADIANS(Latitude+DecAng))</f>
        <v>7.401410761154855</v>
      </c>
      <c r="Z1727" s="214">
        <f ca="1">+$W1727</f>
        <v>40.802828354596642</v>
      </c>
      <c r="AA1727" s="214">
        <f ca="1">+$Y1727</f>
        <v>7.401410761154855</v>
      </c>
      <c r="AB1727" s="214">
        <f ca="1">+$X1727</f>
        <v>70.43963254593173</v>
      </c>
      <c r="AC1727" s="214">
        <f ca="1">+$W1727-XOffset</f>
        <v>40.802828354596642</v>
      </c>
    </row>
    <row r="1728" spans="19:29" ht="8.4" customHeight="1">
      <c r="S1728" s="307"/>
      <c r="T1728" s="226">
        <f t="shared" si="94"/>
        <v>1725</v>
      </c>
      <c r="U1728" s="224">
        <f t="shared" si="92"/>
        <v>1</v>
      </c>
      <c r="V1728" s="225">
        <f t="shared" si="93"/>
        <v>3</v>
      </c>
      <c r="W1728" s="238">
        <f ca="1">$U1728*EWSpacingFt+XOffset+0</f>
        <v>30.000006832286932</v>
      </c>
      <c r="X1728" s="242">
        <f ca="1">$V1728*NSSpacingFt+YOffset+PanArrayLenFt*COS(RADIANS(Latitude+DecAng))</f>
        <v>70.43963254593173</v>
      </c>
      <c r="Y1728" s="246">
        <f ca="1">+$V1728*NSGradeFt+PedHeight+PanArrayLenFt*SIN(RADIANS(Latitude+DecAng))</f>
        <v>7.401410761154855</v>
      </c>
      <c r="Z1728" s="214">
        <f ca="1">+$W1728</f>
        <v>30.000006832286932</v>
      </c>
      <c r="AA1728" s="214">
        <f ca="1">+$Y1728</f>
        <v>7.401410761154855</v>
      </c>
      <c r="AB1728" s="214">
        <f ca="1">+$X1728</f>
        <v>70.43963254593173</v>
      </c>
      <c r="AC1728" s="214">
        <f ca="1">+$W1728-XOffset</f>
        <v>30.000006832286932</v>
      </c>
    </row>
    <row r="1729" spans="19:29" ht="8.4" customHeight="1">
      <c r="S1729" s="307"/>
      <c r="T1729" s="226">
        <f t="shared" si="94"/>
        <v>1726</v>
      </c>
      <c r="U1729" s="224">
        <f t="shared" si="92"/>
        <v>1</v>
      </c>
      <c r="V1729" s="225">
        <f t="shared" si="93"/>
        <v>3</v>
      </c>
      <c r="W1729" s="239">
        <f ca="1">$U1729*EWSpacingFt+XOffset+(PanArrayWidthHighEndFt-PanArrayWidthLowEndFt)/2</f>
        <v>30.000006832286932</v>
      </c>
      <c r="X1729" s="243">
        <f ca="1">$V1729*NSSpacingFt+YOffset+0</f>
        <v>53.999999999999972</v>
      </c>
      <c r="Y1729" s="247">
        <f ca="1">+$V1729*NSGradeFt+PedHeight+0</f>
        <v>7.401410761154855</v>
      </c>
      <c r="Z1729" s="214">
        <f ca="1">+$W1729</f>
        <v>30.000006832286932</v>
      </c>
      <c r="AA1729" s="214">
        <f ca="1">+$Y1729</f>
        <v>7.401410761154855</v>
      </c>
      <c r="AB1729" s="214">
        <f ca="1">+$X1729</f>
        <v>53.999999999999972</v>
      </c>
      <c r="AC1729" s="214">
        <f ca="1">+$W1729-XOffset</f>
        <v>30.000006832286932</v>
      </c>
    </row>
    <row r="1730" spans="19:29" ht="8.4" customHeight="1">
      <c r="S1730" s="307"/>
      <c r="T1730" s="226">
        <f t="shared" si="94"/>
        <v>1727</v>
      </c>
      <c r="U1730" s="224">
        <f t="shared" si="92"/>
        <v>1</v>
      </c>
      <c r="V1730" s="225">
        <f t="shared" si="93"/>
        <v>3</v>
      </c>
      <c r="W1730" s="217"/>
      <c r="X1730" s="217"/>
      <c r="Y1730" s="217"/>
      <c r="Z1730" s="214"/>
      <c r="AA1730" s="214"/>
      <c r="AB1730" s="214"/>
      <c r="AC1730" s="214"/>
    </row>
    <row r="1731" spans="19:29" ht="8.4" customHeight="1">
      <c r="S1731" s="307">
        <f>INT((T1731-0)/6)+1</f>
        <v>289</v>
      </c>
      <c r="T1731" s="226">
        <f t="shared" si="94"/>
        <v>1728</v>
      </c>
      <c r="U1731" s="224">
        <f t="shared" ref="U1731:U1794" si="95">+MOD(INT(T1731/6),ColumnsOfMounts)</f>
        <v>0</v>
      </c>
      <c r="V1731" s="225">
        <f t="shared" ref="V1731:V1794" si="96">+MOD(INT(T1731/6/ColumnsOfMounts),RowsOfMounts)</f>
        <v>0</v>
      </c>
      <c r="W1731" s="233">
        <f ca="1">$U1731*EWSpacingFt+XOffset+(PanArrayWidthHighEndFt-PanArrayWidthLowEndFt)/2</f>
        <v>0</v>
      </c>
      <c r="X1731" s="234">
        <f ca="1">$V1731*NSSpacingFt+YOffset+0</f>
        <v>0</v>
      </c>
      <c r="Y1731" s="235">
        <f ca="1">+$V1731*NSGradeFt+PedHeight+0</f>
        <v>7.401410761154855</v>
      </c>
      <c r="Z1731" s="214">
        <f ca="1">+$W1731</f>
        <v>0</v>
      </c>
      <c r="AA1731" s="214">
        <f ca="1">+$Y1731</f>
        <v>7.401410761154855</v>
      </c>
      <c r="AB1731" s="214">
        <f ca="1">+$X1731</f>
        <v>0</v>
      </c>
      <c r="AC1731" s="214">
        <f ca="1">+$W1731-XOffset</f>
        <v>0</v>
      </c>
    </row>
    <row r="1732" spans="19:29" ht="8.4" customHeight="1">
      <c r="S1732" s="307"/>
      <c r="T1732" s="226">
        <f t="shared" si="94"/>
        <v>1729</v>
      </c>
      <c r="U1732" s="224">
        <f t="shared" si="95"/>
        <v>0</v>
      </c>
      <c r="V1732" s="225">
        <f t="shared" si="96"/>
        <v>0</v>
      </c>
      <c r="W1732" s="236">
        <f ca="1">+$U1732*EWSpacingFt+XOffset+PanArrayWidthHighEndFt-(PanArrayWidthHighEndFt-PanArrayWidthLowEndFt)/2</f>
        <v>10.80282152230971</v>
      </c>
      <c r="X1732" s="240">
        <f ca="1">$V1732*NSSpacingFt+YOffset+0</f>
        <v>0</v>
      </c>
      <c r="Y1732" s="244">
        <f ca="1">+$V1732*NSGradeFt+PedHeight+0</f>
        <v>7.401410761154855</v>
      </c>
      <c r="Z1732" s="214">
        <f ca="1">+$W1732</f>
        <v>10.80282152230971</v>
      </c>
      <c r="AA1732" s="214">
        <f ca="1">+$Y1732</f>
        <v>7.401410761154855</v>
      </c>
      <c r="AB1732" s="214">
        <f ca="1">+$X1732</f>
        <v>0</v>
      </c>
      <c r="AC1732" s="214">
        <f ca="1">+$W1732-XOffset</f>
        <v>10.80282152230971</v>
      </c>
    </row>
    <row r="1733" spans="19:29" ht="8.4" customHeight="1">
      <c r="S1733" s="307"/>
      <c r="T1733" s="226">
        <f t="shared" si="94"/>
        <v>1730</v>
      </c>
      <c r="U1733" s="224">
        <f t="shared" si="95"/>
        <v>0</v>
      </c>
      <c r="V1733" s="225">
        <f t="shared" si="96"/>
        <v>0</v>
      </c>
      <c r="W1733" s="237">
        <f ca="1">$U1733*EWSpacingFt+XOffset+PanArrayWidthHighEndFt</f>
        <v>10.80282152230971</v>
      </c>
      <c r="X1733" s="241">
        <f ca="1">$V1733*NSSpacingFt+YOffset+PanArrayLenFt*COS(RADIANS(Latitude+DecAng))</f>
        <v>16.439632545931762</v>
      </c>
      <c r="Y1733" s="245">
        <f ca="1">+$V1733*NSGradeFt+PedHeight+PanArrayLenFt*SIN(RADIANS(Latitude+DecAng))</f>
        <v>7.401410761154855</v>
      </c>
      <c r="Z1733" s="214">
        <f ca="1">+$W1733</f>
        <v>10.80282152230971</v>
      </c>
      <c r="AA1733" s="214">
        <f ca="1">+$Y1733</f>
        <v>7.401410761154855</v>
      </c>
      <c r="AB1733" s="214">
        <f ca="1">+$X1733</f>
        <v>16.439632545931762</v>
      </c>
      <c r="AC1733" s="214">
        <f ca="1">+$W1733-XOffset</f>
        <v>10.80282152230971</v>
      </c>
    </row>
    <row r="1734" spans="19:29" ht="8.4" customHeight="1">
      <c r="S1734" s="307"/>
      <c r="T1734" s="226">
        <f t="shared" si="94"/>
        <v>1731</v>
      </c>
      <c r="U1734" s="224">
        <f t="shared" si="95"/>
        <v>0</v>
      </c>
      <c r="V1734" s="225">
        <f t="shared" si="96"/>
        <v>0</v>
      </c>
      <c r="W1734" s="238">
        <f ca="1">$U1734*EWSpacingFt+XOffset+0</f>
        <v>0</v>
      </c>
      <c r="X1734" s="242">
        <f ca="1">$V1734*NSSpacingFt+YOffset+PanArrayLenFt*COS(RADIANS(Latitude+DecAng))</f>
        <v>16.439632545931762</v>
      </c>
      <c r="Y1734" s="246">
        <f ca="1">+$V1734*NSGradeFt+PedHeight+PanArrayLenFt*SIN(RADIANS(Latitude+DecAng))</f>
        <v>7.401410761154855</v>
      </c>
      <c r="Z1734" s="214">
        <f ca="1">+$W1734</f>
        <v>0</v>
      </c>
      <c r="AA1734" s="214">
        <f ca="1">+$Y1734</f>
        <v>7.401410761154855</v>
      </c>
      <c r="AB1734" s="214">
        <f ca="1">+$X1734</f>
        <v>16.439632545931762</v>
      </c>
      <c r="AC1734" s="214">
        <f ca="1">+$W1734-XOffset</f>
        <v>0</v>
      </c>
    </row>
    <row r="1735" spans="19:29" ht="8.4" customHeight="1">
      <c r="S1735" s="307"/>
      <c r="T1735" s="226">
        <f t="shared" si="94"/>
        <v>1732</v>
      </c>
      <c r="U1735" s="224">
        <f t="shared" si="95"/>
        <v>0</v>
      </c>
      <c r="V1735" s="225">
        <f t="shared" si="96"/>
        <v>0</v>
      </c>
      <c r="W1735" s="239">
        <f ca="1">$U1735*EWSpacingFt+XOffset+(PanArrayWidthHighEndFt-PanArrayWidthLowEndFt)/2</f>
        <v>0</v>
      </c>
      <c r="X1735" s="243">
        <f ca="1">$V1735*NSSpacingFt+YOffset+0</f>
        <v>0</v>
      </c>
      <c r="Y1735" s="247">
        <f ca="1">+$V1735*NSGradeFt+PedHeight+0</f>
        <v>7.401410761154855</v>
      </c>
      <c r="Z1735" s="214">
        <f ca="1">+$W1735</f>
        <v>0</v>
      </c>
      <c r="AA1735" s="214">
        <f ca="1">+$Y1735</f>
        <v>7.401410761154855</v>
      </c>
      <c r="AB1735" s="214">
        <f ca="1">+$X1735</f>
        <v>0</v>
      </c>
      <c r="AC1735" s="214">
        <f ca="1">+$W1735-XOffset</f>
        <v>0</v>
      </c>
    </row>
    <row r="1736" spans="19:29" ht="8.4" customHeight="1">
      <c r="S1736" s="307"/>
      <c r="T1736" s="226">
        <f t="shared" si="94"/>
        <v>1733</v>
      </c>
      <c r="U1736" s="224">
        <f t="shared" si="95"/>
        <v>0</v>
      </c>
      <c r="V1736" s="225">
        <f t="shared" si="96"/>
        <v>0</v>
      </c>
      <c r="W1736" s="217"/>
      <c r="X1736" s="217"/>
      <c r="Y1736" s="217"/>
      <c r="Z1736" s="214"/>
      <c r="AA1736" s="214"/>
      <c r="AB1736" s="214"/>
      <c r="AC1736" s="214"/>
    </row>
    <row r="1737" spans="19:29" ht="8.4" customHeight="1">
      <c r="S1737" s="307">
        <f>INT((T1737-0)/6)+1</f>
        <v>290</v>
      </c>
      <c r="T1737" s="226">
        <f t="shared" si="94"/>
        <v>1734</v>
      </c>
      <c r="U1737" s="224">
        <f t="shared" si="95"/>
        <v>1</v>
      </c>
      <c r="V1737" s="225">
        <f t="shared" si="96"/>
        <v>0</v>
      </c>
      <c r="W1737" s="233">
        <f ca="1">$U1737*EWSpacingFt+XOffset+(PanArrayWidthHighEndFt-PanArrayWidthLowEndFt)/2</f>
        <v>30.000006832286932</v>
      </c>
      <c r="X1737" s="234">
        <f ca="1">$V1737*NSSpacingFt+YOffset+0</f>
        <v>0</v>
      </c>
      <c r="Y1737" s="235">
        <f ca="1">+$V1737*NSGradeFt+PedHeight+0</f>
        <v>7.401410761154855</v>
      </c>
      <c r="Z1737" s="214">
        <f ca="1">+$W1737</f>
        <v>30.000006832286932</v>
      </c>
      <c r="AA1737" s="214">
        <f ca="1">+$Y1737</f>
        <v>7.401410761154855</v>
      </c>
      <c r="AB1737" s="214">
        <f ca="1">+$X1737</f>
        <v>0</v>
      </c>
      <c r="AC1737" s="214">
        <f ca="1">+$W1737-XOffset</f>
        <v>30.000006832286932</v>
      </c>
    </row>
    <row r="1738" spans="19:29" ht="8.4" customHeight="1">
      <c r="S1738" s="307"/>
      <c r="T1738" s="226">
        <f t="shared" si="94"/>
        <v>1735</v>
      </c>
      <c r="U1738" s="224">
        <f t="shared" si="95"/>
        <v>1</v>
      </c>
      <c r="V1738" s="225">
        <f t="shared" si="96"/>
        <v>0</v>
      </c>
      <c r="W1738" s="236">
        <f ca="1">+$U1738*EWSpacingFt+XOffset+PanArrayWidthHighEndFt-(PanArrayWidthHighEndFt-PanArrayWidthLowEndFt)/2</f>
        <v>40.802828354596642</v>
      </c>
      <c r="X1738" s="240">
        <f ca="1">$V1738*NSSpacingFt+YOffset+0</f>
        <v>0</v>
      </c>
      <c r="Y1738" s="244">
        <f ca="1">+$V1738*NSGradeFt+PedHeight+0</f>
        <v>7.401410761154855</v>
      </c>
      <c r="Z1738" s="214">
        <f ca="1">+$W1738</f>
        <v>40.802828354596642</v>
      </c>
      <c r="AA1738" s="214">
        <f ca="1">+$Y1738</f>
        <v>7.401410761154855</v>
      </c>
      <c r="AB1738" s="214">
        <f ca="1">+$X1738</f>
        <v>0</v>
      </c>
      <c r="AC1738" s="214">
        <f ca="1">+$W1738-XOffset</f>
        <v>40.802828354596642</v>
      </c>
    </row>
    <row r="1739" spans="19:29" ht="8.4" customHeight="1">
      <c r="S1739" s="307"/>
      <c r="T1739" s="226">
        <f t="shared" si="94"/>
        <v>1736</v>
      </c>
      <c r="U1739" s="224">
        <f t="shared" si="95"/>
        <v>1</v>
      </c>
      <c r="V1739" s="225">
        <f t="shared" si="96"/>
        <v>0</v>
      </c>
      <c r="W1739" s="237">
        <f ca="1">$U1739*EWSpacingFt+XOffset+PanArrayWidthHighEndFt</f>
        <v>40.802828354596642</v>
      </c>
      <c r="X1739" s="241">
        <f ca="1">$V1739*NSSpacingFt+YOffset+PanArrayLenFt*COS(RADIANS(Latitude+DecAng))</f>
        <v>16.439632545931762</v>
      </c>
      <c r="Y1739" s="245">
        <f ca="1">+$V1739*NSGradeFt+PedHeight+PanArrayLenFt*SIN(RADIANS(Latitude+DecAng))</f>
        <v>7.401410761154855</v>
      </c>
      <c r="Z1739" s="214">
        <f ca="1">+$W1739</f>
        <v>40.802828354596642</v>
      </c>
      <c r="AA1739" s="214">
        <f ca="1">+$Y1739</f>
        <v>7.401410761154855</v>
      </c>
      <c r="AB1739" s="214">
        <f ca="1">+$X1739</f>
        <v>16.439632545931762</v>
      </c>
      <c r="AC1739" s="214">
        <f ca="1">+$W1739-XOffset</f>
        <v>40.802828354596642</v>
      </c>
    </row>
    <row r="1740" spans="19:29" ht="8.4" customHeight="1">
      <c r="S1740" s="307"/>
      <c r="T1740" s="226">
        <f t="shared" si="94"/>
        <v>1737</v>
      </c>
      <c r="U1740" s="224">
        <f t="shared" si="95"/>
        <v>1</v>
      </c>
      <c r="V1740" s="225">
        <f t="shared" si="96"/>
        <v>0</v>
      </c>
      <c r="W1740" s="238">
        <f ca="1">$U1740*EWSpacingFt+XOffset+0</f>
        <v>30.000006832286932</v>
      </c>
      <c r="X1740" s="242">
        <f ca="1">$V1740*NSSpacingFt+YOffset+PanArrayLenFt*COS(RADIANS(Latitude+DecAng))</f>
        <v>16.439632545931762</v>
      </c>
      <c r="Y1740" s="246">
        <f ca="1">+$V1740*NSGradeFt+PedHeight+PanArrayLenFt*SIN(RADIANS(Latitude+DecAng))</f>
        <v>7.401410761154855</v>
      </c>
      <c r="Z1740" s="214">
        <f ca="1">+$W1740</f>
        <v>30.000006832286932</v>
      </c>
      <c r="AA1740" s="214">
        <f ca="1">+$Y1740</f>
        <v>7.401410761154855</v>
      </c>
      <c r="AB1740" s="214">
        <f ca="1">+$X1740</f>
        <v>16.439632545931762</v>
      </c>
      <c r="AC1740" s="214">
        <f ca="1">+$W1740-XOffset</f>
        <v>30.000006832286932</v>
      </c>
    </row>
    <row r="1741" spans="19:29" ht="8.4" customHeight="1">
      <c r="S1741" s="307"/>
      <c r="T1741" s="226">
        <f t="shared" si="94"/>
        <v>1738</v>
      </c>
      <c r="U1741" s="224">
        <f t="shared" si="95"/>
        <v>1</v>
      </c>
      <c r="V1741" s="225">
        <f t="shared" si="96"/>
        <v>0</v>
      </c>
      <c r="W1741" s="239">
        <f ca="1">$U1741*EWSpacingFt+XOffset+(PanArrayWidthHighEndFt-PanArrayWidthLowEndFt)/2</f>
        <v>30.000006832286932</v>
      </c>
      <c r="X1741" s="243">
        <f ca="1">$V1741*NSSpacingFt+YOffset+0</f>
        <v>0</v>
      </c>
      <c r="Y1741" s="247">
        <f ca="1">+$V1741*NSGradeFt+PedHeight+0</f>
        <v>7.401410761154855</v>
      </c>
      <c r="Z1741" s="214">
        <f ca="1">+$W1741</f>
        <v>30.000006832286932</v>
      </c>
      <c r="AA1741" s="214">
        <f ca="1">+$Y1741</f>
        <v>7.401410761154855</v>
      </c>
      <c r="AB1741" s="214">
        <f ca="1">+$X1741</f>
        <v>0</v>
      </c>
      <c r="AC1741" s="214">
        <f ca="1">+$W1741-XOffset</f>
        <v>30.000006832286932</v>
      </c>
    </row>
    <row r="1742" spans="19:29" ht="8.4" customHeight="1">
      <c r="S1742" s="307"/>
      <c r="T1742" s="226">
        <f t="shared" si="94"/>
        <v>1739</v>
      </c>
      <c r="U1742" s="224">
        <f t="shared" si="95"/>
        <v>1</v>
      </c>
      <c r="V1742" s="225">
        <f t="shared" si="96"/>
        <v>0</v>
      </c>
      <c r="W1742" s="217"/>
      <c r="X1742" s="217"/>
      <c r="Y1742" s="217"/>
      <c r="Z1742" s="214"/>
      <c r="AA1742" s="214"/>
      <c r="AB1742" s="214"/>
      <c r="AC1742" s="214"/>
    </row>
    <row r="1743" spans="19:29" ht="8.4" customHeight="1">
      <c r="S1743" s="307">
        <f>INT((T1743-0)/6)+1</f>
        <v>291</v>
      </c>
      <c r="T1743" s="226">
        <f t="shared" si="94"/>
        <v>1740</v>
      </c>
      <c r="U1743" s="224">
        <f t="shared" si="95"/>
        <v>0</v>
      </c>
      <c r="V1743" s="225">
        <f t="shared" si="96"/>
        <v>1</v>
      </c>
      <c r="W1743" s="233">
        <f ca="1">$U1743*EWSpacingFt+XOffset+(PanArrayWidthHighEndFt-PanArrayWidthLowEndFt)/2</f>
        <v>0</v>
      </c>
      <c r="X1743" s="234">
        <f ca="1">$V1743*NSSpacingFt+YOffset+0</f>
        <v>17.999999999999989</v>
      </c>
      <c r="Y1743" s="235">
        <f ca="1">+$V1743*NSGradeFt+PedHeight+0</f>
        <v>7.401410761154855</v>
      </c>
      <c r="Z1743" s="214">
        <f ca="1">+$W1743</f>
        <v>0</v>
      </c>
      <c r="AA1743" s="214">
        <f ca="1">+$Y1743</f>
        <v>7.401410761154855</v>
      </c>
      <c r="AB1743" s="214">
        <f ca="1">+$X1743</f>
        <v>17.999999999999989</v>
      </c>
      <c r="AC1743" s="214">
        <f ca="1">+$W1743-XOffset</f>
        <v>0</v>
      </c>
    </row>
    <row r="1744" spans="19:29" ht="8.4" customHeight="1">
      <c r="S1744" s="307"/>
      <c r="T1744" s="226">
        <f t="shared" si="94"/>
        <v>1741</v>
      </c>
      <c r="U1744" s="224">
        <f t="shared" si="95"/>
        <v>0</v>
      </c>
      <c r="V1744" s="225">
        <f t="shared" si="96"/>
        <v>1</v>
      </c>
      <c r="W1744" s="236">
        <f ca="1">+$U1744*EWSpacingFt+XOffset+PanArrayWidthHighEndFt-(PanArrayWidthHighEndFt-PanArrayWidthLowEndFt)/2</f>
        <v>10.80282152230971</v>
      </c>
      <c r="X1744" s="240">
        <f ca="1">$V1744*NSSpacingFt+YOffset+0</f>
        <v>17.999999999999989</v>
      </c>
      <c r="Y1744" s="244">
        <f ca="1">+$V1744*NSGradeFt+PedHeight+0</f>
        <v>7.401410761154855</v>
      </c>
      <c r="Z1744" s="214">
        <f ca="1">+$W1744</f>
        <v>10.80282152230971</v>
      </c>
      <c r="AA1744" s="214">
        <f ca="1">+$Y1744</f>
        <v>7.401410761154855</v>
      </c>
      <c r="AB1744" s="214">
        <f ca="1">+$X1744</f>
        <v>17.999999999999989</v>
      </c>
      <c r="AC1744" s="214">
        <f ca="1">+$W1744-XOffset</f>
        <v>10.80282152230971</v>
      </c>
    </row>
    <row r="1745" spans="19:29" ht="8.4" customHeight="1">
      <c r="S1745" s="307"/>
      <c r="T1745" s="226">
        <f t="shared" si="94"/>
        <v>1742</v>
      </c>
      <c r="U1745" s="224">
        <f t="shared" si="95"/>
        <v>0</v>
      </c>
      <c r="V1745" s="225">
        <f t="shared" si="96"/>
        <v>1</v>
      </c>
      <c r="W1745" s="237">
        <f ca="1">$U1745*EWSpacingFt+XOffset+PanArrayWidthHighEndFt</f>
        <v>10.80282152230971</v>
      </c>
      <c r="X1745" s="241">
        <f ca="1">$V1745*NSSpacingFt+YOffset+PanArrayLenFt*COS(RADIANS(Latitude+DecAng))</f>
        <v>34.439632545931751</v>
      </c>
      <c r="Y1745" s="245">
        <f ca="1">+$V1745*NSGradeFt+PedHeight+PanArrayLenFt*SIN(RADIANS(Latitude+DecAng))</f>
        <v>7.401410761154855</v>
      </c>
      <c r="Z1745" s="214">
        <f ca="1">+$W1745</f>
        <v>10.80282152230971</v>
      </c>
      <c r="AA1745" s="214">
        <f ca="1">+$Y1745</f>
        <v>7.401410761154855</v>
      </c>
      <c r="AB1745" s="214">
        <f ca="1">+$X1745</f>
        <v>34.439632545931751</v>
      </c>
      <c r="AC1745" s="214">
        <f ca="1">+$W1745-XOffset</f>
        <v>10.80282152230971</v>
      </c>
    </row>
    <row r="1746" spans="19:29" ht="8.4" customHeight="1">
      <c r="S1746" s="307"/>
      <c r="T1746" s="226">
        <f t="shared" si="94"/>
        <v>1743</v>
      </c>
      <c r="U1746" s="224">
        <f t="shared" si="95"/>
        <v>0</v>
      </c>
      <c r="V1746" s="225">
        <f t="shared" si="96"/>
        <v>1</v>
      </c>
      <c r="W1746" s="238">
        <f ca="1">$U1746*EWSpacingFt+XOffset+0</f>
        <v>0</v>
      </c>
      <c r="X1746" s="242">
        <f ca="1">$V1746*NSSpacingFt+YOffset+PanArrayLenFt*COS(RADIANS(Latitude+DecAng))</f>
        <v>34.439632545931751</v>
      </c>
      <c r="Y1746" s="246">
        <f ca="1">+$V1746*NSGradeFt+PedHeight+PanArrayLenFt*SIN(RADIANS(Latitude+DecAng))</f>
        <v>7.401410761154855</v>
      </c>
      <c r="Z1746" s="214">
        <f ca="1">+$W1746</f>
        <v>0</v>
      </c>
      <c r="AA1746" s="214">
        <f ca="1">+$Y1746</f>
        <v>7.401410761154855</v>
      </c>
      <c r="AB1746" s="214">
        <f ca="1">+$X1746</f>
        <v>34.439632545931751</v>
      </c>
      <c r="AC1746" s="214">
        <f ca="1">+$W1746-XOffset</f>
        <v>0</v>
      </c>
    </row>
    <row r="1747" spans="19:29" ht="8.4" customHeight="1">
      <c r="S1747" s="307"/>
      <c r="T1747" s="226">
        <f t="shared" si="94"/>
        <v>1744</v>
      </c>
      <c r="U1747" s="224">
        <f t="shared" si="95"/>
        <v>0</v>
      </c>
      <c r="V1747" s="225">
        <f t="shared" si="96"/>
        <v>1</v>
      </c>
      <c r="W1747" s="239">
        <f ca="1">$U1747*EWSpacingFt+XOffset+(PanArrayWidthHighEndFt-PanArrayWidthLowEndFt)/2</f>
        <v>0</v>
      </c>
      <c r="X1747" s="243">
        <f ca="1">$V1747*NSSpacingFt+YOffset+0</f>
        <v>17.999999999999989</v>
      </c>
      <c r="Y1747" s="247">
        <f ca="1">+$V1747*NSGradeFt+PedHeight+0</f>
        <v>7.401410761154855</v>
      </c>
      <c r="Z1747" s="214">
        <f ca="1">+$W1747</f>
        <v>0</v>
      </c>
      <c r="AA1747" s="214">
        <f ca="1">+$Y1747</f>
        <v>7.401410761154855</v>
      </c>
      <c r="AB1747" s="214">
        <f ca="1">+$X1747</f>
        <v>17.999999999999989</v>
      </c>
      <c r="AC1747" s="214">
        <f ca="1">+$W1747-XOffset</f>
        <v>0</v>
      </c>
    </row>
    <row r="1748" spans="19:29" ht="8.4" customHeight="1">
      <c r="S1748" s="307"/>
      <c r="T1748" s="226">
        <f t="shared" si="94"/>
        <v>1745</v>
      </c>
      <c r="U1748" s="224">
        <f t="shared" si="95"/>
        <v>0</v>
      </c>
      <c r="V1748" s="225">
        <f t="shared" si="96"/>
        <v>1</v>
      </c>
      <c r="W1748" s="217"/>
      <c r="X1748" s="217"/>
      <c r="Y1748" s="217"/>
      <c r="Z1748" s="214"/>
      <c r="AA1748" s="214"/>
      <c r="AB1748" s="214"/>
      <c r="AC1748" s="214"/>
    </row>
    <row r="1749" spans="19:29" ht="8.4" customHeight="1">
      <c r="S1749" s="307">
        <f>INT((T1749-0)/6)+1</f>
        <v>292</v>
      </c>
      <c r="T1749" s="226">
        <f t="shared" si="94"/>
        <v>1746</v>
      </c>
      <c r="U1749" s="224">
        <f t="shared" si="95"/>
        <v>1</v>
      </c>
      <c r="V1749" s="225">
        <f t="shared" si="96"/>
        <v>1</v>
      </c>
      <c r="W1749" s="233">
        <f ca="1">$U1749*EWSpacingFt+XOffset+(PanArrayWidthHighEndFt-PanArrayWidthLowEndFt)/2</f>
        <v>30.000006832286932</v>
      </c>
      <c r="X1749" s="234">
        <f ca="1">$V1749*NSSpacingFt+YOffset+0</f>
        <v>17.999999999999989</v>
      </c>
      <c r="Y1749" s="235">
        <f ca="1">+$V1749*NSGradeFt+PedHeight+0</f>
        <v>7.401410761154855</v>
      </c>
      <c r="Z1749" s="214">
        <f ca="1">+$W1749</f>
        <v>30.000006832286932</v>
      </c>
      <c r="AA1749" s="214">
        <f ca="1">+$Y1749</f>
        <v>7.401410761154855</v>
      </c>
      <c r="AB1749" s="214">
        <f ca="1">+$X1749</f>
        <v>17.999999999999989</v>
      </c>
      <c r="AC1749" s="214">
        <f ca="1">+$W1749-XOffset</f>
        <v>30.000006832286932</v>
      </c>
    </row>
    <row r="1750" spans="19:29" ht="8.4" customHeight="1">
      <c r="S1750" s="307"/>
      <c r="T1750" s="226">
        <f t="shared" si="94"/>
        <v>1747</v>
      </c>
      <c r="U1750" s="224">
        <f t="shared" si="95"/>
        <v>1</v>
      </c>
      <c r="V1750" s="225">
        <f t="shared" si="96"/>
        <v>1</v>
      </c>
      <c r="W1750" s="236">
        <f ca="1">+$U1750*EWSpacingFt+XOffset+PanArrayWidthHighEndFt-(PanArrayWidthHighEndFt-PanArrayWidthLowEndFt)/2</f>
        <v>40.802828354596642</v>
      </c>
      <c r="X1750" s="240">
        <f ca="1">$V1750*NSSpacingFt+YOffset+0</f>
        <v>17.999999999999989</v>
      </c>
      <c r="Y1750" s="244">
        <f ca="1">+$V1750*NSGradeFt+PedHeight+0</f>
        <v>7.401410761154855</v>
      </c>
      <c r="Z1750" s="214">
        <f ca="1">+$W1750</f>
        <v>40.802828354596642</v>
      </c>
      <c r="AA1750" s="214">
        <f ca="1">+$Y1750</f>
        <v>7.401410761154855</v>
      </c>
      <c r="AB1750" s="214">
        <f ca="1">+$X1750</f>
        <v>17.999999999999989</v>
      </c>
      <c r="AC1750" s="214">
        <f ca="1">+$W1750-XOffset</f>
        <v>40.802828354596642</v>
      </c>
    </row>
    <row r="1751" spans="19:29" ht="8.4" customHeight="1">
      <c r="S1751" s="307"/>
      <c r="T1751" s="226">
        <f t="shared" si="94"/>
        <v>1748</v>
      </c>
      <c r="U1751" s="224">
        <f t="shared" si="95"/>
        <v>1</v>
      </c>
      <c r="V1751" s="225">
        <f t="shared" si="96"/>
        <v>1</v>
      </c>
      <c r="W1751" s="237">
        <f ca="1">$U1751*EWSpacingFt+XOffset+PanArrayWidthHighEndFt</f>
        <v>40.802828354596642</v>
      </c>
      <c r="X1751" s="241">
        <f ca="1">$V1751*NSSpacingFt+YOffset+PanArrayLenFt*COS(RADIANS(Latitude+DecAng))</f>
        <v>34.439632545931751</v>
      </c>
      <c r="Y1751" s="245">
        <f ca="1">+$V1751*NSGradeFt+PedHeight+PanArrayLenFt*SIN(RADIANS(Latitude+DecAng))</f>
        <v>7.401410761154855</v>
      </c>
      <c r="Z1751" s="214">
        <f ca="1">+$W1751</f>
        <v>40.802828354596642</v>
      </c>
      <c r="AA1751" s="214">
        <f ca="1">+$Y1751</f>
        <v>7.401410761154855</v>
      </c>
      <c r="AB1751" s="214">
        <f ca="1">+$X1751</f>
        <v>34.439632545931751</v>
      </c>
      <c r="AC1751" s="214">
        <f ca="1">+$W1751-XOffset</f>
        <v>40.802828354596642</v>
      </c>
    </row>
    <row r="1752" spans="19:29" ht="8.4" customHeight="1">
      <c r="S1752" s="307"/>
      <c r="T1752" s="226">
        <f t="shared" si="94"/>
        <v>1749</v>
      </c>
      <c r="U1752" s="224">
        <f t="shared" si="95"/>
        <v>1</v>
      </c>
      <c r="V1752" s="225">
        <f t="shared" si="96"/>
        <v>1</v>
      </c>
      <c r="W1752" s="238">
        <f ca="1">$U1752*EWSpacingFt+XOffset+0</f>
        <v>30.000006832286932</v>
      </c>
      <c r="X1752" s="242">
        <f ca="1">$V1752*NSSpacingFt+YOffset+PanArrayLenFt*COS(RADIANS(Latitude+DecAng))</f>
        <v>34.439632545931751</v>
      </c>
      <c r="Y1752" s="246">
        <f ca="1">+$V1752*NSGradeFt+PedHeight+PanArrayLenFt*SIN(RADIANS(Latitude+DecAng))</f>
        <v>7.401410761154855</v>
      </c>
      <c r="Z1752" s="214">
        <f ca="1">+$W1752</f>
        <v>30.000006832286932</v>
      </c>
      <c r="AA1752" s="214">
        <f ca="1">+$Y1752</f>
        <v>7.401410761154855</v>
      </c>
      <c r="AB1752" s="214">
        <f ca="1">+$X1752</f>
        <v>34.439632545931751</v>
      </c>
      <c r="AC1752" s="214">
        <f ca="1">+$W1752-XOffset</f>
        <v>30.000006832286932</v>
      </c>
    </row>
    <row r="1753" spans="19:29" ht="8.4" customHeight="1">
      <c r="S1753" s="307"/>
      <c r="T1753" s="226">
        <f t="shared" si="94"/>
        <v>1750</v>
      </c>
      <c r="U1753" s="224">
        <f t="shared" si="95"/>
        <v>1</v>
      </c>
      <c r="V1753" s="225">
        <f t="shared" si="96"/>
        <v>1</v>
      </c>
      <c r="W1753" s="239">
        <f ca="1">$U1753*EWSpacingFt+XOffset+(PanArrayWidthHighEndFt-PanArrayWidthLowEndFt)/2</f>
        <v>30.000006832286932</v>
      </c>
      <c r="X1753" s="243">
        <f ca="1">$V1753*NSSpacingFt+YOffset+0</f>
        <v>17.999999999999989</v>
      </c>
      <c r="Y1753" s="247">
        <f ca="1">+$V1753*NSGradeFt+PedHeight+0</f>
        <v>7.401410761154855</v>
      </c>
      <c r="Z1753" s="214">
        <f ca="1">+$W1753</f>
        <v>30.000006832286932</v>
      </c>
      <c r="AA1753" s="214">
        <f ca="1">+$Y1753</f>
        <v>7.401410761154855</v>
      </c>
      <c r="AB1753" s="214">
        <f ca="1">+$X1753</f>
        <v>17.999999999999989</v>
      </c>
      <c r="AC1753" s="214">
        <f ca="1">+$W1753-XOffset</f>
        <v>30.000006832286932</v>
      </c>
    </row>
    <row r="1754" spans="19:29" ht="8.4" customHeight="1">
      <c r="S1754" s="307"/>
      <c r="T1754" s="226">
        <f t="shared" si="94"/>
        <v>1751</v>
      </c>
      <c r="U1754" s="224">
        <f t="shared" si="95"/>
        <v>1</v>
      </c>
      <c r="V1754" s="225">
        <f t="shared" si="96"/>
        <v>1</v>
      </c>
      <c r="W1754" s="217"/>
      <c r="X1754" s="217"/>
      <c r="Y1754" s="217"/>
      <c r="Z1754" s="214"/>
      <c r="AA1754" s="214"/>
      <c r="AB1754" s="214"/>
      <c r="AC1754" s="214"/>
    </row>
    <row r="1755" spans="19:29" ht="8.4" customHeight="1">
      <c r="S1755" s="307">
        <f>INT((T1755-0)/6)+1</f>
        <v>293</v>
      </c>
      <c r="T1755" s="226">
        <f t="shared" si="94"/>
        <v>1752</v>
      </c>
      <c r="U1755" s="224">
        <f t="shared" si="95"/>
        <v>0</v>
      </c>
      <c r="V1755" s="225">
        <f t="shared" si="96"/>
        <v>2</v>
      </c>
      <c r="W1755" s="233">
        <f ca="1">$U1755*EWSpacingFt+XOffset+(PanArrayWidthHighEndFt-PanArrayWidthLowEndFt)/2</f>
        <v>0</v>
      </c>
      <c r="X1755" s="234">
        <f ca="1">$V1755*NSSpacingFt+YOffset+0</f>
        <v>35.999999999999979</v>
      </c>
      <c r="Y1755" s="235">
        <f ca="1">+$V1755*NSGradeFt+PedHeight+0</f>
        <v>7.401410761154855</v>
      </c>
      <c r="Z1755" s="214">
        <f ca="1">+$W1755</f>
        <v>0</v>
      </c>
      <c r="AA1755" s="214">
        <f ca="1">+$Y1755</f>
        <v>7.401410761154855</v>
      </c>
      <c r="AB1755" s="214">
        <f ca="1">+$X1755</f>
        <v>35.999999999999979</v>
      </c>
      <c r="AC1755" s="214">
        <f ca="1">+$W1755-XOffset</f>
        <v>0</v>
      </c>
    </row>
    <row r="1756" spans="19:29" ht="8.4" customHeight="1">
      <c r="S1756" s="307"/>
      <c r="T1756" s="226">
        <f t="shared" si="94"/>
        <v>1753</v>
      </c>
      <c r="U1756" s="224">
        <f t="shared" si="95"/>
        <v>0</v>
      </c>
      <c r="V1756" s="225">
        <f t="shared" si="96"/>
        <v>2</v>
      </c>
      <c r="W1756" s="236">
        <f ca="1">+$U1756*EWSpacingFt+XOffset+PanArrayWidthHighEndFt-(PanArrayWidthHighEndFt-PanArrayWidthLowEndFt)/2</f>
        <v>10.80282152230971</v>
      </c>
      <c r="X1756" s="240">
        <f ca="1">$V1756*NSSpacingFt+YOffset+0</f>
        <v>35.999999999999979</v>
      </c>
      <c r="Y1756" s="244">
        <f ca="1">+$V1756*NSGradeFt+PedHeight+0</f>
        <v>7.401410761154855</v>
      </c>
      <c r="Z1756" s="214">
        <f ca="1">+$W1756</f>
        <v>10.80282152230971</v>
      </c>
      <c r="AA1756" s="214">
        <f ca="1">+$Y1756</f>
        <v>7.401410761154855</v>
      </c>
      <c r="AB1756" s="214">
        <f ca="1">+$X1756</f>
        <v>35.999999999999979</v>
      </c>
      <c r="AC1756" s="214">
        <f ca="1">+$W1756-XOffset</f>
        <v>10.80282152230971</v>
      </c>
    </row>
    <row r="1757" spans="19:29" ht="8.4" customHeight="1">
      <c r="S1757" s="307"/>
      <c r="T1757" s="226">
        <f t="shared" si="94"/>
        <v>1754</v>
      </c>
      <c r="U1757" s="224">
        <f t="shared" si="95"/>
        <v>0</v>
      </c>
      <c r="V1757" s="225">
        <f t="shared" si="96"/>
        <v>2</v>
      </c>
      <c r="W1757" s="237">
        <f ca="1">$U1757*EWSpacingFt+XOffset+PanArrayWidthHighEndFt</f>
        <v>10.80282152230971</v>
      </c>
      <c r="X1757" s="241">
        <f ca="1">$V1757*NSSpacingFt+YOffset+PanArrayLenFt*COS(RADIANS(Latitude+DecAng))</f>
        <v>52.439632545931744</v>
      </c>
      <c r="Y1757" s="245">
        <f ca="1">+$V1757*NSGradeFt+PedHeight+PanArrayLenFt*SIN(RADIANS(Latitude+DecAng))</f>
        <v>7.401410761154855</v>
      </c>
      <c r="Z1757" s="214">
        <f ca="1">+$W1757</f>
        <v>10.80282152230971</v>
      </c>
      <c r="AA1757" s="214">
        <f ca="1">+$Y1757</f>
        <v>7.401410761154855</v>
      </c>
      <c r="AB1757" s="214">
        <f ca="1">+$X1757</f>
        <v>52.439632545931744</v>
      </c>
      <c r="AC1757" s="214">
        <f ca="1">+$W1757-XOffset</f>
        <v>10.80282152230971</v>
      </c>
    </row>
    <row r="1758" spans="19:29" ht="8.4" customHeight="1">
      <c r="S1758" s="307"/>
      <c r="T1758" s="226">
        <f t="shared" si="94"/>
        <v>1755</v>
      </c>
      <c r="U1758" s="224">
        <f t="shared" si="95"/>
        <v>0</v>
      </c>
      <c r="V1758" s="225">
        <f t="shared" si="96"/>
        <v>2</v>
      </c>
      <c r="W1758" s="238">
        <f ca="1">$U1758*EWSpacingFt+XOffset+0</f>
        <v>0</v>
      </c>
      <c r="X1758" s="242">
        <f ca="1">$V1758*NSSpacingFt+YOffset+PanArrayLenFt*COS(RADIANS(Latitude+DecAng))</f>
        <v>52.439632545931744</v>
      </c>
      <c r="Y1758" s="246">
        <f ca="1">+$V1758*NSGradeFt+PedHeight+PanArrayLenFt*SIN(RADIANS(Latitude+DecAng))</f>
        <v>7.401410761154855</v>
      </c>
      <c r="Z1758" s="214">
        <f ca="1">+$W1758</f>
        <v>0</v>
      </c>
      <c r="AA1758" s="214">
        <f ca="1">+$Y1758</f>
        <v>7.401410761154855</v>
      </c>
      <c r="AB1758" s="214">
        <f ca="1">+$X1758</f>
        <v>52.439632545931744</v>
      </c>
      <c r="AC1758" s="214">
        <f ca="1">+$W1758-XOffset</f>
        <v>0</v>
      </c>
    </row>
    <row r="1759" spans="19:29" ht="8.4" customHeight="1">
      <c r="S1759" s="307"/>
      <c r="T1759" s="226">
        <f t="shared" si="94"/>
        <v>1756</v>
      </c>
      <c r="U1759" s="224">
        <f t="shared" si="95"/>
        <v>0</v>
      </c>
      <c r="V1759" s="225">
        <f t="shared" si="96"/>
        <v>2</v>
      </c>
      <c r="W1759" s="239">
        <f ca="1">$U1759*EWSpacingFt+XOffset+(PanArrayWidthHighEndFt-PanArrayWidthLowEndFt)/2</f>
        <v>0</v>
      </c>
      <c r="X1759" s="243">
        <f ca="1">$V1759*NSSpacingFt+YOffset+0</f>
        <v>35.999999999999979</v>
      </c>
      <c r="Y1759" s="247">
        <f ca="1">+$V1759*NSGradeFt+PedHeight+0</f>
        <v>7.401410761154855</v>
      </c>
      <c r="Z1759" s="214">
        <f ca="1">+$W1759</f>
        <v>0</v>
      </c>
      <c r="AA1759" s="214">
        <f ca="1">+$Y1759</f>
        <v>7.401410761154855</v>
      </c>
      <c r="AB1759" s="214">
        <f ca="1">+$X1759</f>
        <v>35.999999999999979</v>
      </c>
      <c r="AC1759" s="214">
        <f ca="1">+$W1759-XOffset</f>
        <v>0</v>
      </c>
    </row>
    <row r="1760" spans="19:29" ht="8.4" customHeight="1">
      <c r="S1760" s="307"/>
      <c r="T1760" s="226">
        <f t="shared" si="94"/>
        <v>1757</v>
      </c>
      <c r="U1760" s="224">
        <f t="shared" si="95"/>
        <v>0</v>
      </c>
      <c r="V1760" s="225">
        <f t="shared" si="96"/>
        <v>2</v>
      </c>
      <c r="W1760" s="217"/>
      <c r="X1760" s="217"/>
      <c r="Y1760" s="217"/>
      <c r="Z1760" s="214"/>
      <c r="AA1760" s="214"/>
      <c r="AB1760" s="214"/>
      <c r="AC1760" s="214"/>
    </row>
    <row r="1761" spans="19:29" ht="8.4" customHeight="1">
      <c r="S1761" s="307">
        <f>INT((T1761-0)/6)+1</f>
        <v>294</v>
      </c>
      <c r="T1761" s="226">
        <f t="shared" si="94"/>
        <v>1758</v>
      </c>
      <c r="U1761" s="224">
        <f t="shared" si="95"/>
        <v>1</v>
      </c>
      <c r="V1761" s="225">
        <f t="shared" si="96"/>
        <v>2</v>
      </c>
      <c r="W1761" s="233">
        <f ca="1">$U1761*EWSpacingFt+XOffset+(PanArrayWidthHighEndFt-PanArrayWidthLowEndFt)/2</f>
        <v>30.000006832286932</v>
      </c>
      <c r="X1761" s="234">
        <f ca="1">$V1761*NSSpacingFt+YOffset+0</f>
        <v>35.999999999999979</v>
      </c>
      <c r="Y1761" s="235">
        <f ca="1">+$V1761*NSGradeFt+PedHeight+0</f>
        <v>7.401410761154855</v>
      </c>
      <c r="Z1761" s="214">
        <f ca="1">+$W1761</f>
        <v>30.000006832286932</v>
      </c>
      <c r="AA1761" s="214">
        <f ca="1">+$Y1761</f>
        <v>7.401410761154855</v>
      </c>
      <c r="AB1761" s="214">
        <f ca="1">+$X1761</f>
        <v>35.999999999999979</v>
      </c>
      <c r="AC1761" s="214">
        <f ca="1">+$W1761-XOffset</f>
        <v>30.000006832286932</v>
      </c>
    </row>
    <row r="1762" spans="19:29" ht="8.4" customHeight="1">
      <c r="S1762" s="307"/>
      <c r="T1762" s="226">
        <f t="shared" si="94"/>
        <v>1759</v>
      </c>
      <c r="U1762" s="224">
        <f t="shared" si="95"/>
        <v>1</v>
      </c>
      <c r="V1762" s="225">
        <f t="shared" si="96"/>
        <v>2</v>
      </c>
      <c r="W1762" s="236">
        <f ca="1">+$U1762*EWSpacingFt+XOffset+PanArrayWidthHighEndFt-(PanArrayWidthHighEndFt-PanArrayWidthLowEndFt)/2</f>
        <v>40.802828354596642</v>
      </c>
      <c r="X1762" s="240">
        <f ca="1">$V1762*NSSpacingFt+YOffset+0</f>
        <v>35.999999999999979</v>
      </c>
      <c r="Y1762" s="244">
        <f ca="1">+$V1762*NSGradeFt+PedHeight+0</f>
        <v>7.401410761154855</v>
      </c>
      <c r="Z1762" s="214">
        <f ca="1">+$W1762</f>
        <v>40.802828354596642</v>
      </c>
      <c r="AA1762" s="214">
        <f ca="1">+$Y1762</f>
        <v>7.401410761154855</v>
      </c>
      <c r="AB1762" s="214">
        <f ca="1">+$X1762</f>
        <v>35.999999999999979</v>
      </c>
      <c r="AC1762" s="214">
        <f ca="1">+$W1762-XOffset</f>
        <v>40.802828354596642</v>
      </c>
    </row>
    <row r="1763" spans="19:29" ht="8.4" customHeight="1">
      <c r="S1763" s="307"/>
      <c r="T1763" s="226">
        <f t="shared" si="94"/>
        <v>1760</v>
      </c>
      <c r="U1763" s="224">
        <f t="shared" si="95"/>
        <v>1</v>
      </c>
      <c r="V1763" s="225">
        <f t="shared" si="96"/>
        <v>2</v>
      </c>
      <c r="W1763" s="237">
        <f ca="1">$U1763*EWSpacingFt+XOffset+PanArrayWidthHighEndFt</f>
        <v>40.802828354596642</v>
      </c>
      <c r="X1763" s="241">
        <f ca="1">$V1763*NSSpacingFt+YOffset+PanArrayLenFt*COS(RADIANS(Latitude+DecAng))</f>
        <v>52.439632545931744</v>
      </c>
      <c r="Y1763" s="245">
        <f ca="1">+$V1763*NSGradeFt+PedHeight+PanArrayLenFt*SIN(RADIANS(Latitude+DecAng))</f>
        <v>7.401410761154855</v>
      </c>
      <c r="Z1763" s="214">
        <f ca="1">+$W1763</f>
        <v>40.802828354596642</v>
      </c>
      <c r="AA1763" s="214">
        <f ca="1">+$Y1763</f>
        <v>7.401410761154855</v>
      </c>
      <c r="AB1763" s="214">
        <f ca="1">+$X1763</f>
        <v>52.439632545931744</v>
      </c>
      <c r="AC1763" s="214">
        <f ca="1">+$W1763-XOffset</f>
        <v>40.802828354596642</v>
      </c>
    </row>
    <row r="1764" spans="19:29" ht="8.4" customHeight="1">
      <c r="S1764" s="307"/>
      <c r="T1764" s="226">
        <f t="shared" si="94"/>
        <v>1761</v>
      </c>
      <c r="U1764" s="224">
        <f t="shared" si="95"/>
        <v>1</v>
      </c>
      <c r="V1764" s="225">
        <f t="shared" si="96"/>
        <v>2</v>
      </c>
      <c r="W1764" s="238">
        <f ca="1">$U1764*EWSpacingFt+XOffset+0</f>
        <v>30.000006832286932</v>
      </c>
      <c r="X1764" s="242">
        <f ca="1">$V1764*NSSpacingFt+YOffset+PanArrayLenFt*COS(RADIANS(Latitude+DecAng))</f>
        <v>52.439632545931744</v>
      </c>
      <c r="Y1764" s="246">
        <f ca="1">+$V1764*NSGradeFt+PedHeight+PanArrayLenFt*SIN(RADIANS(Latitude+DecAng))</f>
        <v>7.401410761154855</v>
      </c>
      <c r="Z1764" s="214">
        <f ca="1">+$W1764</f>
        <v>30.000006832286932</v>
      </c>
      <c r="AA1764" s="214">
        <f ca="1">+$Y1764</f>
        <v>7.401410761154855</v>
      </c>
      <c r="AB1764" s="214">
        <f ca="1">+$X1764</f>
        <v>52.439632545931744</v>
      </c>
      <c r="AC1764" s="214">
        <f ca="1">+$W1764-XOffset</f>
        <v>30.000006832286932</v>
      </c>
    </row>
    <row r="1765" spans="19:29" ht="8.4" customHeight="1">
      <c r="S1765" s="307"/>
      <c r="T1765" s="226">
        <f t="shared" ref="T1765:T1828" si="97">+T1764+1</f>
        <v>1762</v>
      </c>
      <c r="U1765" s="224">
        <f t="shared" si="95"/>
        <v>1</v>
      </c>
      <c r="V1765" s="225">
        <f t="shared" si="96"/>
        <v>2</v>
      </c>
      <c r="W1765" s="239">
        <f ca="1">$U1765*EWSpacingFt+XOffset+(PanArrayWidthHighEndFt-PanArrayWidthLowEndFt)/2</f>
        <v>30.000006832286932</v>
      </c>
      <c r="X1765" s="243">
        <f ca="1">$V1765*NSSpacingFt+YOffset+0</f>
        <v>35.999999999999979</v>
      </c>
      <c r="Y1765" s="247">
        <f ca="1">+$V1765*NSGradeFt+PedHeight+0</f>
        <v>7.401410761154855</v>
      </c>
      <c r="Z1765" s="214">
        <f ca="1">+$W1765</f>
        <v>30.000006832286932</v>
      </c>
      <c r="AA1765" s="214">
        <f ca="1">+$Y1765</f>
        <v>7.401410761154855</v>
      </c>
      <c r="AB1765" s="214">
        <f ca="1">+$X1765</f>
        <v>35.999999999999979</v>
      </c>
      <c r="AC1765" s="214">
        <f ca="1">+$W1765-XOffset</f>
        <v>30.000006832286932</v>
      </c>
    </row>
    <row r="1766" spans="19:29" ht="8.4" customHeight="1">
      <c r="S1766" s="307"/>
      <c r="T1766" s="226">
        <f t="shared" si="97"/>
        <v>1763</v>
      </c>
      <c r="U1766" s="224">
        <f t="shared" si="95"/>
        <v>1</v>
      </c>
      <c r="V1766" s="225">
        <f t="shared" si="96"/>
        <v>2</v>
      </c>
      <c r="W1766" s="217"/>
      <c r="X1766" s="217"/>
      <c r="Y1766" s="217"/>
      <c r="Z1766" s="214"/>
      <c r="AA1766" s="214"/>
      <c r="AB1766" s="214"/>
      <c r="AC1766" s="214"/>
    </row>
    <row r="1767" spans="19:29" ht="8.4" customHeight="1">
      <c r="S1767" s="307">
        <f>INT((T1767-0)/6)+1</f>
        <v>295</v>
      </c>
      <c r="T1767" s="226">
        <f t="shared" si="97"/>
        <v>1764</v>
      </c>
      <c r="U1767" s="224">
        <f t="shared" si="95"/>
        <v>0</v>
      </c>
      <c r="V1767" s="225">
        <f t="shared" si="96"/>
        <v>3</v>
      </c>
      <c r="W1767" s="233">
        <f ca="1">$U1767*EWSpacingFt+XOffset+(PanArrayWidthHighEndFt-PanArrayWidthLowEndFt)/2</f>
        <v>0</v>
      </c>
      <c r="X1767" s="234">
        <f ca="1">$V1767*NSSpacingFt+YOffset+0</f>
        <v>53.999999999999972</v>
      </c>
      <c r="Y1767" s="235">
        <f ca="1">+$V1767*NSGradeFt+PedHeight+0</f>
        <v>7.401410761154855</v>
      </c>
      <c r="Z1767" s="214">
        <f ca="1">+$W1767</f>
        <v>0</v>
      </c>
      <c r="AA1767" s="214">
        <f ca="1">+$Y1767</f>
        <v>7.401410761154855</v>
      </c>
      <c r="AB1767" s="214">
        <f ca="1">+$X1767</f>
        <v>53.999999999999972</v>
      </c>
      <c r="AC1767" s="214">
        <f ca="1">+$W1767-XOffset</f>
        <v>0</v>
      </c>
    </row>
    <row r="1768" spans="19:29" ht="8.4" customHeight="1">
      <c r="S1768" s="307"/>
      <c r="T1768" s="226">
        <f t="shared" si="97"/>
        <v>1765</v>
      </c>
      <c r="U1768" s="224">
        <f t="shared" si="95"/>
        <v>0</v>
      </c>
      <c r="V1768" s="225">
        <f t="shared" si="96"/>
        <v>3</v>
      </c>
      <c r="W1768" s="236">
        <f ca="1">+$U1768*EWSpacingFt+XOffset+PanArrayWidthHighEndFt-(PanArrayWidthHighEndFt-PanArrayWidthLowEndFt)/2</f>
        <v>10.80282152230971</v>
      </c>
      <c r="X1768" s="240">
        <f ca="1">$V1768*NSSpacingFt+YOffset+0</f>
        <v>53.999999999999972</v>
      </c>
      <c r="Y1768" s="244">
        <f ca="1">+$V1768*NSGradeFt+PedHeight+0</f>
        <v>7.401410761154855</v>
      </c>
      <c r="Z1768" s="214">
        <f ca="1">+$W1768</f>
        <v>10.80282152230971</v>
      </c>
      <c r="AA1768" s="214">
        <f ca="1">+$Y1768</f>
        <v>7.401410761154855</v>
      </c>
      <c r="AB1768" s="214">
        <f ca="1">+$X1768</f>
        <v>53.999999999999972</v>
      </c>
      <c r="AC1768" s="214">
        <f ca="1">+$W1768-XOffset</f>
        <v>10.80282152230971</v>
      </c>
    </row>
    <row r="1769" spans="19:29" ht="8.4" customHeight="1">
      <c r="S1769" s="307"/>
      <c r="T1769" s="226">
        <f t="shared" si="97"/>
        <v>1766</v>
      </c>
      <c r="U1769" s="224">
        <f t="shared" si="95"/>
        <v>0</v>
      </c>
      <c r="V1769" s="225">
        <f t="shared" si="96"/>
        <v>3</v>
      </c>
      <c r="W1769" s="237">
        <f ca="1">$U1769*EWSpacingFt+XOffset+PanArrayWidthHighEndFt</f>
        <v>10.80282152230971</v>
      </c>
      <c r="X1769" s="241">
        <f ca="1">$V1769*NSSpacingFt+YOffset+PanArrayLenFt*COS(RADIANS(Latitude+DecAng))</f>
        <v>70.43963254593173</v>
      </c>
      <c r="Y1769" s="245">
        <f ca="1">+$V1769*NSGradeFt+PedHeight+PanArrayLenFt*SIN(RADIANS(Latitude+DecAng))</f>
        <v>7.401410761154855</v>
      </c>
      <c r="Z1769" s="214">
        <f ca="1">+$W1769</f>
        <v>10.80282152230971</v>
      </c>
      <c r="AA1769" s="214">
        <f ca="1">+$Y1769</f>
        <v>7.401410761154855</v>
      </c>
      <c r="AB1769" s="214">
        <f ca="1">+$X1769</f>
        <v>70.43963254593173</v>
      </c>
      <c r="AC1769" s="214">
        <f ca="1">+$W1769-XOffset</f>
        <v>10.80282152230971</v>
      </c>
    </row>
    <row r="1770" spans="19:29" ht="8.4" customHeight="1">
      <c r="S1770" s="307"/>
      <c r="T1770" s="226">
        <f t="shared" si="97"/>
        <v>1767</v>
      </c>
      <c r="U1770" s="224">
        <f t="shared" si="95"/>
        <v>0</v>
      </c>
      <c r="V1770" s="225">
        <f t="shared" si="96"/>
        <v>3</v>
      </c>
      <c r="W1770" s="238">
        <f ca="1">$U1770*EWSpacingFt+XOffset+0</f>
        <v>0</v>
      </c>
      <c r="X1770" s="242">
        <f ca="1">$V1770*NSSpacingFt+YOffset+PanArrayLenFt*COS(RADIANS(Latitude+DecAng))</f>
        <v>70.43963254593173</v>
      </c>
      <c r="Y1770" s="246">
        <f ca="1">+$V1770*NSGradeFt+PedHeight+PanArrayLenFt*SIN(RADIANS(Latitude+DecAng))</f>
        <v>7.401410761154855</v>
      </c>
      <c r="Z1770" s="214">
        <f ca="1">+$W1770</f>
        <v>0</v>
      </c>
      <c r="AA1770" s="214">
        <f ca="1">+$Y1770</f>
        <v>7.401410761154855</v>
      </c>
      <c r="AB1770" s="214">
        <f ca="1">+$X1770</f>
        <v>70.43963254593173</v>
      </c>
      <c r="AC1770" s="214">
        <f ca="1">+$W1770-XOffset</f>
        <v>0</v>
      </c>
    </row>
    <row r="1771" spans="19:29" ht="8.4" customHeight="1">
      <c r="S1771" s="307"/>
      <c r="T1771" s="226">
        <f t="shared" si="97"/>
        <v>1768</v>
      </c>
      <c r="U1771" s="224">
        <f t="shared" si="95"/>
        <v>0</v>
      </c>
      <c r="V1771" s="225">
        <f t="shared" si="96"/>
        <v>3</v>
      </c>
      <c r="W1771" s="239">
        <f ca="1">$U1771*EWSpacingFt+XOffset+(PanArrayWidthHighEndFt-PanArrayWidthLowEndFt)/2</f>
        <v>0</v>
      </c>
      <c r="X1771" s="243">
        <f ca="1">$V1771*NSSpacingFt+YOffset+0</f>
        <v>53.999999999999972</v>
      </c>
      <c r="Y1771" s="247">
        <f ca="1">+$V1771*NSGradeFt+PedHeight+0</f>
        <v>7.401410761154855</v>
      </c>
      <c r="Z1771" s="214">
        <f ca="1">+$W1771</f>
        <v>0</v>
      </c>
      <c r="AA1771" s="214">
        <f ca="1">+$Y1771</f>
        <v>7.401410761154855</v>
      </c>
      <c r="AB1771" s="214">
        <f ca="1">+$X1771</f>
        <v>53.999999999999972</v>
      </c>
      <c r="AC1771" s="214">
        <f ca="1">+$W1771-XOffset</f>
        <v>0</v>
      </c>
    </row>
    <row r="1772" spans="19:29" ht="8.4" customHeight="1">
      <c r="S1772" s="307"/>
      <c r="T1772" s="226">
        <f t="shared" si="97"/>
        <v>1769</v>
      </c>
      <c r="U1772" s="224">
        <f t="shared" si="95"/>
        <v>0</v>
      </c>
      <c r="V1772" s="225">
        <f t="shared" si="96"/>
        <v>3</v>
      </c>
      <c r="W1772" s="217"/>
      <c r="X1772" s="217"/>
      <c r="Y1772" s="217"/>
      <c r="Z1772" s="214"/>
      <c r="AA1772" s="214"/>
      <c r="AB1772" s="214"/>
      <c r="AC1772" s="214"/>
    </row>
    <row r="1773" spans="19:29" ht="8.4" customHeight="1">
      <c r="S1773" s="307">
        <f>INT((T1773-0)/6)+1</f>
        <v>296</v>
      </c>
      <c r="T1773" s="226">
        <f t="shared" si="97"/>
        <v>1770</v>
      </c>
      <c r="U1773" s="224">
        <f t="shared" si="95"/>
        <v>1</v>
      </c>
      <c r="V1773" s="225">
        <f t="shared" si="96"/>
        <v>3</v>
      </c>
      <c r="W1773" s="233">
        <f ca="1">$U1773*EWSpacingFt+XOffset+(PanArrayWidthHighEndFt-PanArrayWidthLowEndFt)/2</f>
        <v>30.000006832286932</v>
      </c>
      <c r="X1773" s="234">
        <f ca="1">$V1773*NSSpacingFt+YOffset+0</f>
        <v>53.999999999999972</v>
      </c>
      <c r="Y1773" s="235">
        <f ca="1">+$V1773*NSGradeFt+PedHeight+0</f>
        <v>7.401410761154855</v>
      </c>
      <c r="Z1773" s="214">
        <f ca="1">+$W1773</f>
        <v>30.000006832286932</v>
      </c>
      <c r="AA1773" s="214">
        <f ca="1">+$Y1773</f>
        <v>7.401410761154855</v>
      </c>
      <c r="AB1773" s="214">
        <f ca="1">+$X1773</f>
        <v>53.999999999999972</v>
      </c>
      <c r="AC1773" s="214">
        <f ca="1">+$W1773-XOffset</f>
        <v>30.000006832286932</v>
      </c>
    </row>
    <row r="1774" spans="19:29" ht="8.4" customHeight="1">
      <c r="S1774" s="307"/>
      <c r="T1774" s="226">
        <f t="shared" si="97"/>
        <v>1771</v>
      </c>
      <c r="U1774" s="224">
        <f t="shared" si="95"/>
        <v>1</v>
      </c>
      <c r="V1774" s="225">
        <f t="shared" si="96"/>
        <v>3</v>
      </c>
      <c r="W1774" s="236">
        <f ca="1">+$U1774*EWSpacingFt+XOffset+PanArrayWidthHighEndFt-(PanArrayWidthHighEndFt-PanArrayWidthLowEndFt)/2</f>
        <v>40.802828354596642</v>
      </c>
      <c r="X1774" s="240">
        <f ca="1">$V1774*NSSpacingFt+YOffset+0</f>
        <v>53.999999999999972</v>
      </c>
      <c r="Y1774" s="244">
        <f ca="1">+$V1774*NSGradeFt+PedHeight+0</f>
        <v>7.401410761154855</v>
      </c>
      <c r="Z1774" s="214">
        <f ca="1">+$W1774</f>
        <v>40.802828354596642</v>
      </c>
      <c r="AA1774" s="214">
        <f ca="1">+$Y1774</f>
        <v>7.401410761154855</v>
      </c>
      <c r="AB1774" s="214">
        <f ca="1">+$X1774</f>
        <v>53.999999999999972</v>
      </c>
      <c r="AC1774" s="214">
        <f ca="1">+$W1774-XOffset</f>
        <v>40.802828354596642</v>
      </c>
    </row>
    <row r="1775" spans="19:29" ht="8.4" customHeight="1">
      <c r="S1775" s="307"/>
      <c r="T1775" s="226">
        <f t="shared" si="97"/>
        <v>1772</v>
      </c>
      <c r="U1775" s="224">
        <f t="shared" si="95"/>
        <v>1</v>
      </c>
      <c r="V1775" s="225">
        <f t="shared" si="96"/>
        <v>3</v>
      </c>
      <c r="W1775" s="237">
        <f ca="1">$U1775*EWSpacingFt+XOffset+PanArrayWidthHighEndFt</f>
        <v>40.802828354596642</v>
      </c>
      <c r="X1775" s="241">
        <f ca="1">$V1775*NSSpacingFt+YOffset+PanArrayLenFt*COS(RADIANS(Latitude+DecAng))</f>
        <v>70.43963254593173</v>
      </c>
      <c r="Y1775" s="245">
        <f ca="1">+$V1775*NSGradeFt+PedHeight+PanArrayLenFt*SIN(RADIANS(Latitude+DecAng))</f>
        <v>7.401410761154855</v>
      </c>
      <c r="Z1775" s="214">
        <f ca="1">+$W1775</f>
        <v>40.802828354596642</v>
      </c>
      <c r="AA1775" s="214">
        <f ca="1">+$Y1775</f>
        <v>7.401410761154855</v>
      </c>
      <c r="AB1775" s="214">
        <f ca="1">+$X1775</f>
        <v>70.43963254593173</v>
      </c>
      <c r="AC1775" s="214">
        <f ca="1">+$W1775-XOffset</f>
        <v>40.802828354596642</v>
      </c>
    </row>
    <row r="1776" spans="19:29" ht="8.4" customHeight="1">
      <c r="S1776" s="307"/>
      <c r="T1776" s="226">
        <f t="shared" si="97"/>
        <v>1773</v>
      </c>
      <c r="U1776" s="224">
        <f t="shared" si="95"/>
        <v>1</v>
      </c>
      <c r="V1776" s="225">
        <f t="shared" si="96"/>
        <v>3</v>
      </c>
      <c r="W1776" s="238">
        <f ca="1">$U1776*EWSpacingFt+XOffset+0</f>
        <v>30.000006832286932</v>
      </c>
      <c r="X1776" s="242">
        <f ca="1">$V1776*NSSpacingFt+YOffset+PanArrayLenFt*COS(RADIANS(Latitude+DecAng))</f>
        <v>70.43963254593173</v>
      </c>
      <c r="Y1776" s="246">
        <f ca="1">+$V1776*NSGradeFt+PedHeight+PanArrayLenFt*SIN(RADIANS(Latitude+DecAng))</f>
        <v>7.401410761154855</v>
      </c>
      <c r="Z1776" s="214">
        <f ca="1">+$W1776</f>
        <v>30.000006832286932</v>
      </c>
      <c r="AA1776" s="214">
        <f ca="1">+$Y1776</f>
        <v>7.401410761154855</v>
      </c>
      <c r="AB1776" s="214">
        <f ca="1">+$X1776</f>
        <v>70.43963254593173</v>
      </c>
      <c r="AC1776" s="214">
        <f ca="1">+$W1776-XOffset</f>
        <v>30.000006832286932</v>
      </c>
    </row>
    <row r="1777" spans="19:29" ht="8.4" customHeight="1">
      <c r="S1777" s="307"/>
      <c r="T1777" s="226">
        <f t="shared" si="97"/>
        <v>1774</v>
      </c>
      <c r="U1777" s="224">
        <f t="shared" si="95"/>
        <v>1</v>
      </c>
      <c r="V1777" s="225">
        <f t="shared" si="96"/>
        <v>3</v>
      </c>
      <c r="W1777" s="239">
        <f ca="1">$U1777*EWSpacingFt+XOffset+(PanArrayWidthHighEndFt-PanArrayWidthLowEndFt)/2</f>
        <v>30.000006832286932</v>
      </c>
      <c r="X1777" s="243">
        <f ca="1">$V1777*NSSpacingFt+YOffset+0</f>
        <v>53.999999999999972</v>
      </c>
      <c r="Y1777" s="247">
        <f ca="1">+$V1777*NSGradeFt+PedHeight+0</f>
        <v>7.401410761154855</v>
      </c>
      <c r="Z1777" s="214">
        <f ca="1">+$W1777</f>
        <v>30.000006832286932</v>
      </c>
      <c r="AA1777" s="214">
        <f ca="1">+$Y1777</f>
        <v>7.401410761154855</v>
      </c>
      <c r="AB1777" s="214">
        <f ca="1">+$X1777</f>
        <v>53.999999999999972</v>
      </c>
      <c r="AC1777" s="214">
        <f ca="1">+$W1777-XOffset</f>
        <v>30.000006832286932</v>
      </c>
    </row>
    <row r="1778" spans="19:29" ht="8.4" customHeight="1">
      <c r="S1778" s="307"/>
      <c r="T1778" s="226">
        <f t="shared" si="97"/>
        <v>1775</v>
      </c>
      <c r="U1778" s="224">
        <f t="shared" si="95"/>
        <v>1</v>
      </c>
      <c r="V1778" s="225">
        <f t="shared" si="96"/>
        <v>3</v>
      </c>
      <c r="W1778" s="217"/>
      <c r="X1778" s="217"/>
      <c r="Y1778" s="217"/>
      <c r="Z1778" s="214"/>
      <c r="AA1778" s="214"/>
      <c r="AB1778" s="214"/>
      <c r="AC1778" s="214"/>
    </row>
    <row r="1779" spans="19:29" ht="8.4" customHeight="1">
      <c r="S1779" s="307">
        <f>INT((T1779-0)/6)+1</f>
        <v>297</v>
      </c>
      <c r="T1779" s="226">
        <f t="shared" si="97"/>
        <v>1776</v>
      </c>
      <c r="U1779" s="224">
        <f t="shared" si="95"/>
        <v>0</v>
      </c>
      <c r="V1779" s="225">
        <f t="shared" si="96"/>
        <v>0</v>
      </c>
      <c r="W1779" s="233">
        <f ca="1">$U1779*EWSpacingFt+XOffset+(PanArrayWidthHighEndFt-PanArrayWidthLowEndFt)/2</f>
        <v>0</v>
      </c>
      <c r="X1779" s="234">
        <f ca="1">$V1779*NSSpacingFt+YOffset+0</f>
        <v>0</v>
      </c>
      <c r="Y1779" s="235">
        <f ca="1">+$V1779*NSGradeFt+PedHeight+0</f>
        <v>7.401410761154855</v>
      </c>
      <c r="Z1779" s="214">
        <f ca="1">+$W1779</f>
        <v>0</v>
      </c>
      <c r="AA1779" s="214">
        <f ca="1">+$Y1779</f>
        <v>7.401410761154855</v>
      </c>
      <c r="AB1779" s="214">
        <f ca="1">+$X1779</f>
        <v>0</v>
      </c>
      <c r="AC1779" s="214">
        <f ca="1">+$W1779-XOffset</f>
        <v>0</v>
      </c>
    </row>
    <row r="1780" spans="19:29" ht="8.4" customHeight="1">
      <c r="S1780" s="307"/>
      <c r="T1780" s="226">
        <f t="shared" si="97"/>
        <v>1777</v>
      </c>
      <c r="U1780" s="224">
        <f t="shared" si="95"/>
        <v>0</v>
      </c>
      <c r="V1780" s="225">
        <f t="shared" si="96"/>
        <v>0</v>
      </c>
      <c r="W1780" s="236">
        <f ca="1">+$U1780*EWSpacingFt+XOffset+PanArrayWidthHighEndFt-(PanArrayWidthHighEndFt-PanArrayWidthLowEndFt)/2</f>
        <v>10.80282152230971</v>
      </c>
      <c r="X1780" s="240">
        <f ca="1">$V1780*NSSpacingFt+YOffset+0</f>
        <v>0</v>
      </c>
      <c r="Y1780" s="244">
        <f ca="1">+$V1780*NSGradeFt+PedHeight+0</f>
        <v>7.401410761154855</v>
      </c>
      <c r="Z1780" s="214">
        <f ca="1">+$W1780</f>
        <v>10.80282152230971</v>
      </c>
      <c r="AA1780" s="214">
        <f ca="1">+$Y1780</f>
        <v>7.401410761154855</v>
      </c>
      <c r="AB1780" s="214">
        <f ca="1">+$X1780</f>
        <v>0</v>
      </c>
      <c r="AC1780" s="214">
        <f ca="1">+$W1780-XOffset</f>
        <v>10.80282152230971</v>
      </c>
    </row>
    <row r="1781" spans="19:29" ht="8.4" customHeight="1">
      <c r="S1781" s="307"/>
      <c r="T1781" s="226">
        <f t="shared" si="97"/>
        <v>1778</v>
      </c>
      <c r="U1781" s="224">
        <f t="shared" si="95"/>
        <v>0</v>
      </c>
      <c r="V1781" s="225">
        <f t="shared" si="96"/>
        <v>0</v>
      </c>
      <c r="W1781" s="237">
        <f ca="1">$U1781*EWSpacingFt+XOffset+PanArrayWidthHighEndFt</f>
        <v>10.80282152230971</v>
      </c>
      <c r="X1781" s="241">
        <f ca="1">$V1781*NSSpacingFt+YOffset+PanArrayLenFt*COS(RADIANS(Latitude+DecAng))</f>
        <v>16.439632545931762</v>
      </c>
      <c r="Y1781" s="245">
        <f ca="1">+$V1781*NSGradeFt+PedHeight+PanArrayLenFt*SIN(RADIANS(Latitude+DecAng))</f>
        <v>7.401410761154855</v>
      </c>
      <c r="Z1781" s="214">
        <f ca="1">+$W1781</f>
        <v>10.80282152230971</v>
      </c>
      <c r="AA1781" s="214">
        <f ca="1">+$Y1781</f>
        <v>7.401410761154855</v>
      </c>
      <c r="AB1781" s="214">
        <f ca="1">+$X1781</f>
        <v>16.439632545931762</v>
      </c>
      <c r="AC1781" s="214">
        <f ca="1">+$W1781-XOffset</f>
        <v>10.80282152230971</v>
      </c>
    </row>
    <row r="1782" spans="19:29" ht="8.4" customHeight="1">
      <c r="S1782" s="307"/>
      <c r="T1782" s="226">
        <f t="shared" si="97"/>
        <v>1779</v>
      </c>
      <c r="U1782" s="224">
        <f t="shared" si="95"/>
        <v>0</v>
      </c>
      <c r="V1782" s="225">
        <f t="shared" si="96"/>
        <v>0</v>
      </c>
      <c r="W1782" s="238">
        <f ca="1">$U1782*EWSpacingFt+XOffset+0</f>
        <v>0</v>
      </c>
      <c r="X1782" s="242">
        <f ca="1">$V1782*NSSpacingFt+YOffset+PanArrayLenFt*COS(RADIANS(Latitude+DecAng))</f>
        <v>16.439632545931762</v>
      </c>
      <c r="Y1782" s="246">
        <f ca="1">+$V1782*NSGradeFt+PedHeight+PanArrayLenFt*SIN(RADIANS(Latitude+DecAng))</f>
        <v>7.401410761154855</v>
      </c>
      <c r="Z1782" s="214">
        <f ca="1">+$W1782</f>
        <v>0</v>
      </c>
      <c r="AA1782" s="214">
        <f ca="1">+$Y1782</f>
        <v>7.401410761154855</v>
      </c>
      <c r="AB1782" s="214">
        <f ca="1">+$X1782</f>
        <v>16.439632545931762</v>
      </c>
      <c r="AC1782" s="214">
        <f ca="1">+$W1782-XOffset</f>
        <v>0</v>
      </c>
    </row>
    <row r="1783" spans="19:29" ht="8.4" customHeight="1">
      <c r="S1783" s="307"/>
      <c r="T1783" s="226">
        <f t="shared" si="97"/>
        <v>1780</v>
      </c>
      <c r="U1783" s="224">
        <f t="shared" si="95"/>
        <v>0</v>
      </c>
      <c r="V1783" s="225">
        <f t="shared" si="96"/>
        <v>0</v>
      </c>
      <c r="W1783" s="239">
        <f ca="1">$U1783*EWSpacingFt+XOffset+(PanArrayWidthHighEndFt-PanArrayWidthLowEndFt)/2</f>
        <v>0</v>
      </c>
      <c r="X1783" s="243">
        <f ca="1">$V1783*NSSpacingFt+YOffset+0</f>
        <v>0</v>
      </c>
      <c r="Y1783" s="247">
        <f ca="1">+$V1783*NSGradeFt+PedHeight+0</f>
        <v>7.401410761154855</v>
      </c>
      <c r="Z1783" s="214">
        <f ca="1">+$W1783</f>
        <v>0</v>
      </c>
      <c r="AA1783" s="214">
        <f ca="1">+$Y1783</f>
        <v>7.401410761154855</v>
      </c>
      <c r="AB1783" s="214">
        <f ca="1">+$X1783</f>
        <v>0</v>
      </c>
      <c r="AC1783" s="214">
        <f ca="1">+$W1783-XOffset</f>
        <v>0</v>
      </c>
    </row>
    <row r="1784" spans="19:29" ht="8.4" customHeight="1">
      <c r="S1784" s="307"/>
      <c r="T1784" s="226">
        <f t="shared" si="97"/>
        <v>1781</v>
      </c>
      <c r="U1784" s="224">
        <f t="shared" si="95"/>
        <v>0</v>
      </c>
      <c r="V1784" s="225">
        <f t="shared" si="96"/>
        <v>0</v>
      </c>
      <c r="W1784" s="217"/>
      <c r="X1784" s="217"/>
      <c r="Y1784" s="217"/>
      <c r="Z1784" s="214"/>
      <c r="AA1784" s="214"/>
      <c r="AB1784" s="214"/>
      <c r="AC1784" s="214"/>
    </row>
    <row r="1785" spans="19:29" ht="8.4" customHeight="1">
      <c r="S1785" s="307">
        <f>INT((T1785-0)/6)+1</f>
        <v>298</v>
      </c>
      <c r="T1785" s="226">
        <f t="shared" si="97"/>
        <v>1782</v>
      </c>
      <c r="U1785" s="224">
        <f t="shared" si="95"/>
        <v>1</v>
      </c>
      <c r="V1785" s="225">
        <f t="shared" si="96"/>
        <v>0</v>
      </c>
      <c r="W1785" s="233">
        <f ca="1">$U1785*EWSpacingFt+XOffset+(PanArrayWidthHighEndFt-PanArrayWidthLowEndFt)/2</f>
        <v>30.000006832286932</v>
      </c>
      <c r="X1785" s="234">
        <f ca="1">$V1785*NSSpacingFt+YOffset+0</f>
        <v>0</v>
      </c>
      <c r="Y1785" s="235">
        <f ca="1">+$V1785*NSGradeFt+PedHeight+0</f>
        <v>7.401410761154855</v>
      </c>
      <c r="Z1785" s="214">
        <f ca="1">+$W1785</f>
        <v>30.000006832286932</v>
      </c>
      <c r="AA1785" s="214">
        <f ca="1">+$Y1785</f>
        <v>7.401410761154855</v>
      </c>
      <c r="AB1785" s="214">
        <f ca="1">+$X1785</f>
        <v>0</v>
      </c>
      <c r="AC1785" s="214">
        <f ca="1">+$W1785-XOffset</f>
        <v>30.000006832286932</v>
      </c>
    </row>
    <row r="1786" spans="19:29" ht="8.4" customHeight="1">
      <c r="S1786" s="307"/>
      <c r="T1786" s="226">
        <f t="shared" si="97"/>
        <v>1783</v>
      </c>
      <c r="U1786" s="224">
        <f t="shared" si="95"/>
        <v>1</v>
      </c>
      <c r="V1786" s="225">
        <f t="shared" si="96"/>
        <v>0</v>
      </c>
      <c r="W1786" s="236">
        <f ca="1">+$U1786*EWSpacingFt+XOffset+PanArrayWidthHighEndFt-(PanArrayWidthHighEndFt-PanArrayWidthLowEndFt)/2</f>
        <v>40.802828354596642</v>
      </c>
      <c r="X1786" s="240">
        <f ca="1">$V1786*NSSpacingFt+YOffset+0</f>
        <v>0</v>
      </c>
      <c r="Y1786" s="244">
        <f ca="1">+$V1786*NSGradeFt+PedHeight+0</f>
        <v>7.401410761154855</v>
      </c>
      <c r="Z1786" s="214">
        <f ca="1">+$W1786</f>
        <v>40.802828354596642</v>
      </c>
      <c r="AA1786" s="214">
        <f ca="1">+$Y1786</f>
        <v>7.401410761154855</v>
      </c>
      <c r="AB1786" s="214">
        <f ca="1">+$X1786</f>
        <v>0</v>
      </c>
      <c r="AC1786" s="214">
        <f ca="1">+$W1786-XOffset</f>
        <v>40.802828354596642</v>
      </c>
    </row>
    <row r="1787" spans="19:29" ht="8.4" customHeight="1">
      <c r="S1787" s="307"/>
      <c r="T1787" s="226">
        <f t="shared" si="97"/>
        <v>1784</v>
      </c>
      <c r="U1787" s="224">
        <f t="shared" si="95"/>
        <v>1</v>
      </c>
      <c r="V1787" s="225">
        <f t="shared" si="96"/>
        <v>0</v>
      </c>
      <c r="W1787" s="237">
        <f ca="1">$U1787*EWSpacingFt+XOffset+PanArrayWidthHighEndFt</f>
        <v>40.802828354596642</v>
      </c>
      <c r="X1787" s="241">
        <f ca="1">$V1787*NSSpacingFt+YOffset+PanArrayLenFt*COS(RADIANS(Latitude+DecAng))</f>
        <v>16.439632545931762</v>
      </c>
      <c r="Y1787" s="245">
        <f ca="1">+$V1787*NSGradeFt+PedHeight+PanArrayLenFt*SIN(RADIANS(Latitude+DecAng))</f>
        <v>7.401410761154855</v>
      </c>
      <c r="Z1787" s="214">
        <f ca="1">+$W1787</f>
        <v>40.802828354596642</v>
      </c>
      <c r="AA1787" s="214">
        <f ca="1">+$Y1787</f>
        <v>7.401410761154855</v>
      </c>
      <c r="AB1787" s="214">
        <f ca="1">+$X1787</f>
        <v>16.439632545931762</v>
      </c>
      <c r="AC1787" s="214">
        <f ca="1">+$W1787-XOffset</f>
        <v>40.802828354596642</v>
      </c>
    </row>
    <row r="1788" spans="19:29" ht="8.4" customHeight="1">
      <c r="S1788" s="307"/>
      <c r="T1788" s="226">
        <f t="shared" si="97"/>
        <v>1785</v>
      </c>
      <c r="U1788" s="224">
        <f t="shared" si="95"/>
        <v>1</v>
      </c>
      <c r="V1788" s="225">
        <f t="shared" si="96"/>
        <v>0</v>
      </c>
      <c r="W1788" s="238">
        <f ca="1">$U1788*EWSpacingFt+XOffset+0</f>
        <v>30.000006832286932</v>
      </c>
      <c r="X1788" s="242">
        <f ca="1">$V1788*NSSpacingFt+YOffset+PanArrayLenFt*COS(RADIANS(Latitude+DecAng))</f>
        <v>16.439632545931762</v>
      </c>
      <c r="Y1788" s="246">
        <f ca="1">+$V1788*NSGradeFt+PedHeight+PanArrayLenFt*SIN(RADIANS(Latitude+DecAng))</f>
        <v>7.401410761154855</v>
      </c>
      <c r="Z1788" s="214">
        <f ca="1">+$W1788</f>
        <v>30.000006832286932</v>
      </c>
      <c r="AA1788" s="214">
        <f ca="1">+$Y1788</f>
        <v>7.401410761154855</v>
      </c>
      <c r="AB1788" s="214">
        <f ca="1">+$X1788</f>
        <v>16.439632545931762</v>
      </c>
      <c r="AC1788" s="214">
        <f ca="1">+$W1788-XOffset</f>
        <v>30.000006832286932</v>
      </c>
    </row>
    <row r="1789" spans="19:29" ht="8.4" customHeight="1">
      <c r="S1789" s="307"/>
      <c r="T1789" s="226">
        <f t="shared" si="97"/>
        <v>1786</v>
      </c>
      <c r="U1789" s="224">
        <f t="shared" si="95"/>
        <v>1</v>
      </c>
      <c r="V1789" s="225">
        <f t="shared" si="96"/>
        <v>0</v>
      </c>
      <c r="W1789" s="239">
        <f ca="1">$U1789*EWSpacingFt+XOffset+(PanArrayWidthHighEndFt-PanArrayWidthLowEndFt)/2</f>
        <v>30.000006832286932</v>
      </c>
      <c r="X1789" s="243">
        <f ca="1">$V1789*NSSpacingFt+YOffset+0</f>
        <v>0</v>
      </c>
      <c r="Y1789" s="247">
        <f ca="1">+$V1789*NSGradeFt+PedHeight+0</f>
        <v>7.401410761154855</v>
      </c>
      <c r="Z1789" s="214">
        <f ca="1">+$W1789</f>
        <v>30.000006832286932</v>
      </c>
      <c r="AA1789" s="214">
        <f ca="1">+$Y1789</f>
        <v>7.401410761154855</v>
      </c>
      <c r="AB1789" s="214">
        <f ca="1">+$X1789</f>
        <v>0</v>
      </c>
      <c r="AC1789" s="214">
        <f ca="1">+$W1789-XOffset</f>
        <v>30.000006832286932</v>
      </c>
    </row>
    <row r="1790" spans="19:29" ht="8.4" customHeight="1">
      <c r="S1790" s="307"/>
      <c r="T1790" s="226">
        <f t="shared" si="97"/>
        <v>1787</v>
      </c>
      <c r="U1790" s="224">
        <f t="shared" si="95"/>
        <v>1</v>
      </c>
      <c r="V1790" s="225">
        <f t="shared" si="96"/>
        <v>0</v>
      </c>
      <c r="W1790" s="217"/>
      <c r="X1790" s="217"/>
      <c r="Y1790" s="217"/>
      <c r="Z1790" s="214"/>
      <c r="AA1790" s="214"/>
      <c r="AB1790" s="214"/>
      <c r="AC1790" s="214"/>
    </row>
    <row r="1791" spans="19:29" ht="8.4" customHeight="1">
      <c r="S1791" s="307">
        <f>INT((T1791-0)/6)+1</f>
        <v>299</v>
      </c>
      <c r="T1791" s="226">
        <f t="shared" si="97"/>
        <v>1788</v>
      </c>
      <c r="U1791" s="224">
        <f t="shared" si="95"/>
        <v>0</v>
      </c>
      <c r="V1791" s="225">
        <f t="shared" si="96"/>
        <v>1</v>
      </c>
      <c r="W1791" s="233">
        <f ca="1">$U1791*EWSpacingFt+XOffset+(PanArrayWidthHighEndFt-PanArrayWidthLowEndFt)/2</f>
        <v>0</v>
      </c>
      <c r="X1791" s="234">
        <f ca="1">$V1791*NSSpacingFt+YOffset+0</f>
        <v>17.999999999999989</v>
      </c>
      <c r="Y1791" s="235">
        <f ca="1">+$V1791*NSGradeFt+PedHeight+0</f>
        <v>7.401410761154855</v>
      </c>
      <c r="Z1791" s="214">
        <f ca="1">+$W1791</f>
        <v>0</v>
      </c>
      <c r="AA1791" s="214">
        <f ca="1">+$Y1791</f>
        <v>7.401410761154855</v>
      </c>
      <c r="AB1791" s="214">
        <f ca="1">+$X1791</f>
        <v>17.999999999999989</v>
      </c>
      <c r="AC1791" s="214">
        <f ca="1">+$W1791-XOffset</f>
        <v>0</v>
      </c>
    </row>
    <row r="1792" spans="19:29" ht="8.4" customHeight="1">
      <c r="S1792" s="307"/>
      <c r="T1792" s="226">
        <f t="shared" si="97"/>
        <v>1789</v>
      </c>
      <c r="U1792" s="224">
        <f t="shared" si="95"/>
        <v>0</v>
      </c>
      <c r="V1792" s="225">
        <f t="shared" si="96"/>
        <v>1</v>
      </c>
      <c r="W1792" s="236">
        <f ca="1">+$U1792*EWSpacingFt+XOffset+PanArrayWidthHighEndFt-(PanArrayWidthHighEndFt-PanArrayWidthLowEndFt)/2</f>
        <v>10.80282152230971</v>
      </c>
      <c r="X1792" s="240">
        <f ca="1">$V1792*NSSpacingFt+YOffset+0</f>
        <v>17.999999999999989</v>
      </c>
      <c r="Y1792" s="244">
        <f ca="1">+$V1792*NSGradeFt+PedHeight+0</f>
        <v>7.401410761154855</v>
      </c>
      <c r="Z1792" s="214">
        <f ca="1">+$W1792</f>
        <v>10.80282152230971</v>
      </c>
      <c r="AA1792" s="214">
        <f ca="1">+$Y1792</f>
        <v>7.401410761154855</v>
      </c>
      <c r="AB1792" s="214">
        <f ca="1">+$X1792</f>
        <v>17.999999999999989</v>
      </c>
      <c r="AC1792" s="214">
        <f ca="1">+$W1792-XOffset</f>
        <v>10.80282152230971</v>
      </c>
    </row>
    <row r="1793" spans="19:29" ht="8.4" customHeight="1">
      <c r="S1793" s="307"/>
      <c r="T1793" s="226">
        <f t="shared" si="97"/>
        <v>1790</v>
      </c>
      <c r="U1793" s="224">
        <f t="shared" si="95"/>
        <v>0</v>
      </c>
      <c r="V1793" s="225">
        <f t="shared" si="96"/>
        <v>1</v>
      </c>
      <c r="W1793" s="237">
        <f ca="1">$U1793*EWSpacingFt+XOffset+PanArrayWidthHighEndFt</f>
        <v>10.80282152230971</v>
      </c>
      <c r="X1793" s="241">
        <f ca="1">$V1793*NSSpacingFt+YOffset+PanArrayLenFt*COS(RADIANS(Latitude+DecAng))</f>
        <v>34.439632545931751</v>
      </c>
      <c r="Y1793" s="245">
        <f ca="1">+$V1793*NSGradeFt+PedHeight+PanArrayLenFt*SIN(RADIANS(Latitude+DecAng))</f>
        <v>7.401410761154855</v>
      </c>
      <c r="Z1793" s="214">
        <f ca="1">+$W1793</f>
        <v>10.80282152230971</v>
      </c>
      <c r="AA1793" s="214">
        <f ca="1">+$Y1793</f>
        <v>7.401410761154855</v>
      </c>
      <c r="AB1793" s="214">
        <f ca="1">+$X1793</f>
        <v>34.439632545931751</v>
      </c>
      <c r="AC1793" s="214">
        <f ca="1">+$W1793-XOffset</f>
        <v>10.80282152230971</v>
      </c>
    </row>
    <row r="1794" spans="19:29" ht="8.4" customHeight="1">
      <c r="S1794" s="307"/>
      <c r="T1794" s="226">
        <f t="shared" si="97"/>
        <v>1791</v>
      </c>
      <c r="U1794" s="224">
        <f t="shared" si="95"/>
        <v>0</v>
      </c>
      <c r="V1794" s="225">
        <f t="shared" si="96"/>
        <v>1</v>
      </c>
      <c r="W1794" s="238">
        <f ca="1">$U1794*EWSpacingFt+XOffset+0</f>
        <v>0</v>
      </c>
      <c r="X1794" s="242">
        <f ca="1">$V1794*NSSpacingFt+YOffset+PanArrayLenFt*COS(RADIANS(Latitude+DecAng))</f>
        <v>34.439632545931751</v>
      </c>
      <c r="Y1794" s="246">
        <f ca="1">+$V1794*NSGradeFt+PedHeight+PanArrayLenFt*SIN(RADIANS(Latitude+DecAng))</f>
        <v>7.401410761154855</v>
      </c>
      <c r="Z1794" s="214">
        <f ca="1">+$W1794</f>
        <v>0</v>
      </c>
      <c r="AA1794" s="214">
        <f ca="1">+$Y1794</f>
        <v>7.401410761154855</v>
      </c>
      <c r="AB1794" s="214">
        <f ca="1">+$X1794</f>
        <v>34.439632545931751</v>
      </c>
      <c r="AC1794" s="214">
        <f ca="1">+$W1794-XOffset</f>
        <v>0</v>
      </c>
    </row>
    <row r="1795" spans="19:29" ht="8.4" customHeight="1">
      <c r="S1795" s="307"/>
      <c r="T1795" s="226">
        <f t="shared" si="97"/>
        <v>1792</v>
      </c>
      <c r="U1795" s="224">
        <f t="shared" ref="U1795:U1858" si="98">+MOD(INT(T1795/6),ColumnsOfMounts)</f>
        <v>0</v>
      </c>
      <c r="V1795" s="225">
        <f t="shared" ref="V1795:V1858" si="99">+MOD(INT(T1795/6/ColumnsOfMounts),RowsOfMounts)</f>
        <v>1</v>
      </c>
      <c r="W1795" s="239">
        <f ca="1">$U1795*EWSpacingFt+XOffset+(PanArrayWidthHighEndFt-PanArrayWidthLowEndFt)/2</f>
        <v>0</v>
      </c>
      <c r="X1795" s="243">
        <f ca="1">$V1795*NSSpacingFt+YOffset+0</f>
        <v>17.999999999999989</v>
      </c>
      <c r="Y1795" s="247">
        <f ca="1">+$V1795*NSGradeFt+PedHeight+0</f>
        <v>7.401410761154855</v>
      </c>
      <c r="Z1795" s="214">
        <f ca="1">+$W1795</f>
        <v>0</v>
      </c>
      <c r="AA1795" s="214">
        <f ca="1">+$Y1795</f>
        <v>7.401410761154855</v>
      </c>
      <c r="AB1795" s="214">
        <f ca="1">+$X1795</f>
        <v>17.999999999999989</v>
      </c>
      <c r="AC1795" s="214">
        <f ca="1">+$W1795-XOffset</f>
        <v>0</v>
      </c>
    </row>
    <row r="1796" spans="19:29" ht="8.4" customHeight="1">
      <c r="S1796" s="307"/>
      <c r="T1796" s="226">
        <f t="shared" si="97"/>
        <v>1793</v>
      </c>
      <c r="U1796" s="224">
        <f t="shared" si="98"/>
        <v>0</v>
      </c>
      <c r="V1796" s="225">
        <f t="shared" si="99"/>
        <v>1</v>
      </c>
      <c r="W1796" s="217"/>
      <c r="X1796" s="217"/>
      <c r="Y1796" s="217"/>
      <c r="Z1796" s="214"/>
      <c r="AA1796" s="214"/>
      <c r="AB1796" s="214"/>
      <c r="AC1796" s="214"/>
    </row>
    <row r="1797" spans="19:29" ht="8.4" customHeight="1">
      <c r="S1797" s="307">
        <f>INT((T1797-0)/6)+1</f>
        <v>300</v>
      </c>
      <c r="T1797" s="226">
        <f t="shared" si="97"/>
        <v>1794</v>
      </c>
      <c r="U1797" s="224">
        <f t="shared" si="98"/>
        <v>1</v>
      </c>
      <c r="V1797" s="225">
        <f t="shared" si="99"/>
        <v>1</v>
      </c>
      <c r="W1797" s="233">
        <f ca="1">$U1797*EWSpacingFt+XOffset+(PanArrayWidthHighEndFt-PanArrayWidthLowEndFt)/2</f>
        <v>30.000006832286932</v>
      </c>
      <c r="X1797" s="234">
        <f ca="1">$V1797*NSSpacingFt+YOffset+0</f>
        <v>17.999999999999989</v>
      </c>
      <c r="Y1797" s="235">
        <f ca="1">+$V1797*NSGradeFt+PedHeight+0</f>
        <v>7.401410761154855</v>
      </c>
      <c r="Z1797" s="214">
        <f ca="1">+$W1797</f>
        <v>30.000006832286932</v>
      </c>
      <c r="AA1797" s="214">
        <f ca="1">+$Y1797</f>
        <v>7.401410761154855</v>
      </c>
      <c r="AB1797" s="214">
        <f ca="1">+$X1797</f>
        <v>17.999999999999989</v>
      </c>
      <c r="AC1797" s="214">
        <f ca="1">+$W1797-XOffset</f>
        <v>30.000006832286932</v>
      </c>
    </row>
    <row r="1798" spans="19:29" ht="8.4" customHeight="1">
      <c r="S1798" s="307"/>
      <c r="T1798" s="226">
        <f t="shared" si="97"/>
        <v>1795</v>
      </c>
      <c r="U1798" s="224">
        <f t="shared" si="98"/>
        <v>1</v>
      </c>
      <c r="V1798" s="225">
        <f t="shared" si="99"/>
        <v>1</v>
      </c>
      <c r="W1798" s="236">
        <f ca="1">+$U1798*EWSpacingFt+XOffset+PanArrayWidthHighEndFt-(PanArrayWidthHighEndFt-PanArrayWidthLowEndFt)/2</f>
        <v>40.802828354596642</v>
      </c>
      <c r="X1798" s="240">
        <f ca="1">$V1798*NSSpacingFt+YOffset+0</f>
        <v>17.999999999999989</v>
      </c>
      <c r="Y1798" s="244">
        <f ca="1">+$V1798*NSGradeFt+PedHeight+0</f>
        <v>7.401410761154855</v>
      </c>
      <c r="Z1798" s="214">
        <f ca="1">+$W1798</f>
        <v>40.802828354596642</v>
      </c>
      <c r="AA1798" s="214">
        <f ca="1">+$Y1798</f>
        <v>7.401410761154855</v>
      </c>
      <c r="AB1798" s="214">
        <f ca="1">+$X1798</f>
        <v>17.999999999999989</v>
      </c>
      <c r="AC1798" s="214">
        <f ca="1">+$W1798-XOffset</f>
        <v>40.802828354596642</v>
      </c>
    </row>
    <row r="1799" spans="19:29" ht="8.4" customHeight="1">
      <c r="S1799" s="307"/>
      <c r="T1799" s="226">
        <f t="shared" si="97"/>
        <v>1796</v>
      </c>
      <c r="U1799" s="224">
        <f t="shared" si="98"/>
        <v>1</v>
      </c>
      <c r="V1799" s="225">
        <f t="shared" si="99"/>
        <v>1</v>
      </c>
      <c r="W1799" s="237">
        <f ca="1">$U1799*EWSpacingFt+XOffset+PanArrayWidthHighEndFt</f>
        <v>40.802828354596642</v>
      </c>
      <c r="X1799" s="241">
        <f ca="1">$V1799*NSSpacingFt+YOffset+PanArrayLenFt*COS(RADIANS(Latitude+DecAng))</f>
        <v>34.439632545931751</v>
      </c>
      <c r="Y1799" s="245">
        <f ca="1">+$V1799*NSGradeFt+PedHeight+PanArrayLenFt*SIN(RADIANS(Latitude+DecAng))</f>
        <v>7.401410761154855</v>
      </c>
      <c r="Z1799" s="214">
        <f ca="1">+$W1799</f>
        <v>40.802828354596642</v>
      </c>
      <c r="AA1799" s="214">
        <f ca="1">+$Y1799</f>
        <v>7.401410761154855</v>
      </c>
      <c r="AB1799" s="214">
        <f ca="1">+$X1799</f>
        <v>34.439632545931751</v>
      </c>
      <c r="AC1799" s="214">
        <f ca="1">+$W1799-XOffset</f>
        <v>40.802828354596642</v>
      </c>
    </row>
    <row r="1800" spans="19:29" ht="8.4" customHeight="1">
      <c r="S1800" s="307"/>
      <c r="T1800" s="226">
        <f t="shared" si="97"/>
        <v>1797</v>
      </c>
      <c r="U1800" s="224">
        <f t="shared" si="98"/>
        <v>1</v>
      </c>
      <c r="V1800" s="225">
        <f t="shared" si="99"/>
        <v>1</v>
      </c>
      <c r="W1800" s="238">
        <f ca="1">$U1800*EWSpacingFt+XOffset+0</f>
        <v>30.000006832286932</v>
      </c>
      <c r="X1800" s="242">
        <f ca="1">$V1800*NSSpacingFt+YOffset+PanArrayLenFt*COS(RADIANS(Latitude+DecAng))</f>
        <v>34.439632545931751</v>
      </c>
      <c r="Y1800" s="246">
        <f ca="1">+$V1800*NSGradeFt+PedHeight+PanArrayLenFt*SIN(RADIANS(Latitude+DecAng))</f>
        <v>7.401410761154855</v>
      </c>
      <c r="Z1800" s="214">
        <f ca="1">+$W1800</f>
        <v>30.000006832286932</v>
      </c>
      <c r="AA1800" s="214">
        <f ca="1">+$Y1800</f>
        <v>7.401410761154855</v>
      </c>
      <c r="AB1800" s="214">
        <f ca="1">+$X1800</f>
        <v>34.439632545931751</v>
      </c>
      <c r="AC1800" s="214">
        <f ca="1">+$W1800-XOffset</f>
        <v>30.000006832286932</v>
      </c>
    </row>
    <row r="1801" spans="19:29" ht="8.4" customHeight="1">
      <c r="S1801" s="307"/>
      <c r="T1801" s="226">
        <f t="shared" si="97"/>
        <v>1798</v>
      </c>
      <c r="U1801" s="224">
        <f t="shared" si="98"/>
        <v>1</v>
      </c>
      <c r="V1801" s="225">
        <f t="shared" si="99"/>
        <v>1</v>
      </c>
      <c r="W1801" s="239">
        <f ca="1">$U1801*EWSpacingFt+XOffset+(PanArrayWidthHighEndFt-PanArrayWidthLowEndFt)/2</f>
        <v>30.000006832286932</v>
      </c>
      <c r="X1801" s="243">
        <f ca="1">$V1801*NSSpacingFt+YOffset+0</f>
        <v>17.999999999999989</v>
      </c>
      <c r="Y1801" s="247">
        <f ca="1">+$V1801*NSGradeFt+PedHeight+0</f>
        <v>7.401410761154855</v>
      </c>
      <c r="Z1801" s="214">
        <f ca="1">+$W1801</f>
        <v>30.000006832286932</v>
      </c>
      <c r="AA1801" s="214">
        <f ca="1">+$Y1801</f>
        <v>7.401410761154855</v>
      </c>
      <c r="AB1801" s="214">
        <f ca="1">+$X1801</f>
        <v>17.999999999999989</v>
      </c>
      <c r="AC1801" s="214">
        <f ca="1">+$W1801-XOffset</f>
        <v>30.000006832286932</v>
      </c>
    </row>
    <row r="1802" spans="19:29" ht="8.4" customHeight="1">
      <c r="S1802" s="307"/>
      <c r="T1802" s="226">
        <f t="shared" si="97"/>
        <v>1799</v>
      </c>
      <c r="U1802" s="224">
        <f t="shared" si="98"/>
        <v>1</v>
      </c>
      <c r="V1802" s="225">
        <f t="shared" si="99"/>
        <v>1</v>
      </c>
      <c r="W1802" s="217"/>
      <c r="X1802" s="217"/>
      <c r="Y1802" s="217"/>
      <c r="Z1802" s="214"/>
      <c r="AA1802" s="214"/>
      <c r="AB1802" s="214"/>
      <c r="AC1802" s="214"/>
    </row>
    <row r="1803" spans="19:29" ht="8.4" customHeight="1">
      <c r="S1803" s="307">
        <f>INT((T1803-0)/6)+1</f>
        <v>301</v>
      </c>
      <c r="T1803" s="226">
        <f t="shared" si="97"/>
        <v>1800</v>
      </c>
      <c r="U1803" s="224">
        <f t="shared" si="98"/>
        <v>0</v>
      </c>
      <c r="V1803" s="225">
        <f t="shared" si="99"/>
        <v>2</v>
      </c>
      <c r="W1803" s="233">
        <f ca="1">$U1803*EWSpacingFt+XOffset+(PanArrayWidthHighEndFt-PanArrayWidthLowEndFt)/2</f>
        <v>0</v>
      </c>
      <c r="X1803" s="234">
        <f ca="1">$V1803*NSSpacingFt+YOffset+0</f>
        <v>35.999999999999979</v>
      </c>
      <c r="Y1803" s="235">
        <f ca="1">+$V1803*NSGradeFt+PedHeight+0</f>
        <v>7.401410761154855</v>
      </c>
      <c r="Z1803" s="214">
        <f ca="1">+$W1803</f>
        <v>0</v>
      </c>
      <c r="AA1803" s="214">
        <f ca="1">+$Y1803</f>
        <v>7.401410761154855</v>
      </c>
      <c r="AB1803" s="214">
        <f ca="1">+$X1803</f>
        <v>35.999999999999979</v>
      </c>
      <c r="AC1803" s="214">
        <f ca="1">+$W1803-XOffset</f>
        <v>0</v>
      </c>
    </row>
    <row r="1804" spans="19:29" ht="8.4" customHeight="1">
      <c r="S1804" s="307"/>
      <c r="T1804" s="226">
        <f t="shared" si="97"/>
        <v>1801</v>
      </c>
      <c r="U1804" s="224">
        <f t="shared" si="98"/>
        <v>0</v>
      </c>
      <c r="V1804" s="225">
        <f t="shared" si="99"/>
        <v>2</v>
      </c>
      <c r="W1804" s="236">
        <f ca="1">+$U1804*EWSpacingFt+XOffset+PanArrayWidthHighEndFt-(PanArrayWidthHighEndFt-PanArrayWidthLowEndFt)/2</f>
        <v>10.80282152230971</v>
      </c>
      <c r="X1804" s="240">
        <f ca="1">$V1804*NSSpacingFt+YOffset+0</f>
        <v>35.999999999999979</v>
      </c>
      <c r="Y1804" s="244">
        <f ca="1">+$V1804*NSGradeFt+PedHeight+0</f>
        <v>7.401410761154855</v>
      </c>
      <c r="Z1804" s="214">
        <f ca="1">+$W1804</f>
        <v>10.80282152230971</v>
      </c>
      <c r="AA1804" s="214">
        <f ca="1">+$Y1804</f>
        <v>7.401410761154855</v>
      </c>
      <c r="AB1804" s="214">
        <f ca="1">+$X1804</f>
        <v>35.999999999999979</v>
      </c>
      <c r="AC1804" s="214">
        <f ca="1">+$W1804-XOffset</f>
        <v>10.80282152230971</v>
      </c>
    </row>
    <row r="1805" spans="19:29" ht="8.4" customHeight="1">
      <c r="S1805" s="307"/>
      <c r="T1805" s="226">
        <f t="shared" si="97"/>
        <v>1802</v>
      </c>
      <c r="U1805" s="224">
        <f t="shared" si="98"/>
        <v>0</v>
      </c>
      <c r="V1805" s="225">
        <f t="shared" si="99"/>
        <v>2</v>
      </c>
      <c r="W1805" s="237">
        <f ca="1">$U1805*EWSpacingFt+XOffset+PanArrayWidthHighEndFt</f>
        <v>10.80282152230971</v>
      </c>
      <c r="X1805" s="241">
        <f ca="1">$V1805*NSSpacingFt+YOffset+PanArrayLenFt*COS(RADIANS(Latitude+DecAng))</f>
        <v>52.439632545931744</v>
      </c>
      <c r="Y1805" s="245">
        <f ca="1">+$V1805*NSGradeFt+PedHeight+PanArrayLenFt*SIN(RADIANS(Latitude+DecAng))</f>
        <v>7.401410761154855</v>
      </c>
      <c r="Z1805" s="214">
        <f ca="1">+$W1805</f>
        <v>10.80282152230971</v>
      </c>
      <c r="AA1805" s="214">
        <f ca="1">+$Y1805</f>
        <v>7.401410761154855</v>
      </c>
      <c r="AB1805" s="214">
        <f ca="1">+$X1805</f>
        <v>52.439632545931744</v>
      </c>
      <c r="AC1805" s="214">
        <f ca="1">+$W1805-XOffset</f>
        <v>10.80282152230971</v>
      </c>
    </row>
    <row r="1806" spans="19:29" ht="8.4" customHeight="1">
      <c r="S1806" s="307"/>
      <c r="T1806" s="226">
        <f t="shared" si="97"/>
        <v>1803</v>
      </c>
      <c r="U1806" s="224">
        <f t="shared" si="98"/>
        <v>0</v>
      </c>
      <c r="V1806" s="225">
        <f t="shared" si="99"/>
        <v>2</v>
      </c>
      <c r="W1806" s="238">
        <f ca="1">$U1806*EWSpacingFt+XOffset+0</f>
        <v>0</v>
      </c>
      <c r="X1806" s="242">
        <f ca="1">$V1806*NSSpacingFt+YOffset+PanArrayLenFt*COS(RADIANS(Latitude+DecAng))</f>
        <v>52.439632545931744</v>
      </c>
      <c r="Y1806" s="246">
        <f ca="1">+$V1806*NSGradeFt+PedHeight+PanArrayLenFt*SIN(RADIANS(Latitude+DecAng))</f>
        <v>7.401410761154855</v>
      </c>
      <c r="Z1806" s="214">
        <f ca="1">+$W1806</f>
        <v>0</v>
      </c>
      <c r="AA1806" s="214">
        <f ca="1">+$Y1806</f>
        <v>7.401410761154855</v>
      </c>
      <c r="AB1806" s="214">
        <f ca="1">+$X1806</f>
        <v>52.439632545931744</v>
      </c>
      <c r="AC1806" s="214">
        <f ca="1">+$W1806-XOffset</f>
        <v>0</v>
      </c>
    </row>
    <row r="1807" spans="19:29" ht="8.4" customHeight="1">
      <c r="S1807" s="307"/>
      <c r="T1807" s="226">
        <f t="shared" si="97"/>
        <v>1804</v>
      </c>
      <c r="U1807" s="224">
        <f t="shared" si="98"/>
        <v>0</v>
      </c>
      <c r="V1807" s="225">
        <f t="shared" si="99"/>
        <v>2</v>
      </c>
      <c r="W1807" s="239">
        <f ca="1">$U1807*EWSpacingFt+XOffset+(PanArrayWidthHighEndFt-PanArrayWidthLowEndFt)/2</f>
        <v>0</v>
      </c>
      <c r="X1807" s="243">
        <f ca="1">$V1807*NSSpacingFt+YOffset+0</f>
        <v>35.999999999999979</v>
      </c>
      <c r="Y1807" s="247">
        <f ca="1">+$V1807*NSGradeFt+PedHeight+0</f>
        <v>7.401410761154855</v>
      </c>
      <c r="Z1807" s="214">
        <f ca="1">+$W1807</f>
        <v>0</v>
      </c>
      <c r="AA1807" s="214">
        <f ca="1">+$Y1807</f>
        <v>7.401410761154855</v>
      </c>
      <c r="AB1807" s="214">
        <f ca="1">+$X1807</f>
        <v>35.999999999999979</v>
      </c>
      <c r="AC1807" s="214">
        <f ca="1">+$W1807-XOffset</f>
        <v>0</v>
      </c>
    </row>
    <row r="1808" spans="19:29" ht="8.4" customHeight="1">
      <c r="S1808" s="307"/>
      <c r="T1808" s="226">
        <f t="shared" si="97"/>
        <v>1805</v>
      </c>
      <c r="U1808" s="224">
        <f t="shared" si="98"/>
        <v>0</v>
      </c>
      <c r="V1808" s="225">
        <f t="shared" si="99"/>
        <v>2</v>
      </c>
      <c r="W1808" s="217"/>
      <c r="X1808" s="217"/>
      <c r="Y1808" s="217"/>
      <c r="Z1808" s="214"/>
      <c r="AA1808" s="214"/>
      <c r="AB1808" s="214"/>
      <c r="AC1808" s="214"/>
    </row>
    <row r="1809" spans="19:29" ht="8.4" customHeight="1">
      <c r="S1809" s="307">
        <f>INT((T1809-0)/6)+1</f>
        <v>302</v>
      </c>
      <c r="T1809" s="226">
        <f t="shared" si="97"/>
        <v>1806</v>
      </c>
      <c r="U1809" s="224">
        <f t="shared" si="98"/>
        <v>1</v>
      </c>
      <c r="V1809" s="225">
        <f t="shared" si="99"/>
        <v>2</v>
      </c>
      <c r="W1809" s="233">
        <f ca="1">$U1809*EWSpacingFt+XOffset+(PanArrayWidthHighEndFt-PanArrayWidthLowEndFt)/2</f>
        <v>30.000006832286932</v>
      </c>
      <c r="X1809" s="234">
        <f ca="1">$V1809*NSSpacingFt+YOffset+0</f>
        <v>35.999999999999979</v>
      </c>
      <c r="Y1809" s="235">
        <f ca="1">+$V1809*NSGradeFt+PedHeight+0</f>
        <v>7.401410761154855</v>
      </c>
      <c r="Z1809" s="214">
        <f ca="1">+$W1809</f>
        <v>30.000006832286932</v>
      </c>
      <c r="AA1809" s="214">
        <f ca="1">+$Y1809</f>
        <v>7.401410761154855</v>
      </c>
      <c r="AB1809" s="214">
        <f ca="1">+$X1809</f>
        <v>35.999999999999979</v>
      </c>
      <c r="AC1809" s="214">
        <f ca="1">+$W1809-XOffset</f>
        <v>30.000006832286932</v>
      </c>
    </row>
    <row r="1810" spans="19:29" ht="8.4" customHeight="1">
      <c r="S1810" s="307"/>
      <c r="T1810" s="226">
        <f t="shared" si="97"/>
        <v>1807</v>
      </c>
      <c r="U1810" s="224">
        <f t="shared" si="98"/>
        <v>1</v>
      </c>
      <c r="V1810" s="225">
        <f t="shared" si="99"/>
        <v>2</v>
      </c>
      <c r="W1810" s="236">
        <f ca="1">+$U1810*EWSpacingFt+XOffset+PanArrayWidthHighEndFt-(PanArrayWidthHighEndFt-PanArrayWidthLowEndFt)/2</f>
        <v>40.802828354596642</v>
      </c>
      <c r="X1810" s="240">
        <f ca="1">$V1810*NSSpacingFt+YOffset+0</f>
        <v>35.999999999999979</v>
      </c>
      <c r="Y1810" s="244">
        <f ca="1">+$V1810*NSGradeFt+PedHeight+0</f>
        <v>7.401410761154855</v>
      </c>
      <c r="Z1810" s="214">
        <f ca="1">+$W1810</f>
        <v>40.802828354596642</v>
      </c>
      <c r="AA1810" s="214">
        <f ca="1">+$Y1810</f>
        <v>7.401410761154855</v>
      </c>
      <c r="AB1810" s="214">
        <f ca="1">+$X1810</f>
        <v>35.999999999999979</v>
      </c>
      <c r="AC1810" s="214">
        <f ca="1">+$W1810-XOffset</f>
        <v>40.802828354596642</v>
      </c>
    </row>
    <row r="1811" spans="19:29" ht="8.4" customHeight="1">
      <c r="S1811" s="307"/>
      <c r="T1811" s="226">
        <f t="shared" si="97"/>
        <v>1808</v>
      </c>
      <c r="U1811" s="224">
        <f t="shared" si="98"/>
        <v>1</v>
      </c>
      <c r="V1811" s="225">
        <f t="shared" si="99"/>
        <v>2</v>
      </c>
      <c r="W1811" s="237">
        <f ca="1">$U1811*EWSpacingFt+XOffset+PanArrayWidthHighEndFt</f>
        <v>40.802828354596642</v>
      </c>
      <c r="X1811" s="241">
        <f ca="1">$V1811*NSSpacingFt+YOffset+PanArrayLenFt*COS(RADIANS(Latitude+DecAng))</f>
        <v>52.439632545931744</v>
      </c>
      <c r="Y1811" s="245">
        <f ca="1">+$V1811*NSGradeFt+PedHeight+PanArrayLenFt*SIN(RADIANS(Latitude+DecAng))</f>
        <v>7.401410761154855</v>
      </c>
      <c r="Z1811" s="214">
        <f ca="1">+$W1811</f>
        <v>40.802828354596642</v>
      </c>
      <c r="AA1811" s="214">
        <f ca="1">+$Y1811</f>
        <v>7.401410761154855</v>
      </c>
      <c r="AB1811" s="214">
        <f ca="1">+$X1811</f>
        <v>52.439632545931744</v>
      </c>
      <c r="AC1811" s="214">
        <f ca="1">+$W1811-XOffset</f>
        <v>40.802828354596642</v>
      </c>
    </row>
    <row r="1812" spans="19:29" ht="8.4" customHeight="1">
      <c r="S1812" s="307"/>
      <c r="T1812" s="226">
        <f t="shared" si="97"/>
        <v>1809</v>
      </c>
      <c r="U1812" s="224">
        <f t="shared" si="98"/>
        <v>1</v>
      </c>
      <c r="V1812" s="225">
        <f t="shared" si="99"/>
        <v>2</v>
      </c>
      <c r="W1812" s="238">
        <f ca="1">$U1812*EWSpacingFt+XOffset+0</f>
        <v>30.000006832286932</v>
      </c>
      <c r="X1812" s="242">
        <f ca="1">$V1812*NSSpacingFt+YOffset+PanArrayLenFt*COS(RADIANS(Latitude+DecAng))</f>
        <v>52.439632545931744</v>
      </c>
      <c r="Y1812" s="246">
        <f ca="1">+$V1812*NSGradeFt+PedHeight+PanArrayLenFt*SIN(RADIANS(Latitude+DecAng))</f>
        <v>7.401410761154855</v>
      </c>
      <c r="Z1812" s="214">
        <f ca="1">+$W1812</f>
        <v>30.000006832286932</v>
      </c>
      <c r="AA1812" s="214">
        <f ca="1">+$Y1812</f>
        <v>7.401410761154855</v>
      </c>
      <c r="AB1812" s="214">
        <f ca="1">+$X1812</f>
        <v>52.439632545931744</v>
      </c>
      <c r="AC1812" s="214">
        <f ca="1">+$W1812-XOffset</f>
        <v>30.000006832286932</v>
      </c>
    </row>
    <row r="1813" spans="19:29" ht="8.4" customHeight="1">
      <c r="S1813" s="307"/>
      <c r="T1813" s="226">
        <f t="shared" si="97"/>
        <v>1810</v>
      </c>
      <c r="U1813" s="224">
        <f t="shared" si="98"/>
        <v>1</v>
      </c>
      <c r="V1813" s="225">
        <f t="shared" si="99"/>
        <v>2</v>
      </c>
      <c r="W1813" s="239">
        <f ca="1">$U1813*EWSpacingFt+XOffset+(PanArrayWidthHighEndFt-PanArrayWidthLowEndFt)/2</f>
        <v>30.000006832286932</v>
      </c>
      <c r="X1813" s="243">
        <f ca="1">$V1813*NSSpacingFt+YOffset+0</f>
        <v>35.999999999999979</v>
      </c>
      <c r="Y1813" s="247">
        <f ca="1">+$V1813*NSGradeFt+PedHeight+0</f>
        <v>7.401410761154855</v>
      </c>
      <c r="Z1813" s="214">
        <f ca="1">+$W1813</f>
        <v>30.000006832286932</v>
      </c>
      <c r="AA1813" s="214">
        <f ca="1">+$Y1813</f>
        <v>7.401410761154855</v>
      </c>
      <c r="AB1813" s="214">
        <f ca="1">+$X1813</f>
        <v>35.999999999999979</v>
      </c>
      <c r="AC1813" s="214">
        <f ca="1">+$W1813-XOffset</f>
        <v>30.000006832286932</v>
      </c>
    </row>
    <row r="1814" spans="19:29" ht="8.4" customHeight="1">
      <c r="S1814" s="307"/>
      <c r="T1814" s="226">
        <f t="shared" si="97"/>
        <v>1811</v>
      </c>
      <c r="U1814" s="224">
        <f t="shared" si="98"/>
        <v>1</v>
      </c>
      <c r="V1814" s="225">
        <f t="shared" si="99"/>
        <v>2</v>
      </c>
      <c r="W1814" s="217"/>
      <c r="X1814" s="217"/>
      <c r="Y1814" s="217"/>
      <c r="Z1814" s="214"/>
      <c r="AA1814" s="214"/>
      <c r="AB1814" s="214"/>
      <c r="AC1814" s="214"/>
    </row>
    <row r="1815" spans="19:29" ht="8.4" customHeight="1">
      <c r="S1815" s="307">
        <f>INT((T1815-0)/6)+1</f>
        <v>303</v>
      </c>
      <c r="T1815" s="226">
        <f t="shared" si="97"/>
        <v>1812</v>
      </c>
      <c r="U1815" s="224">
        <f t="shared" si="98"/>
        <v>0</v>
      </c>
      <c r="V1815" s="225">
        <f t="shared" si="99"/>
        <v>3</v>
      </c>
      <c r="W1815" s="233">
        <f ca="1">$U1815*EWSpacingFt+XOffset+(PanArrayWidthHighEndFt-PanArrayWidthLowEndFt)/2</f>
        <v>0</v>
      </c>
      <c r="X1815" s="234">
        <f ca="1">$V1815*NSSpacingFt+YOffset+0</f>
        <v>53.999999999999972</v>
      </c>
      <c r="Y1815" s="235">
        <f ca="1">+$V1815*NSGradeFt+PedHeight+0</f>
        <v>7.401410761154855</v>
      </c>
      <c r="Z1815" s="214">
        <f ca="1">+$W1815</f>
        <v>0</v>
      </c>
      <c r="AA1815" s="214">
        <f ca="1">+$Y1815</f>
        <v>7.401410761154855</v>
      </c>
      <c r="AB1815" s="214">
        <f ca="1">+$X1815</f>
        <v>53.999999999999972</v>
      </c>
      <c r="AC1815" s="214">
        <f ca="1">+$W1815-XOffset</f>
        <v>0</v>
      </c>
    </row>
    <row r="1816" spans="19:29" ht="8.4" customHeight="1">
      <c r="S1816" s="307"/>
      <c r="T1816" s="226">
        <f t="shared" si="97"/>
        <v>1813</v>
      </c>
      <c r="U1816" s="224">
        <f t="shared" si="98"/>
        <v>0</v>
      </c>
      <c r="V1816" s="225">
        <f t="shared" si="99"/>
        <v>3</v>
      </c>
      <c r="W1816" s="236">
        <f ca="1">+$U1816*EWSpacingFt+XOffset+PanArrayWidthHighEndFt-(PanArrayWidthHighEndFt-PanArrayWidthLowEndFt)/2</f>
        <v>10.80282152230971</v>
      </c>
      <c r="X1816" s="240">
        <f ca="1">$V1816*NSSpacingFt+YOffset+0</f>
        <v>53.999999999999972</v>
      </c>
      <c r="Y1816" s="244">
        <f ca="1">+$V1816*NSGradeFt+PedHeight+0</f>
        <v>7.401410761154855</v>
      </c>
      <c r="Z1816" s="214">
        <f ca="1">+$W1816</f>
        <v>10.80282152230971</v>
      </c>
      <c r="AA1816" s="214">
        <f ca="1">+$Y1816</f>
        <v>7.401410761154855</v>
      </c>
      <c r="AB1816" s="214">
        <f ca="1">+$X1816</f>
        <v>53.999999999999972</v>
      </c>
      <c r="AC1816" s="214">
        <f ca="1">+$W1816-XOffset</f>
        <v>10.80282152230971</v>
      </c>
    </row>
    <row r="1817" spans="19:29" ht="8.4" customHeight="1">
      <c r="S1817" s="307"/>
      <c r="T1817" s="226">
        <f t="shared" si="97"/>
        <v>1814</v>
      </c>
      <c r="U1817" s="224">
        <f t="shared" si="98"/>
        <v>0</v>
      </c>
      <c r="V1817" s="225">
        <f t="shared" si="99"/>
        <v>3</v>
      </c>
      <c r="W1817" s="237">
        <f ca="1">$U1817*EWSpacingFt+XOffset+PanArrayWidthHighEndFt</f>
        <v>10.80282152230971</v>
      </c>
      <c r="X1817" s="241">
        <f ca="1">$V1817*NSSpacingFt+YOffset+PanArrayLenFt*COS(RADIANS(Latitude+DecAng))</f>
        <v>70.43963254593173</v>
      </c>
      <c r="Y1817" s="245">
        <f ca="1">+$V1817*NSGradeFt+PedHeight+PanArrayLenFt*SIN(RADIANS(Latitude+DecAng))</f>
        <v>7.401410761154855</v>
      </c>
      <c r="Z1817" s="214">
        <f ca="1">+$W1817</f>
        <v>10.80282152230971</v>
      </c>
      <c r="AA1817" s="214">
        <f ca="1">+$Y1817</f>
        <v>7.401410761154855</v>
      </c>
      <c r="AB1817" s="214">
        <f ca="1">+$X1817</f>
        <v>70.43963254593173</v>
      </c>
      <c r="AC1817" s="214">
        <f ca="1">+$W1817-XOffset</f>
        <v>10.80282152230971</v>
      </c>
    </row>
    <row r="1818" spans="19:29" ht="8.4" customHeight="1">
      <c r="S1818" s="307"/>
      <c r="T1818" s="226">
        <f t="shared" si="97"/>
        <v>1815</v>
      </c>
      <c r="U1818" s="224">
        <f t="shared" si="98"/>
        <v>0</v>
      </c>
      <c r="V1818" s="225">
        <f t="shared" si="99"/>
        <v>3</v>
      </c>
      <c r="W1818" s="238">
        <f ca="1">$U1818*EWSpacingFt+XOffset+0</f>
        <v>0</v>
      </c>
      <c r="X1818" s="242">
        <f ca="1">$V1818*NSSpacingFt+YOffset+PanArrayLenFt*COS(RADIANS(Latitude+DecAng))</f>
        <v>70.43963254593173</v>
      </c>
      <c r="Y1818" s="246">
        <f ca="1">+$V1818*NSGradeFt+PedHeight+PanArrayLenFt*SIN(RADIANS(Latitude+DecAng))</f>
        <v>7.401410761154855</v>
      </c>
      <c r="Z1818" s="214">
        <f ca="1">+$W1818</f>
        <v>0</v>
      </c>
      <c r="AA1818" s="214">
        <f ca="1">+$Y1818</f>
        <v>7.401410761154855</v>
      </c>
      <c r="AB1818" s="214">
        <f ca="1">+$X1818</f>
        <v>70.43963254593173</v>
      </c>
      <c r="AC1818" s="214">
        <f ca="1">+$W1818-XOffset</f>
        <v>0</v>
      </c>
    </row>
    <row r="1819" spans="19:29" ht="8.4" customHeight="1">
      <c r="S1819" s="307"/>
      <c r="T1819" s="226">
        <f t="shared" si="97"/>
        <v>1816</v>
      </c>
      <c r="U1819" s="224">
        <f t="shared" si="98"/>
        <v>0</v>
      </c>
      <c r="V1819" s="225">
        <f t="shared" si="99"/>
        <v>3</v>
      </c>
      <c r="W1819" s="239">
        <f ca="1">$U1819*EWSpacingFt+XOffset+(PanArrayWidthHighEndFt-PanArrayWidthLowEndFt)/2</f>
        <v>0</v>
      </c>
      <c r="X1819" s="243">
        <f ca="1">$V1819*NSSpacingFt+YOffset+0</f>
        <v>53.999999999999972</v>
      </c>
      <c r="Y1819" s="247">
        <f ca="1">+$V1819*NSGradeFt+PedHeight+0</f>
        <v>7.401410761154855</v>
      </c>
      <c r="Z1819" s="214">
        <f ca="1">+$W1819</f>
        <v>0</v>
      </c>
      <c r="AA1819" s="214">
        <f ca="1">+$Y1819</f>
        <v>7.401410761154855</v>
      </c>
      <c r="AB1819" s="214">
        <f ca="1">+$X1819</f>
        <v>53.999999999999972</v>
      </c>
      <c r="AC1819" s="214">
        <f ca="1">+$W1819-XOffset</f>
        <v>0</v>
      </c>
    </row>
    <row r="1820" spans="19:29" ht="8.4" customHeight="1">
      <c r="S1820" s="307"/>
      <c r="T1820" s="226">
        <f t="shared" si="97"/>
        <v>1817</v>
      </c>
      <c r="U1820" s="224">
        <f t="shared" si="98"/>
        <v>0</v>
      </c>
      <c r="V1820" s="225">
        <f t="shared" si="99"/>
        <v>3</v>
      </c>
      <c r="W1820" s="217"/>
      <c r="X1820" s="217"/>
      <c r="Y1820" s="217"/>
      <c r="Z1820" s="214"/>
      <c r="AA1820" s="214"/>
      <c r="AB1820" s="214"/>
      <c r="AC1820" s="214"/>
    </row>
    <row r="1821" spans="19:29" ht="8.4" customHeight="1">
      <c r="S1821" s="307">
        <f>INT((T1821-0)/6)+1</f>
        <v>304</v>
      </c>
      <c r="T1821" s="226">
        <f t="shared" si="97"/>
        <v>1818</v>
      </c>
      <c r="U1821" s="224">
        <f t="shared" si="98"/>
        <v>1</v>
      </c>
      <c r="V1821" s="225">
        <f t="shared" si="99"/>
        <v>3</v>
      </c>
      <c r="W1821" s="233">
        <f ca="1">$U1821*EWSpacingFt+XOffset+(PanArrayWidthHighEndFt-PanArrayWidthLowEndFt)/2</f>
        <v>30.000006832286932</v>
      </c>
      <c r="X1821" s="234">
        <f ca="1">$V1821*NSSpacingFt+YOffset+0</f>
        <v>53.999999999999972</v>
      </c>
      <c r="Y1821" s="235">
        <f ca="1">+$V1821*NSGradeFt+PedHeight+0</f>
        <v>7.401410761154855</v>
      </c>
      <c r="Z1821" s="214">
        <f ca="1">+$W1821</f>
        <v>30.000006832286932</v>
      </c>
      <c r="AA1821" s="214">
        <f ca="1">+$Y1821</f>
        <v>7.401410761154855</v>
      </c>
      <c r="AB1821" s="214">
        <f ca="1">+$X1821</f>
        <v>53.999999999999972</v>
      </c>
      <c r="AC1821" s="214">
        <f ca="1">+$W1821-XOffset</f>
        <v>30.000006832286932</v>
      </c>
    </row>
    <row r="1822" spans="19:29" ht="8.4" customHeight="1">
      <c r="S1822" s="307"/>
      <c r="T1822" s="226">
        <f t="shared" si="97"/>
        <v>1819</v>
      </c>
      <c r="U1822" s="224">
        <f t="shared" si="98"/>
        <v>1</v>
      </c>
      <c r="V1822" s="225">
        <f t="shared" si="99"/>
        <v>3</v>
      </c>
      <c r="W1822" s="236">
        <f ca="1">+$U1822*EWSpacingFt+XOffset+PanArrayWidthHighEndFt-(PanArrayWidthHighEndFt-PanArrayWidthLowEndFt)/2</f>
        <v>40.802828354596642</v>
      </c>
      <c r="X1822" s="240">
        <f ca="1">$V1822*NSSpacingFt+YOffset+0</f>
        <v>53.999999999999972</v>
      </c>
      <c r="Y1822" s="244">
        <f ca="1">+$V1822*NSGradeFt+PedHeight+0</f>
        <v>7.401410761154855</v>
      </c>
      <c r="Z1822" s="214">
        <f ca="1">+$W1822</f>
        <v>40.802828354596642</v>
      </c>
      <c r="AA1822" s="214">
        <f ca="1">+$Y1822</f>
        <v>7.401410761154855</v>
      </c>
      <c r="AB1822" s="214">
        <f ca="1">+$X1822</f>
        <v>53.999999999999972</v>
      </c>
      <c r="AC1822" s="214">
        <f ca="1">+$W1822-XOffset</f>
        <v>40.802828354596642</v>
      </c>
    </row>
    <row r="1823" spans="19:29" ht="8.4" customHeight="1">
      <c r="S1823" s="307"/>
      <c r="T1823" s="226">
        <f t="shared" si="97"/>
        <v>1820</v>
      </c>
      <c r="U1823" s="224">
        <f t="shared" si="98"/>
        <v>1</v>
      </c>
      <c r="V1823" s="225">
        <f t="shared" si="99"/>
        <v>3</v>
      </c>
      <c r="W1823" s="237">
        <f ca="1">$U1823*EWSpacingFt+XOffset+PanArrayWidthHighEndFt</f>
        <v>40.802828354596642</v>
      </c>
      <c r="X1823" s="241">
        <f ca="1">$V1823*NSSpacingFt+YOffset+PanArrayLenFt*COS(RADIANS(Latitude+DecAng))</f>
        <v>70.43963254593173</v>
      </c>
      <c r="Y1823" s="245">
        <f ca="1">+$V1823*NSGradeFt+PedHeight+PanArrayLenFt*SIN(RADIANS(Latitude+DecAng))</f>
        <v>7.401410761154855</v>
      </c>
      <c r="Z1823" s="214">
        <f ca="1">+$W1823</f>
        <v>40.802828354596642</v>
      </c>
      <c r="AA1823" s="214">
        <f ca="1">+$Y1823</f>
        <v>7.401410761154855</v>
      </c>
      <c r="AB1823" s="214">
        <f ca="1">+$X1823</f>
        <v>70.43963254593173</v>
      </c>
      <c r="AC1823" s="214">
        <f ca="1">+$W1823-XOffset</f>
        <v>40.802828354596642</v>
      </c>
    </row>
    <row r="1824" spans="19:29" ht="8.4" customHeight="1">
      <c r="S1824" s="307"/>
      <c r="T1824" s="226">
        <f t="shared" si="97"/>
        <v>1821</v>
      </c>
      <c r="U1824" s="224">
        <f t="shared" si="98"/>
        <v>1</v>
      </c>
      <c r="V1824" s="225">
        <f t="shared" si="99"/>
        <v>3</v>
      </c>
      <c r="W1824" s="238">
        <f ca="1">$U1824*EWSpacingFt+XOffset+0</f>
        <v>30.000006832286932</v>
      </c>
      <c r="X1824" s="242">
        <f ca="1">$V1824*NSSpacingFt+YOffset+PanArrayLenFt*COS(RADIANS(Latitude+DecAng))</f>
        <v>70.43963254593173</v>
      </c>
      <c r="Y1824" s="246">
        <f ca="1">+$V1824*NSGradeFt+PedHeight+PanArrayLenFt*SIN(RADIANS(Latitude+DecAng))</f>
        <v>7.401410761154855</v>
      </c>
      <c r="Z1824" s="214">
        <f ca="1">+$W1824</f>
        <v>30.000006832286932</v>
      </c>
      <c r="AA1824" s="214">
        <f ca="1">+$Y1824</f>
        <v>7.401410761154855</v>
      </c>
      <c r="AB1824" s="214">
        <f ca="1">+$X1824</f>
        <v>70.43963254593173</v>
      </c>
      <c r="AC1824" s="214">
        <f ca="1">+$W1824-XOffset</f>
        <v>30.000006832286932</v>
      </c>
    </row>
    <row r="1825" spans="19:29" ht="8.4" customHeight="1">
      <c r="S1825" s="307"/>
      <c r="T1825" s="226">
        <f t="shared" si="97"/>
        <v>1822</v>
      </c>
      <c r="U1825" s="224">
        <f t="shared" si="98"/>
        <v>1</v>
      </c>
      <c r="V1825" s="225">
        <f t="shared" si="99"/>
        <v>3</v>
      </c>
      <c r="W1825" s="239">
        <f ca="1">$U1825*EWSpacingFt+XOffset+(PanArrayWidthHighEndFt-PanArrayWidthLowEndFt)/2</f>
        <v>30.000006832286932</v>
      </c>
      <c r="X1825" s="243">
        <f ca="1">$V1825*NSSpacingFt+YOffset+0</f>
        <v>53.999999999999972</v>
      </c>
      <c r="Y1825" s="247">
        <f ca="1">+$V1825*NSGradeFt+PedHeight+0</f>
        <v>7.401410761154855</v>
      </c>
      <c r="Z1825" s="214">
        <f ca="1">+$W1825</f>
        <v>30.000006832286932</v>
      </c>
      <c r="AA1825" s="214">
        <f ca="1">+$Y1825</f>
        <v>7.401410761154855</v>
      </c>
      <c r="AB1825" s="214">
        <f ca="1">+$X1825</f>
        <v>53.999999999999972</v>
      </c>
      <c r="AC1825" s="214">
        <f ca="1">+$W1825-XOffset</f>
        <v>30.000006832286932</v>
      </c>
    </row>
    <row r="1826" spans="19:29" ht="8.4" customHeight="1">
      <c r="S1826" s="307"/>
      <c r="T1826" s="226">
        <f t="shared" si="97"/>
        <v>1823</v>
      </c>
      <c r="U1826" s="224">
        <f t="shared" si="98"/>
        <v>1</v>
      </c>
      <c r="V1826" s="225">
        <f t="shared" si="99"/>
        <v>3</v>
      </c>
      <c r="W1826" s="217"/>
      <c r="X1826" s="217"/>
      <c r="Y1826" s="217"/>
      <c r="Z1826" s="214"/>
      <c r="AA1826" s="214"/>
      <c r="AB1826" s="214"/>
      <c r="AC1826" s="214"/>
    </row>
    <row r="1827" spans="19:29" ht="8.4" customHeight="1">
      <c r="S1827" s="307">
        <f>INT((T1827-0)/6)+1</f>
        <v>305</v>
      </c>
      <c r="T1827" s="226">
        <f t="shared" si="97"/>
        <v>1824</v>
      </c>
      <c r="U1827" s="224">
        <f t="shared" si="98"/>
        <v>0</v>
      </c>
      <c r="V1827" s="225">
        <f t="shared" si="99"/>
        <v>0</v>
      </c>
      <c r="W1827" s="233">
        <f ca="1">$U1827*EWSpacingFt+XOffset+(PanArrayWidthHighEndFt-PanArrayWidthLowEndFt)/2</f>
        <v>0</v>
      </c>
      <c r="X1827" s="234">
        <f ca="1">$V1827*NSSpacingFt+YOffset+0</f>
        <v>0</v>
      </c>
      <c r="Y1827" s="235">
        <f ca="1">+$V1827*NSGradeFt+PedHeight+0</f>
        <v>7.401410761154855</v>
      </c>
      <c r="Z1827" s="214">
        <f ca="1">+$W1827</f>
        <v>0</v>
      </c>
      <c r="AA1827" s="214">
        <f ca="1">+$Y1827</f>
        <v>7.401410761154855</v>
      </c>
      <c r="AB1827" s="214">
        <f ca="1">+$X1827</f>
        <v>0</v>
      </c>
      <c r="AC1827" s="214">
        <f ca="1">+$W1827-XOffset</f>
        <v>0</v>
      </c>
    </row>
    <row r="1828" spans="19:29" ht="8.4" customHeight="1">
      <c r="S1828" s="307"/>
      <c r="T1828" s="226">
        <f t="shared" si="97"/>
        <v>1825</v>
      </c>
      <c r="U1828" s="224">
        <f t="shared" si="98"/>
        <v>0</v>
      </c>
      <c r="V1828" s="225">
        <f t="shared" si="99"/>
        <v>0</v>
      </c>
      <c r="W1828" s="236">
        <f ca="1">+$U1828*EWSpacingFt+XOffset+PanArrayWidthHighEndFt-(PanArrayWidthHighEndFt-PanArrayWidthLowEndFt)/2</f>
        <v>10.80282152230971</v>
      </c>
      <c r="X1828" s="240">
        <f ca="1">$V1828*NSSpacingFt+YOffset+0</f>
        <v>0</v>
      </c>
      <c r="Y1828" s="244">
        <f ca="1">+$V1828*NSGradeFt+PedHeight+0</f>
        <v>7.401410761154855</v>
      </c>
      <c r="Z1828" s="214">
        <f ca="1">+$W1828</f>
        <v>10.80282152230971</v>
      </c>
      <c r="AA1828" s="214">
        <f ca="1">+$Y1828</f>
        <v>7.401410761154855</v>
      </c>
      <c r="AB1828" s="214">
        <f ca="1">+$X1828</f>
        <v>0</v>
      </c>
      <c r="AC1828" s="214">
        <f ca="1">+$W1828-XOffset</f>
        <v>10.80282152230971</v>
      </c>
    </row>
    <row r="1829" spans="19:29" ht="8.4" customHeight="1">
      <c r="S1829" s="307"/>
      <c r="T1829" s="226">
        <f t="shared" ref="T1829:T1892" si="100">+T1828+1</f>
        <v>1826</v>
      </c>
      <c r="U1829" s="224">
        <f t="shared" si="98"/>
        <v>0</v>
      </c>
      <c r="V1829" s="225">
        <f t="shared" si="99"/>
        <v>0</v>
      </c>
      <c r="W1829" s="237">
        <f ca="1">$U1829*EWSpacingFt+XOffset+PanArrayWidthHighEndFt</f>
        <v>10.80282152230971</v>
      </c>
      <c r="X1829" s="241">
        <f ca="1">$V1829*NSSpacingFt+YOffset+PanArrayLenFt*COS(RADIANS(Latitude+DecAng))</f>
        <v>16.439632545931762</v>
      </c>
      <c r="Y1829" s="245">
        <f ca="1">+$V1829*NSGradeFt+PedHeight+PanArrayLenFt*SIN(RADIANS(Latitude+DecAng))</f>
        <v>7.401410761154855</v>
      </c>
      <c r="Z1829" s="214">
        <f ca="1">+$W1829</f>
        <v>10.80282152230971</v>
      </c>
      <c r="AA1829" s="214">
        <f ca="1">+$Y1829</f>
        <v>7.401410761154855</v>
      </c>
      <c r="AB1829" s="214">
        <f ca="1">+$X1829</f>
        <v>16.439632545931762</v>
      </c>
      <c r="AC1829" s="214">
        <f ca="1">+$W1829-XOffset</f>
        <v>10.80282152230971</v>
      </c>
    </row>
    <row r="1830" spans="19:29" ht="8.4" customHeight="1">
      <c r="S1830" s="307"/>
      <c r="T1830" s="226">
        <f t="shared" si="100"/>
        <v>1827</v>
      </c>
      <c r="U1830" s="224">
        <f t="shared" si="98"/>
        <v>0</v>
      </c>
      <c r="V1830" s="225">
        <f t="shared" si="99"/>
        <v>0</v>
      </c>
      <c r="W1830" s="238">
        <f ca="1">$U1830*EWSpacingFt+XOffset+0</f>
        <v>0</v>
      </c>
      <c r="X1830" s="242">
        <f ca="1">$V1830*NSSpacingFt+YOffset+PanArrayLenFt*COS(RADIANS(Latitude+DecAng))</f>
        <v>16.439632545931762</v>
      </c>
      <c r="Y1830" s="246">
        <f ca="1">+$V1830*NSGradeFt+PedHeight+PanArrayLenFt*SIN(RADIANS(Latitude+DecAng))</f>
        <v>7.401410761154855</v>
      </c>
      <c r="Z1830" s="214">
        <f ca="1">+$W1830</f>
        <v>0</v>
      </c>
      <c r="AA1830" s="214">
        <f ca="1">+$Y1830</f>
        <v>7.401410761154855</v>
      </c>
      <c r="AB1830" s="214">
        <f ca="1">+$X1830</f>
        <v>16.439632545931762</v>
      </c>
      <c r="AC1830" s="214">
        <f ca="1">+$W1830-XOffset</f>
        <v>0</v>
      </c>
    </row>
    <row r="1831" spans="19:29" ht="8.4" customHeight="1">
      <c r="S1831" s="307"/>
      <c r="T1831" s="226">
        <f t="shared" si="100"/>
        <v>1828</v>
      </c>
      <c r="U1831" s="224">
        <f t="shared" si="98"/>
        <v>0</v>
      </c>
      <c r="V1831" s="225">
        <f t="shared" si="99"/>
        <v>0</v>
      </c>
      <c r="W1831" s="239">
        <f ca="1">$U1831*EWSpacingFt+XOffset+(PanArrayWidthHighEndFt-PanArrayWidthLowEndFt)/2</f>
        <v>0</v>
      </c>
      <c r="X1831" s="243">
        <f ca="1">$V1831*NSSpacingFt+YOffset+0</f>
        <v>0</v>
      </c>
      <c r="Y1831" s="247">
        <f ca="1">+$V1831*NSGradeFt+PedHeight+0</f>
        <v>7.401410761154855</v>
      </c>
      <c r="Z1831" s="214">
        <f ca="1">+$W1831</f>
        <v>0</v>
      </c>
      <c r="AA1831" s="214">
        <f ca="1">+$Y1831</f>
        <v>7.401410761154855</v>
      </c>
      <c r="AB1831" s="214">
        <f ca="1">+$X1831</f>
        <v>0</v>
      </c>
      <c r="AC1831" s="214">
        <f ca="1">+$W1831-XOffset</f>
        <v>0</v>
      </c>
    </row>
    <row r="1832" spans="19:29" ht="8.4" customHeight="1">
      <c r="S1832" s="307"/>
      <c r="T1832" s="226">
        <f t="shared" si="100"/>
        <v>1829</v>
      </c>
      <c r="U1832" s="224">
        <f t="shared" si="98"/>
        <v>0</v>
      </c>
      <c r="V1832" s="225">
        <f t="shared" si="99"/>
        <v>0</v>
      </c>
      <c r="W1832" s="217"/>
      <c r="X1832" s="217"/>
      <c r="Y1832" s="217"/>
      <c r="Z1832" s="214"/>
      <c r="AA1832" s="214"/>
      <c r="AB1832" s="214"/>
      <c r="AC1832" s="214"/>
    </row>
    <row r="1833" spans="19:29" ht="8.4" customHeight="1">
      <c r="S1833" s="307">
        <f>INT((T1833-0)/6)+1</f>
        <v>306</v>
      </c>
      <c r="T1833" s="226">
        <f t="shared" si="100"/>
        <v>1830</v>
      </c>
      <c r="U1833" s="224">
        <f t="shared" si="98"/>
        <v>1</v>
      </c>
      <c r="V1833" s="225">
        <f t="shared" si="99"/>
        <v>0</v>
      </c>
      <c r="W1833" s="233">
        <f ca="1">$U1833*EWSpacingFt+XOffset+(PanArrayWidthHighEndFt-PanArrayWidthLowEndFt)/2</f>
        <v>30.000006832286932</v>
      </c>
      <c r="X1833" s="234">
        <f ca="1">$V1833*NSSpacingFt+YOffset+0</f>
        <v>0</v>
      </c>
      <c r="Y1833" s="235">
        <f ca="1">+$V1833*NSGradeFt+PedHeight+0</f>
        <v>7.401410761154855</v>
      </c>
      <c r="Z1833" s="214">
        <f ca="1">+$W1833</f>
        <v>30.000006832286932</v>
      </c>
      <c r="AA1833" s="214">
        <f ca="1">+$Y1833</f>
        <v>7.401410761154855</v>
      </c>
      <c r="AB1833" s="214">
        <f ca="1">+$X1833</f>
        <v>0</v>
      </c>
      <c r="AC1833" s="214">
        <f ca="1">+$W1833-XOffset</f>
        <v>30.000006832286932</v>
      </c>
    </row>
    <row r="1834" spans="19:29" ht="8.4" customHeight="1">
      <c r="S1834" s="307"/>
      <c r="T1834" s="226">
        <f t="shared" si="100"/>
        <v>1831</v>
      </c>
      <c r="U1834" s="224">
        <f t="shared" si="98"/>
        <v>1</v>
      </c>
      <c r="V1834" s="225">
        <f t="shared" si="99"/>
        <v>0</v>
      </c>
      <c r="W1834" s="236">
        <f ca="1">+$U1834*EWSpacingFt+XOffset+PanArrayWidthHighEndFt-(PanArrayWidthHighEndFt-PanArrayWidthLowEndFt)/2</f>
        <v>40.802828354596642</v>
      </c>
      <c r="X1834" s="240">
        <f ca="1">$V1834*NSSpacingFt+YOffset+0</f>
        <v>0</v>
      </c>
      <c r="Y1834" s="244">
        <f ca="1">+$V1834*NSGradeFt+PedHeight+0</f>
        <v>7.401410761154855</v>
      </c>
      <c r="Z1834" s="214">
        <f ca="1">+$W1834</f>
        <v>40.802828354596642</v>
      </c>
      <c r="AA1834" s="214">
        <f ca="1">+$Y1834</f>
        <v>7.401410761154855</v>
      </c>
      <c r="AB1834" s="214">
        <f ca="1">+$X1834</f>
        <v>0</v>
      </c>
      <c r="AC1834" s="214">
        <f ca="1">+$W1834-XOffset</f>
        <v>40.802828354596642</v>
      </c>
    </row>
    <row r="1835" spans="19:29" ht="8.4" customHeight="1">
      <c r="S1835" s="307"/>
      <c r="T1835" s="226">
        <f t="shared" si="100"/>
        <v>1832</v>
      </c>
      <c r="U1835" s="224">
        <f t="shared" si="98"/>
        <v>1</v>
      </c>
      <c r="V1835" s="225">
        <f t="shared" si="99"/>
        <v>0</v>
      </c>
      <c r="W1835" s="237">
        <f ca="1">$U1835*EWSpacingFt+XOffset+PanArrayWidthHighEndFt</f>
        <v>40.802828354596642</v>
      </c>
      <c r="X1835" s="241">
        <f ca="1">$V1835*NSSpacingFt+YOffset+PanArrayLenFt*COS(RADIANS(Latitude+DecAng))</f>
        <v>16.439632545931762</v>
      </c>
      <c r="Y1835" s="245">
        <f ca="1">+$V1835*NSGradeFt+PedHeight+PanArrayLenFt*SIN(RADIANS(Latitude+DecAng))</f>
        <v>7.401410761154855</v>
      </c>
      <c r="Z1835" s="214">
        <f ca="1">+$W1835</f>
        <v>40.802828354596642</v>
      </c>
      <c r="AA1835" s="214">
        <f ca="1">+$Y1835</f>
        <v>7.401410761154855</v>
      </c>
      <c r="AB1835" s="214">
        <f ca="1">+$X1835</f>
        <v>16.439632545931762</v>
      </c>
      <c r="AC1835" s="214">
        <f ca="1">+$W1835-XOffset</f>
        <v>40.802828354596642</v>
      </c>
    </row>
    <row r="1836" spans="19:29" ht="8.4" customHeight="1">
      <c r="S1836" s="307"/>
      <c r="T1836" s="226">
        <f t="shared" si="100"/>
        <v>1833</v>
      </c>
      <c r="U1836" s="224">
        <f t="shared" si="98"/>
        <v>1</v>
      </c>
      <c r="V1836" s="225">
        <f t="shared" si="99"/>
        <v>0</v>
      </c>
      <c r="W1836" s="238">
        <f ca="1">$U1836*EWSpacingFt+XOffset+0</f>
        <v>30.000006832286932</v>
      </c>
      <c r="X1836" s="242">
        <f ca="1">$V1836*NSSpacingFt+YOffset+PanArrayLenFt*COS(RADIANS(Latitude+DecAng))</f>
        <v>16.439632545931762</v>
      </c>
      <c r="Y1836" s="246">
        <f ca="1">+$V1836*NSGradeFt+PedHeight+PanArrayLenFt*SIN(RADIANS(Latitude+DecAng))</f>
        <v>7.401410761154855</v>
      </c>
      <c r="Z1836" s="214">
        <f ca="1">+$W1836</f>
        <v>30.000006832286932</v>
      </c>
      <c r="AA1836" s="214">
        <f ca="1">+$Y1836</f>
        <v>7.401410761154855</v>
      </c>
      <c r="AB1836" s="214">
        <f ca="1">+$X1836</f>
        <v>16.439632545931762</v>
      </c>
      <c r="AC1836" s="214">
        <f ca="1">+$W1836-XOffset</f>
        <v>30.000006832286932</v>
      </c>
    </row>
    <row r="1837" spans="19:29" ht="8.4" customHeight="1">
      <c r="S1837" s="307"/>
      <c r="T1837" s="226">
        <f t="shared" si="100"/>
        <v>1834</v>
      </c>
      <c r="U1837" s="224">
        <f t="shared" si="98"/>
        <v>1</v>
      </c>
      <c r="V1837" s="225">
        <f t="shared" si="99"/>
        <v>0</v>
      </c>
      <c r="W1837" s="239">
        <f ca="1">$U1837*EWSpacingFt+XOffset+(PanArrayWidthHighEndFt-PanArrayWidthLowEndFt)/2</f>
        <v>30.000006832286932</v>
      </c>
      <c r="X1837" s="243">
        <f ca="1">$V1837*NSSpacingFt+YOffset+0</f>
        <v>0</v>
      </c>
      <c r="Y1837" s="247">
        <f ca="1">+$V1837*NSGradeFt+PedHeight+0</f>
        <v>7.401410761154855</v>
      </c>
      <c r="Z1837" s="214">
        <f ca="1">+$W1837</f>
        <v>30.000006832286932</v>
      </c>
      <c r="AA1837" s="214">
        <f ca="1">+$Y1837</f>
        <v>7.401410761154855</v>
      </c>
      <c r="AB1837" s="214">
        <f ca="1">+$X1837</f>
        <v>0</v>
      </c>
      <c r="AC1837" s="214">
        <f ca="1">+$W1837-XOffset</f>
        <v>30.000006832286932</v>
      </c>
    </row>
    <row r="1838" spans="19:29" ht="8.4" customHeight="1">
      <c r="S1838" s="307"/>
      <c r="T1838" s="226">
        <f t="shared" si="100"/>
        <v>1835</v>
      </c>
      <c r="U1838" s="224">
        <f t="shared" si="98"/>
        <v>1</v>
      </c>
      <c r="V1838" s="225">
        <f t="shared" si="99"/>
        <v>0</v>
      </c>
      <c r="W1838" s="217"/>
      <c r="X1838" s="217"/>
      <c r="Y1838" s="217"/>
      <c r="Z1838" s="214"/>
      <c r="AA1838" s="214"/>
      <c r="AB1838" s="214"/>
      <c r="AC1838" s="214"/>
    </row>
    <row r="1839" spans="19:29" ht="8.4" customHeight="1">
      <c r="S1839" s="307">
        <f>INT((T1839-0)/6)+1</f>
        <v>307</v>
      </c>
      <c r="T1839" s="226">
        <f t="shared" si="100"/>
        <v>1836</v>
      </c>
      <c r="U1839" s="224">
        <f t="shared" si="98"/>
        <v>0</v>
      </c>
      <c r="V1839" s="225">
        <f t="shared" si="99"/>
        <v>1</v>
      </c>
      <c r="W1839" s="233">
        <f ca="1">$U1839*EWSpacingFt+XOffset+(PanArrayWidthHighEndFt-PanArrayWidthLowEndFt)/2</f>
        <v>0</v>
      </c>
      <c r="X1839" s="234">
        <f ca="1">$V1839*NSSpacingFt+YOffset+0</f>
        <v>17.999999999999989</v>
      </c>
      <c r="Y1839" s="235">
        <f ca="1">+$V1839*NSGradeFt+PedHeight+0</f>
        <v>7.401410761154855</v>
      </c>
      <c r="Z1839" s="214">
        <f ca="1">+$W1839</f>
        <v>0</v>
      </c>
      <c r="AA1839" s="214">
        <f ca="1">+$Y1839</f>
        <v>7.401410761154855</v>
      </c>
      <c r="AB1839" s="214">
        <f ca="1">+$X1839</f>
        <v>17.999999999999989</v>
      </c>
      <c r="AC1839" s="214">
        <f ca="1">+$W1839-XOffset</f>
        <v>0</v>
      </c>
    </row>
    <row r="1840" spans="19:29" ht="8.4" customHeight="1">
      <c r="S1840" s="307"/>
      <c r="T1840" s="226">
        <f t="shared" si="100"/>
        <v>1837</v>
      </c>
      <c r="U1840" s="224">
        <f t="shared" si="98"/>
        <v>0</v>
      </c>
      <c r="V1840" s="225">
        <f t="shared" si="99"/>
        <v>1</v>
      </c>
      <c r="W1840" s="236">
        <f ca="1">+$U1840*EWSpacingFt+XOffset+PanArrayWidthHighEndFt-(PanArrayWidthHighEndFt-PanArrayWidthLowEndFt)/2</f>
        <v>10.80282152230971</v>
      </c>
      <c r="X1840" s="240">
        <f ca="1">$V1840*NSSpacingFt+YOffset+0</f>
        <v>17.999999999999989</v>
      </c>
      <c r="Y1840" s="244">
        <f ca="1">+$V1840*NSGradeFt+PedHeight+0</f>
        <v>7.401410761154855</v>
      </c>
      <c r="Z1840" s="214">
        <f ca="1">+$W1840</f>
        <v>10.80282152230971</v>
      </c>
      <c r="AA1840" s="214">
        <f ca="1">+$Y1840</f>
        <v>7.401410761154855</v>
      </c>
      <c r="AB1840" s="214">
        <f ca="1">+$X1840</f>
        <v>17.999999999999989</v>
      </c>
      <c r="AC1840" s="214">
        <f ca="1">+$W1840-XOffset</f>
        <v>10.80282152230971</v>
      </c>
    </row>
    <row r="1841" spans="19:29" ht="8.4" customHeight="1">
      <c r="S1841" s="307"/>
      <c r="T1841" s="226">
        <f t="shared" si="100"/>
        <v>1838</v>
      </c>
      <c r="U1841" s="224">
        <f t="shared" si="98"/>
        <v>0</v>
      </c>
      <c r="V1841" s="225">
        <f t="shared" si="99"/>
        <v>1</v>
      </c>
      <c r="W1841" s="237">
        <f ca="1">$U1841*EWSpacingFt+XOffset+PanArrayWidthHighEndFt</f>
        <v>10.80282152230971</v>
      </c>
      <c r="X1841" s="241">
        <f ca="1">$V1841*NSSpacingFt+YOffset+PanArrayLenFt*COS(RADIANS(Latitude+DecAng))</f>
        <v>34.439632545931751</v>
      </c>
      <c r="Y1841" s="245">
        <f ca="1">+$V1841*NSGradeFt+PedHeight+PanArrayLenFt*SIN(RADIANS(Latitude+DecAng))</f>
        <v>7.401410761154855</v>
      </c>
      <c r="Z1841" s="214">
        <f ca="1">+$W1841</f>
        <v>10.80282152230971</v>
      </c>
      <c r="AA1841" s="214">
        <f ca="1">+$Y1841</f>
        <v>7.401410761154855</v>
      </c>
      <c r="AB1841" s="214">
        <f ca="1">+$X1841</f>
        <v>34.439632545931751</v>
      </c>
      <c r="AC1841" s="214">
        <f ca="1">+$W1841-XOffset</f>
        <v>10.80282152230971</v>
      </c>
    </row>
    <row r="1842" spans="19:29" ht="8.4" customHeight="1">
      <c r="S1842" s="307"/>
      <c r="T1842" s="226">
        <f t="shared" si="100"/>
        <v>1839</v>
      </c>
      <c r="U1842" s="224">
        <f t="shared" si="98"/>
        <v>0</v>
      </c>
      <c r="V1842" s="225">
        <f t="shared" si="99"/>
        <v>1</v>
      </c>
      <c r="W1842" s="238">
        <f ca="1">$U1842*EWSpacingFt+XOffset+0</f>
        <v>0</v>
      </c>
      <c r="X1842" s="242">
        <f ca="1">$V1842*NSSpacingFt+YOffset+PanArrayLenFt*COS(RADIANS(Latitude+DecAng))</f>
        <v>34.439632545931751</v>
      </c>
      <c r="Y1842" s="246">
        <f ca="1">+$V1842*NSGradeFt+PedHeight+PanArrayLenFt*SIN(RADIANS(Latitude+DecAng))</f>
        <v>7.401410761154855</v>
      </c>
      <c r="Z1842" s="214">
        <f ca="1">+$W1842</f>
        <v>0</v>
      </c>
      <c r="AA1842" s="214">
        <f ca="1">+$Y1842</f>
        <v>7.401410761154855</v>
      </c>
      <c r="AB1842" s="214">
        <f ca="1">+$X1842</f>
        <v>34.439632545931751</v>
      </c>
      <c r="AC1842" s="214">
        <f ca="1">+$W1842-XOffset</f>
        <v>0</v>
      </c>
    </row>
    <row r="1843" spans="19:29" ht="8.4" customHeight="1">
      <c r="S1843" s="307"/>
      <c r="T1843" s="226">
        <f t="shared" si="100"/>
        <v>1840</v>
      </c>
      <c r="U1843" s="224">
        <f t="shared" si="98"/>
        <v>0</v>
      </c>
      <c r="V1843" s="225">
        <f t="shared" si="99"/>
        <v>1</v>
      </c>
      <c r="W1843" s="239">
        <f ca="1">$U1843*EWSpacingFt+XOffset+(PanArrayWidthHighEndFt-PanArrayWidthLowEndFt)/2</f>
        <v>0</v>
      </c>
      <c r="X1843" s="243">
        <f ca="1">$V1843*NSSpacingFt+YOffset+0</f>
        <v>17.999999999999989</v>
      </c>
      <c r="Y1843" s="247">
        <f ca="1">+$V1843*NSGradeFt+PedHeight+0</f>
        <v>7.401410761154855</v>
      </c>
      <c r="Z1843" s="214">
        <f ca="1">+$W1843</f>
        <v>0</v>
      </c>
      <c r="AA1843" s="214">
        <f ca="1">+$Y1843</f>
        <v>7.401410761154855</v>
      </c>
      <c r="AB1843" s="214">
        <f ca="1">+$X1843</f>
        <v>17.999999999999989</v>
      </c>
      <c r="AC1843" s="214">
        <f ca="1">+$W1843-XOffset</f>
        <v>0</v>
      </c>
    </row>
    <row r="1844" spans="19:29" ht="8.4" customHeight="1">
      <c r="S1844" s="307"/>
      <c r="T1844" s="226">
        <f t="shared" si="100"/>
        <v>1841</v>
      </c>
      <c r="U1844" s="224">
        <f t="shared" si="98"/>
        <v>0</v>
      </c>
      <c r="V1844" s="225">
        <f t="shared" si="99"/>
        <v>1</v>
      </c>
      <c r="W1844" s="217"/>
      <c r="X1844" s="217"/>
      <c r="Y1844" s="217"/>
      <c r="Z1844" s="214"/>
      <c r="AA1844" s="214"/>
      <c r="AB1844" s="214"/>
      <c r="AC1844" s="214"/>
    </row>
    <row r="1845" spans="19:29" ht="8.4" customHeight="1">
      <c r="S1845" s="307">
        <f>INT((T1845-0)/6)+1</f>
        <v>308</v>
      </c>
      <c r="T1845" s="226">
        <f t="shared" si="100"/>
        <v>1842</v>
      </c>
      <c r="U1845" s="224">
        <f t="shared" si="98"/>
        <v>1</v>
      </c>
      <c r="V1845" s="225">
        <f t="shared" si="99"/>
        <v>1</v>
      </c>
      <c r="W1845" s="233">
        <f ca="1">$U1845*EWSpacingFt+XOffset+(PanArrayWidthHighEndFt-PanArrayWidthLowEndFt)/2</f>
        <v>30.000006832286932</v>
      </c>
      <c r="X1845" s="234">
        <f ca="1">$V1845*NSSpacingFt+YOffset+0</f>
        <v>17.999999999999989</v>
      </c>
      <c r="Y1845" s="235">
        <f ca="1">+$V1845*NSGradeFt+PedHeight+0</f>
        <v>7.401410761154855</v>
      </c>
      <c r="Z1845" s="214">
        <f ca="1">+$W1845</f>
        <v>30.000006832286932</v>
      </c>
      <c r="AA1845" s="214">
        <f ca="1">+$Y1845</f>
        <v>7.401410761154855</v>
      </c>
      <c r="AB1845" s="214">
        <f ca="1">+$X1845</f>
        <v>17.999999999999989</v>
      </c>
      <c r="AC1845" s="214">
        <f ca="1">+$W1845-XOffset</f>
        <v>30.000006832286932</v>
      </c>
    </row>
    <row r="1846" spans="19:29" ht="8.4" customHeight="1">
      <c r="S1846" s="307"/>
      <c r="T1846" s="226">
        <f t="shared" si="100"/>
        <v>1843</v>
      </c>
      <c r="U1846" s="224">
        <f t="shared" si="98"/>
        <v>1</v>
      </c>
      <c r="V1846" s="225">
        <f t="shared" si="99"/>
        <v>1</v>
      </c>
      <c r="W1846" s="236">
        <f ca="1">+$U1846*EWSpacingFt+XOffset+PanArrayWidthHighEndFt-(PanArrayWidthHighEndFt-PanArrayWidthLowEndFt)/2</f>
        <v>40.802828354596642</v>
      </c>
      <c r="X1846" s="240">
        <f ca="1">$V1846*NSSpacingFt+YOffset+0</f>
        <v>17.999999999999989</v>
      </c>
      <c r="Y1846" s="244">
        <f ca="1">+$V1846*NSGradeFt+PedHeight+0</f>
        <v>7.401410761154855</v>
      </c>
      <c r="Z1846" s="214">
        <f ca="1">+$W1846</f>
        <v>40.802828354596642</v>
      </c>
      <c r="AA1846" s="214">
        <f ca="1">+$Y1846</f>
        <v>7.401410761154855</v>
      </c>
      <c r="AB1846" s="214">
        <f ca="1">+$X1846</f>
        <v>17.999999999999989</v>
      </c>
      <c r="AC1846" s="214">
        <f ca="1">+$W1846-XOffset</f>
        <v>40.802828354596642</v>
      </c>
    </row>
    <row r="1847" spans="19:29" ht="8.4" customHeight="1">
      <c r="S1847" s="307"/>
      <c r="T1847" s="226">
        <f t="shared" si="100"/>
        <v>1844</v>
      </c>
      <c r="U1847" s="224">
        <f t="shared" si="98"/>
        <v>1</v>
      </c>
      <c r="V1847" s="225">
        <f t="shared" si="99"/>
        <v>1</v>
      </c>
      <c r="W1847" s="237">
        <f ca="1">$U1847*EWSpacingFt+XOffset+PanArrayWidthHighEndFt</f>
        <v>40.802828354596642</v>
      </c>
      <c r="X1847" s="241">
        <f ca="1">$V1847*NSSpacingFt+YOffset+PanArrayLenFt*COS(RADIANS(Latitude+DecAng))</f>
        <v>34.439632545931751</v>
      </c>
      <c r="Y1847" s="245">
        <f ca="1">+$V1847*NSGradeFt+PedHeight+PanArrayLenFt*SIN(RADIANS(Latitude+DecAng))</f>
        <v>7.401410761154855</v>
      </c>
      <c r="Z1847" s="214">
        <f ca="1">+$W1847</f>
        <v>40.802828354596642</v>
      </c>
      <c r="AA1847" s="214">
        <f ca="1">+$Y1847</f>
        <v>7.401410761154855</v>
      </c>
      <c r="AB1847" s="214">
        <f ca="1">+$X1847</f>
        <v>34.439632545931751</v>
      </c>
      <c r="AC1847" s="214">
        <f ca="1">+$W1847-XOffset</f>
        <v>40.802828354596642</v>
      </c>
    </row>
    <row r="1848" spans="19:29" ht="8.4" customHeight="1">
      <c r="S1848" s="307"/>
      <c r="T1848" s="226">
        <f t="shared" si="100"/>
        <v>1845</v>
      </c>
      <c r="U1848" s="224">
        <f t="shared" si="98"/>
        <v>1</v>
      </c>
      <c r="V1848" s="225">
        <f t="shared" si="99"/>
        <v>1</v>
      </c>
      <c r="W1848" s="238">
        <f ca="1">$U1848*EWSpacingFt+XOffset+0</f>
        <v>30.000006832286932</v>
      </c>
      <c r="X1848" s="242">
        <f ca="1">$V1848*NSSpacingFt+YOffset+PanArrayLenFt*COS(RADIANS(Latitude+DecAng))</f>
        <v>34.439632545931751</v>
      </c>
      <c r="Y1848" s="246">
        <f ca="1">+$V1848*NSGradeFt+PedHeight+PanArrayLenFt*SIN(RADIANS(Latitude+DecAng))</f>
        <v>7.401410761154855</v>
      </c>
      <c r="Z1848" s="214">
        <f ca="1">+$W1848</f>
        <v>30.000006832286932</v>
      </c>
      <c r="AA1848" s="214">
        <f ca="1">+$Y1848</f>
        <v>7.401410761154855</v>
      </c>
      <c r="AB1848" s="214">
        <f ca="1">+$X1848</f>
        <v>34.439632545931751</v>
      </c>
      <c r="AC1848" s="214">
        <f ca="1">+$W1848-XOffset</f>
        <v>30.000006832286932</v>
      </c>
    </row>
    <row r="1849" spans="19:29" ht="8.4" customHeight="1">
      <c r="S1849" s="307"/>
      <c r="T1849" s="226">
        <f t="shared" si="100"/>
        <v>1846</v>
      </c>
      <c r="U1849" s="224">
        <f t="shared" si="98"/>
        <v>1</v>
      </c>
      <c r="V1849" s="225">
        <f t="shared" si="99"/>
        <v>1</v>
      </c>
      <c r="W1849" s="239">
        <f ca="1">$U1849*EWSpacingFt+XOffset+(PanArrayWidthHighEndFt-PanArrayWidthLowEndFt)/2</f>
        <v>30.000006832286932</v>
      </c>
      <c r="X1849" s="243">
        <f ca="1">$V1849*NSSpacingFt+YOffset+0</f>
        <v>17.999999999999989</v>
      </c>
      <c r="Y1849" s="247">
        <f ca="1">+$V1849*NSGradeFt+PedHeight+0</f>
        <v>7.401410761154855</v>
      </c>
      <c r="Z1849" s="214">
        <f ca="1">+$W1849</f>
        <v>30.000006832286932</v>
      </c>
      <c r="AA1849" s="214">
        <f ca="1">+$Y1849</f>
        <v>7.401410761154855</v>
      </c>
      <c r="AB1849" s="214">
        <f ca="1">+$X1849</f>
        <v>17.999999999999989</v>
      </c>
      <c r="AC1849" s="214">
        <f ca="1">+$W1849-XOffset</f>
        <v>30.000006832286932</v>
      </c>
    </row>
    <row r="1850" spans="19:29" ht="8.4" customHeight="1">
      <c r="S1850" s="307"/>
      <c r="T1850" s="226">
        <f t="shared" si="100"/>
        <v>1847</v>
      </c>
      <c r="U1850" s="224">
        <f t="shared" si="98"/>
        <v>1</v>
      </c>
      <c r="V1850" s="225">
        <f t="shared" si="99"/>
        <v>1</v>
      </c>
      <c r="W1850" s="217"/>
      <c r="X1850" s="217"/>
      <c r="Y1850" s="217"/>
      <c r="Z1850" s="214"/>
      <c r="AA1850" s="214"/>
      <c r="AB1850" s="214"/>
      <c r="AC1850" s="214"/>
    </row>
    <row r="1851" spans="19:29" ht="8.4" customHeight="1">
      <c r="S1851" s="307">
        <f>INT((T1851-0)/6)+1</f>
        <v>309</v>
      </c>
      <c r="T1851" s="226">
        <f t="shared" si="100"/>
        <v>1848</v>
      </c>
      <c r="U1851" s="224">
        <f t="shared" si="98"/>
        <v>0</v>
      </c>
      <c r="V1851" s="225">
        <f t="shared" si="99"/>
        <v>2</v>
      </c>
      <c r="W1851" s="233">
        <f ca="1">$U1851*EWSpacingFt+XOffset+(PanArrayWidthHighEndFt-PanArrayWidthLowEndFt)/2</f>
        <v>0</v>
      </c>
      <c r="X1851" s="234">
        <f ca="1">$V1851*NSSpacingFt+YOffset+0</f>
        <v>35.999999999999979</v>
      </c>
      <c r="Y1851" s="235">
        <f ca="1">+$V1851*NSGradeFt+PedHeight+0</f>
        <v>7.401410761154855</v>
      </c>
      <c r="Z1851" s="214">
        <f ca="1">+$W1851</f>
        <v>0</v>
      </c>
      <c r="AA1851" s="214">
        <f ca="1">+$Y1851</f>
        <v>7.401410761154855</v>
      </c>
      <c r="AB1851" s="214">
        <f ca="1">+$X1851</f>
        <v>35.999999999999979</v>
      </c>
      <c r="AC1851" s="214">
        <f ca="1">+$W1851-XOffset</f>
        <v>0</v>
      </c>
    </row>
    <row r="1852" spans="19:29" ht="8.4" customHeight="1">
      <c r="S1852" s="307"/>
      <c r="T1852" s="226">
        <f t="shared" si="100"/>
        <v>1849</v>
      </c>
      <c r="U1852" s="224">
        <f t="shared" si="98"/>
        <v>0</v>
      </c>
      <c r="V1852" s="225">
        <f t="shared" si="99"/>
        <v>2</v>
      </c>
      <c r="W1852" s="236">
        <f ca="1">+$U1852*EWSpacingFt+XOffset+PanArrayWidthHighEndFt-(PanArrayWidthHighEndFt-PanArrayWidthLowEndFt)/2</f>
        <v>10.80282152230971</v>
      </c>
      <c r="X1852" s="240">
        <f ca="1">$V1852*NSSpacingFt+YOffset+0</f>
        <v>35.999999999999979</v>
      </c>
      <c r="Y1852" s="244">
        <f ca="1">+$V1852*NSGradeFt+PedHeight+0</f>
        <v>7.401410761154855</v>
      </c>
      <c r="Z1852" s="214">
        <f ca="1">+$W1852</f>
        <v>10.80282152230971</v>
      </c>
      <c r="AA1852" s="214">
        <f ca="1">+$Y1852</f>
        <v>7.401410761154855</v>
      </c>
      <c r="AB1852" s="214">
        <f ca="1">+$X1852</f>
        <v>35.999999999999979</v>
      </c>
      <c r="AC1852" s="214">
        <f ca="1">+$W1852-XOffset</f>
        <v>10.80282152230971</v>
      </c>
    </row>
    <row r="1853" spans="19:29" ht="8.4" customHeight="1">
      <c r="S1853" s="307"/>
      <c r="T1853" s="226">
        <f t="shared" si="100"/>
        <v>1850</v>
      </c>
      <c r="U1853" s="224">
        <f t="shared" si="98"/>
        <v>0</v>
      </c>
      <c r="V1853" s="225">
        <f t="shared" si="99"/>
        <v>2</v>
      </c>
      <c r="W1853" s="237">
        <f ca="1">$U1853*EWSpacingFt+XOffset+PanArrayWidthHighEndFt</f>
        <v>10.80282152230971</v>
      </c>
      <c r="X1853" s="241">
        <f ca="1">$V1853*NSSpacingFt+YOffset+PanArrayLenFt*COS(RADIANS(Latitude+DecAng))</f>
        <v>52.439632545931744</v>
      </c>
      <c r="Y1853" s="245">
        <f ca="1">+$V1853*NSGradeFt+PedHeight+PanArrayLenFt*SIN(RADIANS(Latitude+DecAng))</f>
        <v>7.401410761154855</v>
      </c>
      <c r="Z1853" s="214">
        <f ca="1">+$W1853</f>
        <v>10.80282152230971</v>
      </c>
      <c r="AA1853" s="214">
        <f ca="1">+$Y1853</f>
        <v>7.401410761154855</v>
      </c>
      <c r="AB1853" s="214">
        <f ca="1">+$X1853</f>
        <v>52.439632545931744</v>
      </c>
      <c r="AC1853" s="214">
        <f ca="1">+$W1853-XOffset</f>
        <v>10.80282152230971</v>
      </c>
    </row>
    <row r="1854" spans="19:29" ht="8.4" customHeight="1">
      <c r="S1854" s="307"/>
      <c r="T1854" s="226">
        <f t="shared" si="100"/>
        <v>1851</v>
      </c>
      <c r="U1854" s="224">
        <f t="shared" si="98"/>
        <v>0</v>
      </c>
      <c r="V1854" s="225">
        <f t="shared" si="99"/>
        <v>2</v>
      </c>
      <c r="W1854" s="238">
        <f ca="1">$U1854*EWSpacingFt+XOffset+0</f>
        <v>0</v>
      </c>
      <c r="X1854" s="242">
        <f ca="1">$V1854*NSSpacingFt+YOffset+PanArrayLenFt*COS(RADIANS(Latitude+DecAng))</f>
        <v>52.439632545931744</v>
      </c>
      <c r="Y1854" s="246">
        <f ca="1">+$V1854*NSGradeFt+PedHeight+PanArrayLenFt*SIN(RADIANS(Latitude+DecAng))</f>
        <v>7.401410761154855</v>
      </c>
      <c r="Z1854" s="214">
        <f ca="1">+$W1854</f>
        <v>0</v>
      </c>
      <c r="AA1854" s="214">
        <f ca="1">+$Y1854</f>
        <v>7.401410761154855</v>
      </c>
      <c r="AB1854" s="214">
        <f ca="1">+$X1854</f>
        <v>52.439632545931744</v>
      </c>
      <c r="AC1854" s="214">
        <f ca="1">+$W1854-XOffset</f>
        <v>0</v>
      </c>
    </row>
    <row r="1855" spans="19:29" ht="8.4" customHeight="1">
      <c r="S1855" s="307"/>
      <c r="T1855" s="226">
        <f t="shared" si="100"/>
        <v>1852</v>
      </c>
      <c r="U1855" s="224">
        <f t="shared" si="98"/>
        <v>0</v>
      </c>
      <c r="V1855" s="225">
        <f t="shared" si="99"/>
        <v>2</v>
      </c>
      <c r="W1855" s="239">
        <f ca="1">$U1855*EWSpacingFt+XOffset+(PanArrayWidthHighEndFt-PanArrayWidthLowEndFt)/2</f>
        <v>0</v>
      </c>
      <c r="X1855" s="243">
        <f ca="1">$V1855*NSSpacingFt+YOffset+0</f>
        <v>35.999999999999979</v>
      </c>
      <c r="Y1855" s="247">
        <f ca="1">+$V1855*NSGradeFt+PedHeight+0</f>
        <v>7.401410761154855</v>
      </c>
      <c r="Z1855" s="214">
        <f ca="1">+$W1855</f>
        <v>0</v>
      </c>
      <c r="AA1855" s="214">
        <f ca="1">+$Y1855</f>
        <v>7.401410761154855</v>
      </c>
      <c r="AB1855" s="214">
        <f ca="1">+$X1855</f>
        <v>35.999999999999979</v>
      </c>
      <c r="AC1855" s="214">
        <f ca="1">+$W1855-XOffset</f>
        <v>0</v>
      </c>
    </row>
    <row r="1856" spans="19:29" ht="8.4" customHeight="1">
      <c r="S1856" s="307"/>
      <c r="T1856" s="226">
        <f t="shared" si="100"/>
        <v>1853</v>
      </c>
      <c r="U1856" s="224">
        <f t="shared" si="98"/>
        <v>0</v>
      </c>
      <c r="V1856" s="225">
        <f t="shared" si="99"/>
        <v>2</v>
      </c>
      <c r="W1856" s="217"/>
      <c r="X1856" s="217"/>
      <c r="Y1856" s="217"/>
      <c r="Z1856" s="214"/>
      <c r="AA1856" s="214"/>
      <c r="AB1856" s="214"/>
      <c r="AC1856" s="214"/>
    </row>
    <row r="1857" spans="19:29" ht="8.4" customHeight="1">
      <c r="S1857" s="307">
        <f>INT((T1857-0)/6)+1</f>
        <v>310</v>
      </c>
      <c r="T1857" s="226">
        <f t="shared" si="100"/>
        <v>1854</v>
      </c>
      <c r="U1857" s="224">
        <f t="shared" si="98"/>
        <v>1</v>
      </c>
      <c r="V1857" s="225">
        <f t="shared" si="99"/>
        <v>2</v>
      </c>
      <c r="W1857" s="233">
        <f ca="1">$U1857*EWSpacingFt+XOffset+(PanArrayWidthHighEndFt-PanArrayWidthLowEndFt)/2</f>
        <v>30.000006832286932</v>
      </c>
      <c r="X1857" s="234">
        <f ca="1">$V1857*NSSpacingFt+YOffset+0</f>
        <v>35.999999999999979</v>
      </c>
      <c r="Y1857" s="235">
        <f ca="1">+$V1857*NSGradeFt+PedHeight+0</f>
        <v>7.401410761154855</v>
      </c>
      <c r="Z1857" s="214">
        <f ca="1">+$W1857</f>
        <v>30.000006832286932</v>
      </c>
      <c r="AA1857" s="214">
        <f ca="1">+$Y1857</f>
        <v>7.401410761154855</v>
      </c>
      <c r="AB1857" s="214">
        <f ca="1">+$X1857</f>
        <v>35.999999999999979</v>
      </c>
      <c r="AC1857" s="214">
        <f ca="1">+$W1857-XOffset</f>
        <v>30.000006832286932</v>
      </c>
    </row>
    <row r="1858" spans="19:29" ht="8.4" customHeight="1">
      <c r="S1858" s="307"/>
      <c r="T1858" s="226">
        <f t="shared" si="100"/>
        <v>1855</v>
      </c>
      <c r="U1858" s="224">
        <f t="shared" si="98"/>
        <v>1</v>
      </c>
      <c r="V1858" s="225">
        <f t="shared" si="99"/>
        <v>2</v>
      </c>
      <c r="W1858" s="236">
        <f ca="1">+$U1858*EWSpacingFt+XOffset+PanArrayWidthHighEndFt-(PanArrayWidthHighEndFt-PanArrayWidthLowEndFt)/2</f>
        <v>40.802828354596642</v>
      </c>
      <c r="X1858" s="240">
        <f ca="1">$V1858*NSSpacingFt+YOffset+0</f>
        <v>35.999999999999979</v>
      </c>
      <c r="Y1858" s="244">
        <f ca="1">+$V1858*NSGradeFt+PedHeight+0</f>
        <v>7.401410761154855</v>
      </c>
      <c r="Z1858" s="214">
        <f ca="1">+$W1858</f>
        <v>40.802828354596642</v>
      </c>
      <c r="AA1858" s="214">
        <f ca="1">+$Y1858</f>
        <v>7.401410761154855</v>
      </c>
      <c r="AB1858" s="214">
        <f ca="1">+$X1858</f>
        <v>35.999999999999979</v>
      </c>
      <c r="AC1858" s="214">
        <f ca="1">+$W1858-XOffset</f>
        <v>40.802828354596642</v>
      </c>
    </row>
    <row r="1859" spans="19:29" ht="8.4" customHeight="1">
      <c r="S1859" s="307"/>
      <c r="T1859" s="226">
        <f t="shared" si="100"/>
        <v>1856</v>
      </c>
      <c r="U1859" s="224">
        <f t="shared" ref="U1859:U1922" si="101">+MOD(INT(T1859/6),ColumnsOfMounts)</f>
        <v>1</v>
      </c>
      <c r="V1859" s="225">
        <f t="shared" ref="V1859:V1922" si="102">+MOD(INT(T1859/6/ColumnsOfMounts),RowsOfMounts)</f>
        <v>2</v>
      </c>
      <c r="W1859" s="237">
        <f ca="1">$U1859*EWSpacingFt+XOffset+PanArrayWidthHighEndFt</f>
        <v>40.802828354596642</v>
      </c>
      <c r="X1859" s="241">
        <f ca="1">$V1859*NSSpacingFt+YOffset+PanArrayLenFt*COS(RADIANS(Latitude+DecAng))</f>
        <v>52.439632545931744</v>
      </c>
      <c r="Y1859" s="245">
        <f ca="1">+$V1859*NSGradeFt+PedHeight+PanArrayLenFt*SIN(RADIANS(Latitude+DecAng))</f>
        <v>7.401410761154855</v>
      </c>
      <c r="Z1859" s="214">
        <f ca="1">+$W1859</f>
        <v>40.802828354596642</v>
      </c>
      <c r="AA1859" s="214">
        <f ca="1">+$Y1859</f>
        <v>7.401410761154855</v>
      </c>
      <c r="AB1859" s="214">
        <f ca="1">+$X1859</f>
        <v>52.439632545931744</v>
      </c>
      <c r="AC1859" s="214">
        <f ca="1">+$W1859-XOffset</f>
        <v>40.802828354596642</v>
      </c>
    </row>
    <row r="1860" spans="19:29" ht="8.4" customHeight="1">
      <c r="S1860" s="307"/>
      <c r="T1860" s="226">
        <f t="shared" si="100"/>
        <v>1857</v>
      </c>
      <c r="U1860" s="224">
        <f t="shared" si="101"/>
        <v>1</v>
      </c>
      <c r="V1860" s="225">
        <f t="shared" si="102"/>
        <v>2</v>
      </c>
      <c r="W1860" s="238">
        <f ca="1">$U1860*EWSpacingFt+XOffset+0</f>
        <v>30.000006832286932</v>
      </c>
      <c r="X1860" s="242">
        <f ca="1">$V1860*NSSpacingFt+YOffset+PanArrayLenFt*COS(RADIANS(Latitude+DecAng))</f>
        <v>52.439632545931744</v>
      </c>
      <c r="Y1860" s="246">
        <f ca="1">+$V1860*NSGradeFt+PedHeight+PanArrayLenFt*SIN(RADIANS(Latitude+DecAng))</f>
        <v>7.401410761154855</v>
      </c>
      <c r="Z1860" s="214">
        <f ca="1">+$W1860</f>
        <v>30.000006832286932</v>
      </c>
      <c r="AA1860" s="214">
        <f ca="1">+$Y1860</f>
        <v>7.401410761154855</v>
      </c>
      <c r="AB1860" s="214">
        <f ca="1">+$X1860</f>
        <v>52.439632545931744</v>
      </c>
      <c r="AC1860" s="214">
        <f ca="1">+$W1860-XOffset</f>
        <v>30.000006832286932</v>
      </c>
    </row>
    <row r="1861" spans="19:29" ht="8.4" customHeight="1">
      <c r="S1861" s="307"/>
      <c r="T1861" s="226">
        <f t="shared" si="100"/>
        <v>1858</v>
      </c>
      <c r="U1861" s="224">
        <f t="shared" si="101"/>
        <v>1</v>
      </c>
      <c r="V1861" s="225">
        <f t="shared" si="102"/>
        <v>2</v>
      </c>
      <c r="W1861" s="239">
        <f ca="1">$U1861*EWSpacingFt+XOffset+(PanArrayWidthHighEndFt-PanArrayWidthLowEndFt)/2</f>
        <v>30.000006832286932</v>
      </c>
      <c r="X1861" s="243">
        <f ca="1">$V1861*NSSpacingFt+YOffset+0</f>
        <v>35.999999999999979</v>
      </c>
      <c r="Y1861" s="247">
        <f ca="1">+$V1861*NSGradeFt+PedHeight+0</f>
        <v>7.401410761154855</v>
      </c>
      <c r="Z1861" s="214">
        <f ca="1">+$W1861</f>
        <v>30.000006832286932</v>
      </c>
      <c r="AA1861" s="214">
        <f ca="1">+$Y1861</f>
        <v>7.401410761154855</v>
      </c>
      <c r="AB1861" s="214">
        <f ca="1">+$X1861</f>
        <v>35.999999999999979</v>
      </c>
      <c r="AC1861" s="214">
        <f ca="1">+$W1861-XOffset</f>
        <v>30.000006832286932</v>
      </c>
    </row>
    <row r="1862" spans="19:29" ht="8.4" customHeight="1">
      <c r="S1862" s="307"/>
      <c r="T1862" s="226">
        <f t="shared" si="100"/>
        <v>1859</v>
      </c>
      <c r="U1862" s="224">
        <f t="shared" si="101"/>
        <v>1</v>
      </c>
      <c r="V1862" s="225">
        <f t="shared" si="102"/>
        <v>2</v>
      </c>
      <c r="W1862" s="217"/>
      <c r="X1862" s="217"/>
      <c r="Y1862" s="217"/>
      <c r="Z1862" s="214"/>
      <c r="AA1862" s="214"/>
      <c r="AB1862" s="214"/>
      <c r="AC1862" s="214"/>
    </row>
    <row r="1863" spans="19:29" ht="8.4" customHeight="1">
      <c r="S1863" s="307">
        <f>INT((T1863-0)/6)+1</f>
        <v>311</v>
      </c>
      <c r="T1863" s="226">
        <f t="shared" si="100"/>
        <v>1860</v>
      </c>
      <c r="U1863" s="224">
        <f t="shared" si="101"/>
        <v>0</v>
      </c>
      <c r="V1863" s="225">
        <f t="shared" si="102"/>
        <v>3</v>
      </c>
      <c r="W1863" s="233">
        <f ca="1">$U1863*EWSpacingFt+XOffset+(PanArrayWidthHighEndFt-PanArrayWidthLowEndFt)/2</f>
        <v>0</v>
      </c>
      <c r="X1863" s="234">
        <f ca="1">$V1863*NSSpacingFt+YOffset+0</f>
        <v>53.999999999999972</v>
      </c>
      <c r="Y1863" s="235">
        <f ca="1">+$V1863*NSGradeFt+PedHeight+0</f>
        <v>7.401410761154855</v>
      </c>
      <c r="Z1863" s="214">
        <f ca="1">+$W1863</f>
        <v>0</v>
      </c>
      <c r="AA1863" s="214">
        <f ca="1">+$Y1863</f>
        <v>7.401410761154855</v>
      </c>
      <c r="AB1863" s="214">
        <f ca="1">+$X1863</f>
        <v>53.999999999999972</v>
      </c>
      <c r="AC1863" s="214">
        <f ca="1">+$W1863-XOffset</f>
        <v>0</v>
      </c>
    </row>
    <row r="1864" spans="19:29" ht="8.4" customHeight="1">
      <c r="S1864" s="307"/>
      <c r="T1864" s="226">
        <f t="shared" si="100"/>
        <v>1861</v>
      </c>
      <c r="U1864" s="224">
        <f t="shared" si="101"/>
        <v>0</v>
      </c>
      <c r="V1864" s="225">
        <f t="shared" si="102"/>
        <v>3</v>
      </c>
      <c r="W1864" s="236">
        <f ca="1">+$U1864*EWSpacingFt+XOffset+PanArrayWidthHighEndFt-(PanArrayWidthHighEndFt-PanArrayWidthLowEndFt)/2</f>
        <v>10.80282152230971</v>
      </c>
      <c r="X1864" s="240">
        <f ca="1">$V1864*NSSpacingFt+YOffset+0</f>
        <v>53.999999999999972</v>
      </c>
      <c r="Y1864" s="244">
        <f ca="1">+$V1864*NSGradeFt+PedHeight+0</f>
        <v>7.401410761154855</v>
      </c>
      <c r="Z1864" s="214">
        <f ca="1">+$W1864</f>
        <v>10.80282152230971</v>
      </c>
      <c r="AA1864" s="214">
        <f ca="1">+$Y1864</f>
        <v>7.401410761154855</v>
      </c>
      <c r="AB1864" s="214">
        <f ca="1">+$X1864</f>
        <v>53.999999999999972</v>
      </c>
      <c r="AC1864" s="214">
        <f ca="1">+$W1864-XOffset</f>
        <v>10.80282152230971</v>
      </c>
    </row>
    <row r="1865" spans="19:29" ht="8.4" customHeight="1">
      <c r="S1865" s="307"/>
      <c r="T1865" s="226">
        <f t="shared" si="100"/>
        <v>1862</v>
      </c>
      <c r="U1865" s="224">
        <f t="shared" si="101"/>
        <v>0</v>
      </c>
      <c r="V1865" s="225">
        <f t="shared" si="102"/>
        <v>3</v>
      </c>
      <c r="W1865" s="237">
        <f ca="1">$U1865*EWSpacingFt+XOffset+PanArrayWidthHighEndFt</f>
        <v>10.80282152230971</v>
      </c>
      <c r="X1865" s="241">
        <f ca="1">$V1865*NSSpacingFt+YOffset+PanArrayLenFt*COS(RADIANS(Latitude+DecAng))</f>
        <v>70.43963254593173</v>
      </c>
      <c r="Y1865" s="245">
        <f ca="1">+$V1865*NSGradeFt+PedHeight+PanArrayLenFt*SIN(RADIANS(Latitude+DecAng))</f>
        <v>7.401410761154855</v>
      </c>
      <c r="Z1865" s="214">
        <f ca="1">+$W1865</f>
        <v>10.80282152230971</v>
      </c>
      <c r="AA1865" s="214">
        <f ca="1">+$Y1865</f>
        <v>7.401410761154855</v>
      </c>
      <c r="AB1865" s="214">
        <f ca="1">+$X1865</f>
        <v>70.43963254593173</v>
      </c>
      <c r="AC1865" s="214">
        <f ca="1">+$W1865-XOffset</f>
        <v>10.80282152230971</v>
      </c>
    </row>
    <row r="1866" spans="19:29" ht="8.4" customHeight="1">
      <c r="S1866" s="307"/>
      <c r="T1866" s="226">
        <f t="shared" si="100"/>
        <v>1863</v>
      </c>
      <c r="U1866" s="224">
        <f t="shared" si="101"/>
        <v>0</v>
      </c>
      <c r="V1866" s="225">
        <f t="shared" si="102"/>
        <v>3</v>
      </c>
      <c r="W1866" s="238">
        <f ca="1">$U1866*EWSpacingFt+XOffset+0</f>
        <v>0</v>
      </c>
      <c r="X1866" s="242">
        <f ca="1">$V1866*NSSpacingFt+YOffset+PanArrayLenFt*COS(RADIANS(Latitude+DecAng))</f>
        <v>70.43963254593173</v>
      </c>
      <c r="Y1866" s="246">
        <f ca="1">+$V1866*NSGradeFt+PedHeight+PanArrayLenFt*SIN(RADIANS(Latitude+DecAng))</f>
        <v>7.401410761154855</v>
      </c>
      <c r="Z1866" s="214">
        <f ca="1">+$W1866</f>
        <v>0</v>
      </c>
      <c r="AA1866" s="214">
        <f ca="1">+$Y1866</f>
        <v>7.401410761154855</v>
      </c>
      <c r="AB1866" s="214">
        <f ca="1">+$X1866</f>
        <v>70.43963254593173</v>
      </c>
      <c r="AC1866" s="214">
        <f ca="1">+$W1866-XOffset</f>
        <v>0</v>
      </c>
    </row>
    <row r="1867" spans="19:29" ht="8.4" customHeight="1">
      <c r="S1867" s="307"/>
      <c r="T1867" s="226">
        <f t="shared" si="100"/>
        <v>1864</v>
      </c>
      <c r="U1867" s="224">
        <f t="shared" si="101"/>
        <v>0</v>
      </c>
      <c r="V1867" s="225">
        <f t="shared" si="102"/>
        <v>3</v>
      </c>
      <c r="W1867" s="239">
        <f ca="1">$U1867*EWSpacingFt+XOffset+(PanArrayWidthHighEndFt-PanArrayWidthLowEndFt)/2</f>
        <v>0</v>
      </c>
      <c r="X1867" s="243">
        <f ca="1">$V1867*NSSpacingFt+YOffset+0</f>
        <v>53.999999999999972</v>
      </c>
      <c r="Y1867" s="247">
        <f ca="1">+$V1867*NSGradeFt+PedHeight+0</f>
        <v>7.401410761154855</v>
      </c>
      <c r="Z1867" s="214">
        <f ca="1">+$W1867</f>
        <v>0</v>
      </c>
      <c r="AA1867" s="214">
        <f ca="1">+$Y1867</f>
        <v>7.401410761154855</v>
      </c>
      <c r="AB1867" s="214">
        <f ca="1">+$X1867</f>
        <v>53.999999999999972</v>
      </c>
      <c r="AC1867" s="214">
        <f ca="1">+$W1867-XOffset</f>
        <v>0</v>
      </c>
    </row>
    <row r="1868" spans="19:29" ht="8.4" customHeight="1">
      <c r="S1868" s="307"/>
      <c r="T1868" s="226">
        <f t="shared" si="100"/>
        <v>1865</v>
      </c>
      <c r="U1868" s="224">
        <f t="shared" si="101"/>
        <v>0</v>
      </c>
      <c r="V1868" s="225">
        <f t="shared" si="102"/>
        <v>3</v>
      </c>
      <c r="W1868" s="217"/>
      <c r="X1868" s="217"/>
      <c r="Y1868" s="217"/>
      <c r="Z1868" s="214"/>
      <c r="AA1868" s="214"/>
      <c r="AB1868" s="214"/>
      <c r="AC1868" s="214"/>
    </row>
    <row r="1869" spans="19:29" ht="8.4" customHeight="1">
      <c r="S1869" s="307">
        <f>INT((T1869-0)/6)+1</f>
        <v>312</v>
      </c>
      <c r="T1869" s="226">
        <f t="shared" si="100"/>
        <v>1866</v>
      </c>
      <c r="U1869" s="224">
        <f t="shared" si="101"/>
        <v>1</v>
      </c>
      <c r="V1869" s="225">
        <f t="shared" si="102"/>
        <v>3</v>
      </c>
      <c r="W1869" s="233">
        <f ca="1">$U1869*EWSpacingFt+XOffset+(PanArrayWidthHighEndFt-PanArrayWidthLowEndFt)/2</f>
        <v>30.000006832286932</v>
      </c>
      <c r="X1869" s="234">
        <f ca="1">$V1869*NSSpacingFt+YOffset+0</f>
        <v>53.999999999999972</v>
      </c>
      <c r="Y1869" s="235">
        <f ca="1">+$V1869*NSGradeFt+PedHeight+0</f>
        <v>7.401410761154855</v>
      </c>
      <c r="Z1869" s="214">
        <f ca="1">+$W1869</f>
        <v>30.000006832286932</v>
      </c>
      <c r="AA1869" s="214">
        <f ca="1">+$Y1869</f>
        <v>7.401410761154855</v>
      </c>
      <c r="AB1869" s="214">
        <f ca="1">+$X1869</f>
        <v>53.999999999999972</v>
      </c>
      <c r="AC1869" s="214">
        <f ca="1">+$W1869-XOffset</f>
        <v>30.000006832286932</v>
      </c>
    </row>
    <row r="1870" spans="19:29" ht="8.4" customHeight="1">
      <c r="S1870" s="307"/>
      <c r="T1870" s="226">
        <f t="shared" si="100"/>
        <v>1867</v>
      </c>
      <c r="U1870" s="224">
        <f t="shared" si="101"/>
        <v>1</v>
      </c>
      <c r="V1870" s="225">
        <f t="shared" si="102"/>
        <v>3</v>
      </c>
      <c r="W1870" s="236">
        <f ca="1">+$U1870*EWSpacingFt+XOffset+PanArrayWidthHighEndFt-(PanArrayWidthHighEndFt-PanArrayWidthLowEndFt)/2</f>
        <v>40.802828354596642</v>
      </c>
      <c r="X1870" s="240">
        <f ca="1">$V1870*NSSpacingFt+YOffset+0</f>
        <v>53.999999999999972</v>
      </c>
      <c r="Y1870" s="244">
        <f ca="1">+$V1870*NSGradeFt+PedHeight+0</f>
        <v>7.401410761154855</v>
      </c>
      <c r="Z1870" s="214">
        <f ca="1">+$W1870</f>
        <v>40.802828354596642</v>
      </c>
      <c r="AA1870" s="214">
        <f ca="1">+$Y1870</f>
        <v>7.401410761154855</v>
      </c>
      <c r="AB1870" s="214">
        <f ca="1">+$X1870</f>
        <v>53.999999999999972</v>
      </c>
      <c r="AC1870" s="214">
        <f ca="1">+$W1870-XOffset</f>
        <v>40.802828354596642</v>
      </c>
    </row>
    <row r="1871" spans="19:29" ht="8.4" customHeight="1">
      <c r="S1871" s="307"/>
      <c r="T1871" s="226">
        <f t="shared" si="100"/>
        <v>1868</v>
      </c>
      <c r="U1871" s="224">
        <f t="shared" si="101"/>
        <v>1</v>
      </c>
      <c r="V1871" s="225">
        <f t="shared" si="102"/>
        <v>3</v>
      </c>
      <c r="W1871" s="237">
        <f ca="1">$U1871*EWSpacingFt+XOffset+PanArrayWidthHighEndFt</f>
        <v>40.802828354596642</v>
      </c>
      <c r="X1871" s="241">
        <f ca="1">$V1871*NSSpacingFt+YOffset+PanArrayLenFt*COS(RADIANS(Latitude+DecAng))</f>
        <v>70.43963254593173</v>
      </c>
      <c r="Y1871" s="245">
        <f ca="1">+$V1871*NSGradeFt+PedHeight+PanArrayLenFt*SIN(RADIANS(Latitude+DecAng))</f>
        <v>7.401410761154855</v>
      </c>
      <c r="Z1871" s="214">
        <f ca="1">+$W1871</f>
        <v>40.802828354596642</v>
      </c>
      <c r="AA1871" s="214">
        <f ca="1">+$Y1871</f>
        <v>7.401410761154855</v>
      </c>
      <c r="AB1871" s="214">
        <f ca="1">+$X1871</f>
        <v>70.43963254593173</v>
      </c>
      <c r="AC1871" s="214">
        <f ca="1">+$W1871-XOffset</f>
        <v>40.802828354596642</v>
      </c>
    </row>
    <row r="1872" spans="19:29" ht="8.4" customHeight="1">
      <c r="S1872" s="307"/>
      <c r="T1872" s="226">
        <f t="shared" si="100"/>
        <v>1869</v>
      </c>
      <c r="U1872" s="224">
        <f t="shared" si="101"/>
        <v>1</v>
      </c>
      <c r="V1872" s="225">
        <f t="shared" si="102"/>
        <v>3</v>
      </c>
      <c r="W1872" s="238">
        <f ca="1">$U1872*EWSpacingFt+XOffset+0</f>
        <v>30.000006832286932</v>
      </c>
      <c r="X1872" s="242">
        <f ca="1">$V1872*NSSpacingFt+YOffset+PanArrayLenFt*COS(RADIANS(Latitude+DecAng))</f>
        <v>70.43963254593173</v>
      </c>
      <c r="Y1872" s="246">
        <f ca="1">+$V1872*NSGradeFt+PedHeight+PanArrayLenFt*SIN(RADIANS(Latitude+DecAng))</f>
        <v>7.401410761154855</v>
      </c>
      <c r="Z1872" s="214">
        <f ca="1">+$W1872</f>
        <v>30.000006832286932</v>
      </c>
      <c r="AA1872" s="214">
        <f ca="1">+$Y1872</f>
        <v>7.401410761154855</v>
      </c>
      <c r="AB1872" s="214">
        <f ca="1">+$X1872</f>
        <v>70.43963254593173</v>
      </c>
      <c r="AC1872" s="214">
        <f ca="1">+$W1872-XOffset</f>
        <v>30.000006832286932</v>
      </c>
    </row>
    <row r="1873" spans="19:29" ht="8.4" customHeight="1">
      <c r="S1873" s="307"/>
      <c r="T1873" s="226">
        <f t="shared" si="100"/>
        <v>1870</v>
      </c>
      <c r="U1873" s="224">
        <f t="shared" si="101"/>
        <v>1</v>
      </c>
      <c r="V1873" s="225">
        <f t="shared" si="102"/>
        <v>3</v>
      </c>
      <c r="W1873" s="239">
        <f ca="1">$U1873*EWSpacingFt+XOffset+(PanArrayWidthHighEndFt-PanArrayWidthLowEndFt)/2</f>
        <v>30.000006832286932</v>
      </c>
      <c r="X1873" s="243">
        <f ca="1">$V1873*NSSpacingFt+YOffset+0</f>
        <v>53.999999999999972</v>
      </c>
      <c r="Y1873" s="247">
        <f ca="1">+$V1873*NSGradeFt+PedHeight+0</f>
        <v>7.401410761154855</v>
      </c>
      <c r="Z1873" s="214">
        <f ca="1">+$W1873</f>
        <v>30.000006832286932</v>
      </c>
      <c r="AA1873" s="214">
        <f ca="1">+$Y1873</f>
        <v>7.401410761154855</v>
      </c>
      <c r="AB1873" s="214">
        <f ca="1">+$X1873</f>
        <v>53.999999999999972</v>
      </c>
      <c r="AC1873" s="214">
        <f ca="1">+$W1873-XOffset</f>
        <v>30.000006832286932</v>
      </c>
    </row>
    <row r="1874" spans="19:29" ht="8.4" customHeight="1">
      <c r="S1874" s="307"/>
      <c r="T1874" s="226">
        <f t="shared" si="100"/>
        <v>1871</v>
      </c>
      <c r="U1874" s="224">
        <f t="shared" si="101"/>
        <v>1</v>
      </c>
      <c r="V1874" s="225">
        <f t="shared" si="102"/>
        <v>3</v>
      </c>
      <c r="W1874" s="217"/>
      <c r="X1874" s="217"/>
      <c r="Y1874" s="217"/>
      <c r="Z1874" s="214"/>
      <c r="AA1874" s="214"/>
      <c r="AB1874" s="214"/>
      <c r="AC1874" s="214"/>
    </row>
    <row r="1875" spans="19:29" ht="8.4" customHeight="1">
      <c r="S1875" s="307">
        <f>INT((T1875-0)/6)+1</f>
        <v>313</v>
      </c>
      <c r="T1875" s="226">
        <f t="shared" si="100"/>
        <v>1872</v>
      </c>
      <c r="U1875" s="224">
        <f t="shared" si="101"/>
        <v>0</v>
      </c>
      <c r="V1875" s="225">
        <f t="shared" si="102"/>
        <v>0</v>
      </c>
      <c r="W1875" s="233">
        <f ca="1">$U1875*EWSpacingFt+XOffset+(PanArrayWidthHighEndFt-PanArrayWidthLowEndFt)/2</f>
        <v>0</v>
      </c>
      <c r="X1875" s="234">
        <f ca="1">$V1875*NSSpacingFt+YOffset+0</f>
        <v>0</v>
      </c>
      <c r="Y1875" s="235">
        <f ca="1">+$V1875*NSGradeFt+PedHeight+0</f>
        <v>7.401410761154855</v>
      </c>
      <c r="Z1875" s="214">
        <f ca="1">+$W1875</f>
        <v>0</v>
      </c>
      <c r="AA1875" s="214">
        <f ca="1">+$Y1875</f>
        <v>7.401410761154855</v>
      </c>
      <c r="AB1875" s="214">
        <f ca="1">+$X1875</f>
        <v>0</v>
      </c>
      <c r="AC1875" s="214">
        <f ca="1">+$W1875-XOffset</f>
        <v>0</v>
      </c>
    </row>
    <row r="1876" spans="19:29" ht="8.4" customHeight="1">
      <c r="S1876" s="307"/>
      <c r="T1876" s="226">
        <f t="shared" si="100"/>
        <v>1873</v>
      </c>
      <c r="U1876" s="224">
        <f t="shared" si="101"/>
        <v>0</v>
      </c>
      <c r="V1876" s="225">
        <f t="shared" si="102"/>
        <v>0</v>
      </c>
      <c r="W1876" s="236">
        <f ca="1">+$U1876*EWSpacingFt+XOffset+PanArrayWidthHighEndFt-(PanArrayWidthHighEndFt-PanArrayWidthLowEndFt)/2</f>
        <v>10.80282152230971</v>
      </c>
      <c r="X1876" s="240">
        <f ca="1">$V1876*NSSpacingFt+YOffset+0</f>
        <v>0</v>
      </c>
      <c r="Y1876" s="244">
        <f ca="1">+$V1876*NSGradeFt+PedHeight+0</f>
        <v>7.401410761154855</v>
      </c>
      <c r="Z1876" s="214">
        <f ca="1">+$W1876</f>
        <v>10.80282152230971</v>
      </c>
      <c r="AA1876" s="214">
        <f ca="1">+$Y1876</f>
        <v>7.401410761154855</v>
      </c>
      <c r="AB1876" s="214">
        <f ca="1">+$X1876</f>
        <v>0</v>
      </c>
      <c r="AC1876" s="214">
        <f ca="1">+$W1876-XOffset</f>
        <v>10.80282152230971</v>
      </c>
    </row>
    <row r="1877" spans="19:29" ht="8.4" customHeight="1">
      <c r="S1877" s="307"/>
      <c r="T1877" s="226">
        <f t="shared" si="100"/>
        <v>1874</v>
      </c>
      <c r="U1877" s="224">
        <f t="shared" si="101"/>
        <v>0</v>
      </c>
      <c r="V1877" s="225">
        <f t="shared" si="102"/>
        <v>0</v>
      </c>
      <c r="W1877" s="237">
        <f ca="1">$U1877*EWSpacingFt+XOffset+PanArrayWidthHighEndFt</f>
        <v>10.80282152230971</v>
      </c>
      <c r="X1877" s="241">
        <f ca="1">$V1877*NSSpacingFt+YOffset+PanArrayLenFt*COS(RADIANS(Latitude+DecAng))</f>
        <v>16.439632545931762</v>
      </c>
      <c r="Y1877" s="245">
        <f ca="1">+$V1877*NSGradeFt+PedHeight+PanArrayLenFt*SIN(RADIANS(Latitude+DecAng))</f>
        <v>7.401410761154855</v>
      </c>
      <c r="Z1877" s="214">
        <f ca="1">+$W1877</f>
        <v>10.80282152230971</v>
      </c>
      <c r="AA1877" s="214">
        <f ca="1">+$Y1877</f>
        <v>7.401410761154855</v>
      </c>
      <c r="AB1877" s="214">
        <f ca="1">+$X1877</f>
        <v>16.439632545931762</v>
      </c>
      <c r="AC1877" s="214">
        <f ca="1">+$W1877-XOffset</f>
        <v>10.80282152230971</v>
      </c>
    </row>
    <row r="1878" spans="19:29" ht="8.4" customHeight="1">
      <c r="S1878" s="307"/>
      <c r="T1878" s="226">
        <f t="shared" si="100"/>
        <v>1875</v>
      </c>
      <c r="U1878" s="224">
        <f t="shared" si="101"/>
        <v>0</v>
      </c>
      <c r="V1878" s="225">
        <f t="shared" si="102"/>
        <v>0</v>
      </c>
      <c r="W1878" s="238">
        <f ca="1">$U1878*EWSpacingFt+XOffset+0</f>
        <v>0</v>
      </c>
      <c r="X1878" s="242">
        <f ca="1">$V1878*NSSpacingFt+YOffset+PanArrayLenFt*COS(RADIANS(Latitude+DecAng))</f>
        <v>16.439632545931762</v>
      </c>
      <c r="Y1878" s="246">
        <f ca="1">+$V1878*NSGradeFt+PedHeight+PanArrayLenFt*SIN(RADIANS(Latitude+DecAng))</f>
        <v>7.401410761154855</v>
      </c>
      <c r="Z1878" s="214">
        <f ca="1">+$W1878</f>
        <v>0</v>
      </c>
      <c r="AA1878" s="214">
        <f ca="1">+$Y1878</f>
        <v>7.401410761154855</v>
      </c>
      <c r="AB1878" s="214">
        <f ca="1">+$X1878</f>
        <v>16.439632545931762</v>
      </c>
      <c r="AC1878" s="214">
        <f ca="1">+$W1878-XOffset</f>
        <v>0</v>
      </c>
    </row>
    <row r="1879" spans="19:29" ht="8.4" customHeight="1">
      <c r="S1879" s="307"/>
      <c r="T1879" s="226">
        <f t="shared" si="100"/>
        <v>1876</v>
      </c>
      <c r="U1879" s="224">
        <f t="shared" si="101"/>
        <v>0</v>
      </c>
      <c r="V1879" s="225">
        <f t="shared" si="102"/>
        <v>0</v>
      </c>
      <c r="W1879" s="239">
        <f ca="1">$U1879*EWSpacingFt+XOffset+(PanArrayWidthHighEndFt-PanArrayWidthLowEndFt)/2</f>
        <v>0</v>
      </c>
      <c r="X1879" s="243">
        <f ca="1">$V1879*NSSpacingFt+YOffset+0</f>
        <v>0</v>
      </c>
      <c r="Y1879" s="247">
        <f ca="1">+$V1879*NSGradeFt+PedHeight+0</f>
        <v>7.401410761154855</v>
      </c>
      <c r="Z1879" s="214">
        <f ca="1">+$W1879</f>
        <v>0</v>
      </c>
      <c r="AA1879" s="214">
        <f ca="1">+$Y1879</f>
        <v>7.401410761154855</v>
      </c>
      <c r="AB1879" s="214">
        <f ca="1">+$X1879</f>
        <v>0</v>
      </c>
      <c r="AC1879" s="214">
        <f ca="1">+$W1879-XOffset</f>
        <v>0</v>
      </c>
    </row>
    <row r="1880" spans="19:29" ht="8.4" customHeight="1">
      <c r="S1880" s="307"/>
      <c r="T1880" s="226">
        <f t="shared" si="100"/>
        <v>1877</v>
      </c>
      <c r="U1880" s="224">
        <f t="shared" si="101"/>
        <v>0</v>
      </c>
      <c r="V1880" s="225">
        <f t="shared" si="102"/>
        <v>0</v>
      </c>
      <c r="W1880" s="217"/>
      <c r="X1880" s="217"/>
      <c r="Y1880" s="217"/>
      <c r="Z1880" s="214"/>
      <c r="AA1880" s="214"/>
      <c r="AB1880" s="214"/>
      <c r="AC1880" s="214"/>
    </row>
    <row r="1881" spans="19:29" ht="8.4" customHeight="1">
      <c r="S1881" s="307">
        <f>INT((T1881-0)/6)+1</f>
        <v>314</v>
      </c>
      <c r="T1881" s="226">
        <f t="shared" si="100"/>
        <v>1878</v>
      </c>
      <c r="U1881" s="224">
        <f t="shared" si="101"/>
        <v>1</v>
      </c>
      <c r="V1881" s="225">
        <f t="shared" si="102"/>
        <v>0</v>
      </c>
      <c r="W1881" s="233">
        <f ca="1">$U1881*EWSpacingFt+XOffset+(PanArrayWidthHighEndFt-PanArrayWidthLowEndFt)/2</f>
        <v>30.000006832286932</v>
      </c>
      <c r="X1881" s="234">
        <f ca="1">$V1881*NSSpacingFt+YOffset+0</f>
        <v>0</v>
      </c>
      <c r="Y1881" s="235">
        <f ca="1">+$V1881*NSGradeFt+PedHeight+0</f>
        <v>7.401410761154855</v>
      </c>
      <c r="Z1881" s="214">
        <f ca="1">+$W1881</f>
        <v>30.000006832286932</v>
      </c>
      <c r="AA1881" s="214">
        <f ca="1">+$Y1881</f>
        <v>7.401410761154855</v>
      </c>
      <c r="AB1881" s="214">
        <f ca="1">+$X1881</f>
        <v>0</v>
      </c>
      <c r="AC1881" s="214">
        <f ca="1">+$W1881-XOffset</f>
        <v>30.000006832286932</v>
      </c>
    </row>
    <row r="1882" spans="19:29" ht="8.4" customHeight="1">
      <c r="S1882" s="307"/>
      <c r="T1882" s="226">
        <f t="shared" si="100"/>
        <v>1879</v>
      </c>
      <c r="U1882" s="224">
        <f t="shared" si="101"/>
        <v>1</v>
      </c>
      <c r="V1882" s="225">
        <f t="shared" si="102"/>
        <v>0</v>
      </c>
      <c r="W1882" s="236">
        <f ca="1">+$U1882*EWSpacingFt+XOffset+PanArrayWidthHighEndFt-(PanArrayWidthHighEndFt-PanArrayWidthLowEndFt)/2</f>
        <v>40.802828354596642</v>
      </c>
      <c r="X1882" s="240">
        <f ca="1">$V1882*NSSpacingFt+YOffset+0</f>
        <v>0</v>
      </c>
      <c r="Y1882" s="244">
        <f ca="1">+$V1882*NSGradeFt+PedHeight+0</f>
        <v>7.401410761154855</v>
      </c>
      <c r="Z1882" s="214">
        <f ca="1">+$W1882</f>
        <v>40.802828354596642</v>
      </c>
      <c r="AA1882" s="214">
        <f ca="1">+$Y1882</f>
        <v>7.401410761154855</v>
      </c>
      <c r="AB1882" s="214">
        <f ca="1">+$X1882</f>
        <v>0</v>
      </c>
      <c r="AC1882" s="214">
        <f ca="1">+$W1882-XOffset</f>
        <v>40.802828354596642</v>
      </c>
    </row>
    <row r="1883" spans="19:29" ht="8.4" customHeight="1">
      <c r="S1883" s="307"/>
      <c r="T1883" s="226">
        <f t="shared" si="100"/>
        <v>1880</v>
      </c>
      <c r="U1883" s="224">
        <f t="shared" si="101"/>
        <v>1</v>
      </c>
      <c r="V1883" s="225">
        <f t="shared" si="102"/>
        <v>0</v>
      </c>
      <c r="W1883" s="237">
        <f ca="1">$U1883*EWSpacingFt+XOffset+PanArrayWidthHighEndFt</f>
        <v>40.802828354596642</v>
      </c>
      <c r="X1883" s="241">
        <f ca="1">$V1883*NSSpacingFt+YOffset+PanArrayLenFt*COS(RADIANS(Latitude+DecAng))</f>
        <v>16.439632545931762</v>
      </c>
      <c r="Y1883" s="245">
        <f ca="1">+$V1883*NSGradeFt+PedHeight+PanArrayLenFt*SIN(RADIANS(Latitude+DecAng))</f>
        <v>7.401410761154855</v>
      </c>
      <c r="Z1883" s="214">
        <f ca="1">+$W1883</f>
        <v>40.802828354596642</v>
      </c>
      <c r="AA1883" s="214">
        <f ca="1">+$Y1883</f>
        <v>7.401410761154855</v>
      </c>
      <c r="AB1883" s="214">
        <f ca="1">+$X1883</f>
        <v>16.439632545931762</v>
      </c>
      <c r="AC1883" s="214">
        <f ca="1">+$W1883-XOffset</f>
        <v>40.802828354596642</v>
      </c>
    </row>
    <row r="1884" spans="19:29" ht="8.4" customHeight="1">
      <c r="S1884" s="307"/>
      <c r="T1884" s="226">
        <f t="shared" si="100"/>
        <v>1881</v>
      </c>
      <c r="U1884" s="224">
        <f t="shared" si="101"/>
        <v>1</v>
      </c>
      <c r="V1884" s="225">
        <f t="shared" si="102"/>
        <v>0</v>
      </c>
      <c r="W1884" s="238">
        <f ca="1">$U1884*EWSpacingFt+XOffset+0</f>
        <v>30.000006832286932</v>
      </c>
      <c r="X1884" s="242">
        <f ca="1">$V1884*NSSpacingFt+YOffset+PanArrayLenFt*COS(RADIANS(Latitude+DecAng))</f>
        <v>16.439632545931762</v>
      </c>
      <c r="Y1884" s="246">
        <f ca="1">+$V1884*NSGradeFt+PedHeight+PanArrayLenFt*SIN(RADIANS(Latitude+DecAng))</f>
        <v>7.401410761154855</v>
      </c>
      <c r="Z1884" s="214">
        <f ca="1">+$W1884</f>
        <v>30.000006832286932</v>
      </c>
      <c r="AA1884" s="214">
        <f ca="1">+$Y1884</f>
        <v>7.401410761154855</v>
      </c>
      <c r="AB1884" s="214">
        <f ca="1">+$X1884</f>
        <v>16.439632545931762</v>
      </c>
      <c r="AC1884" s="214">
        <f ca="1">+$W1884-XOffset</f>
        <v>30.000006832286932</v>
      </c>
    </row>
    <row r="1885" spans="19:29" ht="8.4" customHeight="1">
      <c r="S1885" s="307"/>
      <c r="T1885" s="226">
        <f t="shared" si="100"/>
        <v>1882</v>
      </c>
      <c r="U1885" s="224">
        <f t="shared" si="101"/>
        <v>1</v>
      </c>
      <c r="V1885" s="225">
        <f t="shared" si="102"/>
        <v>0</v>
      </c>
      <c r="W1885" s="239">
        <f ca="1">$U1885*EWSpacingFt+XOffset+(PanArrayWidthHighEndFt-PanArrayWidthLowEndFt)/2</f>
        <v>30.000006832286932</v>
      </c>
      <c r="X1885" s="243">
        <f ca="1">$V1885*NSSpacingFt+YOffset+0</f>
        <v>0</v>
      </c>
      <c r="Y1885" s="247">
        <f ca="1">+$V1885*NSGradeFt+PedHeight+0</f>
        <v>7.401410761154855</v>
      </c>
      <c r="Z1885" s="214">
        <f ca="1">+$W1885</f>
        <v>30.000006832286932</v>
      </c>
      <c r="AA1885" s="214">
        <f ca="1">+$Y1885</f>
        <v>7.401410761154855</v>
      </c>
      <c r="AB1885" s="214">
        <f ca="1">+$X1885</f>
        <v>0</v>
      </c>
      <c r="AC1885" s="214">
        <f ca="1">+$W1885-XOffset</f>
        <v>30.000006832286932</v>
      </c>
    </row>
    <row r="1886" spans="19:29" ht="8.4" customHeight="1">
      <c r="S1886" s="307"/>
      <c r="T1886" s="226">
        <f t="shared" si="100"/>
        <v>1883</v>
      </c>
      <c r="U1886" s="224">
        <f t="shared" si="101"/>
        <v>1</v>
      </c>
      <c r="V1886" s="225">
        <f t="shared" si="102"/>
        <v>0</v>
      </c>
      <c r="W1886" s="217"/>
      <c r="X1886" s="217"/>
      <c r="Y1886" s="217"/>
      <c r="Z1886" s="214"/>
      <c r="AA1886" s="214"/>
      <c r="AB1886" s="214"/>
      <c r="AC1886" s="214"/>
    </row>
    <row r="1887" spans="19:29" ht="8.4" customHeight="1">
      <c r="S1887" s="307">
        <f>INT((T1887-0)/6)+1</f>
        <v>315</v>
      </c>
      <c r="T1887" s="226">
        <f t="shared" si="100"/>
        <v>1884</v>
      </c>
      <c r="U1887" s="224">
        <f t="shared" si="101"/>
        <v>0</v>
      </c>
      <c r="V1887" s="225">
        <f t="shared" si="102"/>
        <v>1</v>
      </c>
      <c r="W1887" s="233">
        <f ca="1">$U1887*EWSpacingFt+XOffset+(PanArrayWidthHighEndFt-PanArrayWidthLowEndFt)/2</f>
        <v>0</v>
      </c>
      <c r="X1887" s="234">
        <f ca="1">$V1887*NSSpacingFt+YOffset+0</f>
        <v>17.999999999999989</v>
      </c>
      <c r="Y1887" s="235">
        <f ca="1">+$V1887*NSGradeFt+PedHeight+0</f>
        <v>7.401410761154855</v>
      </c>
      <c r="Z1887" s="214">
        <f ca="1">+$W1887</f>
        <v>0</v>
      </c>
      <c r="AA1887" s="214">
        <f ca="1">+$Y1887</f>
        <v>7.401410761154855</v>
      </c>
      <c r="AB1887" s="214">
        <f ca="1">+$X1887</f>
        <v>17.999999999999989</v>
      </c>
      <c r="AC1887" s="214">
        <f ca="1">+$W1887-XOffset</f>
        <v>0</v>
      </c>
    </row>
    <row r="1888" spans="19:29" ht="8.4" customHeight="1">
      <c r="S1888" s="307"/>
      <c r="T1888" s="226">
        <f t="shared" si="100"/>
        <v>1885</v>
      </c>
      <c r="U1888" s="224">
        <f t="shared" si="101"/>
        <v>0</v>
      </c>
      <c r="V1888" s="225">
        <f t="shared" si="102"/>
        <v>1</v>
      </c>
      <c r="W1888" s="236">
        <f ca="1">+$U1888*EWSpacingFt+XOffset+PanArrayWidthHighEndFt-(PanArrayWidthHighEndFt-PanArrayWidthLowEndFt)/2</f>
        <v>10.80282152230971</v>
      </c>
      <c r="X1888" s="240">
        <f ca="1">$V1888*NSSpacingFt+YOffset+0</f>
        <v>17.999999999999989</v>
      </c>
      <c r="Y1888" s="244">
        <f ca="1">+$V1888*NSGradeFt+PedHeight+0</f>
        <v>7.401410761154855</v>
      </c>
      <c r="Z1888" s="214">
        <f ca="1">+$W1888</f>
        <v>10.80282152230971</v>
      </c>
      <c r="AA1888" s="214">
        <f ca="1">+$Y1888</f>
        <v>7.401410761154855</v>
      </c>
      <c r="AB1888" s="214">
        <f ca="1">+$X1888</f>
        <v>17.999999999999989</v>
      </c>
      <c r="AC1888" s="214">
        <f ca="1">+$W1888-XOffset</f>
        <v>10.80282152230971</v>
      </c>
    </row>
    <row r="1889" spans="19:29" ht="8.4" customHeight="1">
      <c r="S1889" s="307"/>
      <c r="T1889" s="226">
        <f t="shared" si="100"/>
        <v>1886</v>
      </c>
      <c r="U1889" s="224">
        <f t="shared" si="101"/>
        <v>0</v>
      </c>
      <c r="V1889" s="225">
        <f t="shared" si="102"/>
        <v>1</v>
      </c>
      <c r="W1889" s="237">
        <f ca="1">$U1889*EWSpacingFt+XOffset+PanArrayWidthHighEndFt</f>
        <v>10.80282152230971</v>
      </c>
      <c r="X1889" s="241">
        <f ca="1">$V1889*NSSpacingFt+YOffset+PanArrayLenFt*COS(RADIANS(Latitude+DecAng))</f>
        <v>34.439632545931751</v>
      </c>
      <c r="Y1889" s="245">
        <f ca="1">+$V1889*NSGradeFt+PedHeight+PanArrayLenFt*SIN(RADIANS(Latitude+DecAng))</f>
        <v>7.401410761154855</v>
      </c>
      <c r="Z1889" s="214">
        <f ca="1">+$W1889</f>
        <v>10.80282152230971</v>
      </c>
      <c r="AA1889" s="214">
        <f ca="1">+$Y1889</f>
        <v>7.401410761154855</v>
      </c>
      <c r="AB1889" s="214">
        <f ca="1">+$X1889</f>
        <v>34.439632545931751</v>
      </c>
      <c r="AC1889" s="214">
        <f ca="1">+$W1889-XOffset</f>
        <v>10.80282152230971</v>
      </c>
    </row>
    <row r="1890" spans="19:29" ht="8.4" customHeight="1">
      <c r="S1890" s="307"/>
      <c r="T1890" s="226">
        <f t="shared" si="100"/>
        <v>1887</v>
      </c>
      <c r="U1890" s="224">
        <f t="shared" si="101"/>
        <v>0</v>
      </c>
      <c r="V1890" s="225">
        <f t="shared" si="102"/>
        <v>1</v>
      </c>
      <c r="W1890" s="238">
        <f ca="1">$U1890*EWSpacingFt+XOffset+0</f>
        <v>0</v>
      </c>
      <c r="X1890" s="242">
        <f ca="1">$V1890*NSSpacingFt+YOffset+PanArrayLenFt*COS(RADIANS(Latitude+DecAng))</f>
        <v>34.439632545931751</v>
      </c>
      <c r="Y1890" s="246">
        <f ca="1">+$V1890*NSGradeFt+PedHeight+PanArrayLenFt*SIN(RADIANS(Latitude+DecAng))</f>
        <v>7.401410761154855</v>
      </c>
      <c r="Z1890" s="214">
        <f ca="1">+$W1890</f>
        <v>0</v>
      </c>
      <c r="AA1890" s="214">
        <f ca="1">+$Y1890</f>
        <v>7.401410761154855</v>
      </c>
      <c r="AB1890" s="214">
        <f ca="1">+$X1890</f>
        <v>34.439632545931751</v>
      </c>
      <c r="AC1890" s="214">
        <f ca="1">+$W1890-XOffset</f>
        <v>0</v>
      </c>
    </row>
    <row r="1891" spans="19:29" ht="8.4" customHeight="1">
      <c r="S1891" s="307"/>
      <c r="T1891" s="226">
        <f t="shared" si="100"/>
        <v>1888</v>
      </c>
      <c r="U1891" s="224">
        <f t="shared" si="101"/>
        <v>0</v>
      </c>
      <c r="V1891" s="225">
        <f t="shared" si="102"/>
        <v>1</v>
      </c>
      <c r="W1891" s="239">
        <f ca="1">$U1891*EWSpacingFt+XOffset+(PanArrayWidthHighEndFt-PanArrayWidthLowEndFt)/2</f>
        <v>0</v>
      </c>
      <c r="X1891" s="243">
        <f ca="1">$V1891*NSSpacingFt+YOffset+0</f>
        <v>17.999999999999989</v>
      </c>
      <c r="Y1891" s="247">
        <f ca="1">+$V1891*NSGradeFt+PedHeight+0</f>
        <v>7.401410761154855</v>
      </c>
      <c r="Z1891" s="214">
        <f ca="1">+$W1891</f>
        <v>0</v>
      </c>
      <c r="AA1891" s="214">
        <f ca="1">+$Y1891</f>
        <v>7.401410761154855</v>
      </c>
      <c r="AB1891" s="214">
        <f ca="1">+$X1891</f>
        <v>17.999999999999989</v>
      </c>
      <c r="AC1891" s="214">
        <f ca="1">+$W1891-XOffset</f>
        <v>0</v>
      </c>
    </row>
    <row r="1892" spans="19:29" ht="8.4" customHeight="1">
      <c r="S1892" s="307"/>
      <c r="T1892" s="226">
        <f t="shared" si="100"/>
        <v>1889</v>
      </c>
      <c r="U1892" s="224">
        <f t="shared" si="101"/>
        <v>0</v>
      </c>
      <c r="V1892" s="225">
        <f t="shared" si="102"/>
        <v>1</v>
      </c>
      <c r="W1892" s="217"/>
      <c r="X1892" s="217"/>
      <c r="Y1892" s="217"/>
      <c r="Z1892" s="214"/>
      <c r="AA1892" s="214"/>
      <c r="AB1892" s="214"/>
      <c r="AC1892" s="214"/>
    </row>
    <row r="1893" spans="19:29" ht="8.4" customHeight="1">
      <c r="S1893" s="307">
        <f>INT((T1893-0)/6)+1</f>
        <v>316</v>
      </c>
      <c r="T1893" s="226">
        <f t="shared" ref="T1893:T1956" si="103">+T1892+1</f>
        <v>1890</v>
      </c>
      <c r="U1893" s="224">
        <f t="shared" si="101"/>
        <v>1</v>
      </c>
      <c r="V1893" s="225">
        <f t="shared" si="102"/>
        <v>1</v>
      </c>
      <c r="W1893" s="233">
        <f ca="1">$U1893*EWSpacingFt+XOffset+(PanArrayWidthHighEndFt-PanArrayWidthLowEndFt)/2</f>
        <v>30.000006832286932</v>
      </c>
      <c r="X1893" s="234">
        <f ca="1">$V1893*NSSpacingFt+YOffset+0</f>
        <v>17.999999999999989</v>
      </c>
      <c r="Y1893" s="235">
        <f ca="1">+$V1893*NSGradeFt+PedHeight+0</f>
        <v>7.401410761154855</v>
      </c>
      <c r="Z1893" s="214">
        <f ca="1">+$W1893</f>
        <v>30.000006832286932</v>
      </c>
      <c r="AA1893" s="214">
        <f ca="1">+$Y1893</f>
        <v>7.401410761154855</v>
      </c>
      <c r="AB1893" s="214">
        <f ca="1">+$X1893</f>
        <v>17.999999999999989</v>
      </c>
      <c r="AC1893" s="214">
        <f ca="1">+$W1893-XOffset</f>
        <v>30.000006832286932</v>
      </c>
    </row>
    <row r="1894" spans="19:29" ht="8.4" customHeight="1">
      <c r="S1894" s="307"/>
      <c r="T1894" s="226">
        <f t="shared" si="103"/>
        <v>1891</v>
      </c>
      <c r="U1894" s="224">
        <f t="shared" si="101"/>
        <v>1</v>
      </c>
      <c r="V1894" s="225">
        <f t="shared" si="102"/>
        <v>1</v>
      </c>
      <c r="W1894" s="236">
        <f ca="1">+$U1894*EWSpacingFt+XOffset+PanArrayWidthHighEndFt-(PanArrayWidthHighEndFt-PanArrayWidthLowEndFt)/2</f>
        <v>40.802828354596642</v>
      </c>
      <c r="X1894" s="240">
        <f ca="1">$V1894*NSSpacingFt+YOffset+0</f>
        <v>17.999999999999989</v>
      </c>
      <c r="Y1894" s="244">
        <f ca="1">+$V1894*NSGradeFt+PedHeight+0</f>
        <v>7.401410761154855</v>
      </c>
      <c r="Z1894" s="214">
        <f ca="1">+$W1894</f>
        <v>40.802828354596642</v>
      </c>
      <c r="AA1894" s="214">
        <f ca="1">+$Y1894</f>
        <v>7.401410761154855</v>
      </c>
      <c r="AB1894" s="214">
        <f ca="1">+$X1894</f>
        <v>17.999999999999989</v>
      </c>
      <c r="AC1894" s="214">
        <f ca="1">+$W1894-XOffset</f>
        <v>40.802828354596642</v>
      </c>
    </row>
    <row r="1895" spans="19:29" ht="8.4" customHeight="1">
      <c r="S1895" s="307"/>
      <c r="T1895" s="226">
        <f t="shared" si="103"/>
        <v>1892</v>
      </c>
      <c r="U1895" s="224">
        <f t="shared" si="101"/>
        <v>1</v>
      </c>
      <c r="V1895" s="225">
        <f t="shared" si="102"/>
        <v>1</v>
      </c>
      <c r="W1895" s="237">
        <f ca="1">$U1895*EWSpacingFt+XOffset+PanArrayWidthHighEndFt</f>
        <v>40.802828354596642</v>
      </c>
      <c r="X1895" s="241">
        <f ca="1">$V1895*NSSpacingFt+YOffset+PanArrayLenFt*COS(RADIANS(Latitude+DecAng))</f>
        <v>34.439632545931751</v>
      </c>
      <c r="Y1895" s="245">
        <f ca="1">+$V1895*NSGradeFt+PedHeight+PanArrayLenFt*SIN(RADIANS(Latitude+DecAng))</f>
        <v>7.401410761154855</v>
      </c>
      <c r="Z1895" s="214">
        <f ca="1">+$W1895</f>
        <v>40.802828354596642</v>
      </c>
      <c r="AA1895" s="214">
        <f ca="1">+$Y1895</f>
        <v>7.401410761154855</v>
      </c>
      <c r="AB1895" s="214">
        <f ca="1">+$X1895</f>
        <v>34.439632545931751</v>
      </c>
      <c r="AC1895" s="214">
        <f ca="1">+$W1895-XOffset</f>
        <v>40.802828354596642</v>
      </c>
    </row>
    <row r="1896" spans="19:29" ht="8.4" customHeight="1">
      <c r="S1896" s="307"/>
      <c r="T1896" s="226">
        <f t="shared" si="103"/>
        <v>1893</v>
      </c>
      <c r="U1896" s="224">
        <f t="shared" si="101"/>
        <v>1</v>
      </c>
      <c r="V1896" s="225">
        <f t="shared" si="102"/>
        <v>1</v>
      </c>
      <c r="W1896" s="238">
        <f ca="1">$U1896*EWSpacingFt+XOffset+0</f>
        <v>30.000006832286932</v>
      </c>
      <c r="X1896" s="242">
        <f ca="1">$V1896*NSSpacingFt+YOffset+PanArrayLenFt*COS(RADIANS(Latitude+DecAng))</f>
        <v>34.439632545931751</v>
      </c>
      <c r="Y1896" s="246">
        <f ca="1">+$V1896*NSGradeFt+PedHeight+PanArrayLenFt*SIN(RADIANS(Latitude+DecAng))</f>
        <v>7.401410761154855</v>
      </c>
      <c r="Z1896" s="214">
        <f ca="1">+$W1896</f>
        <v>30.000006832286932</v>
      </c>
      <c r="AA1896" s="214">
        <f ca="1">+$Y1896</f>
        <v>7.401410761154855</v>
      </c>
      <c r="AB1896" s="214">
        <f ca="1">+$X1896</f>
        <v>34.439632545931751</v>
      </c>
      <c r="AC1896" s="214">
        <f ca="1">+$W1896-XOffset</f>
        <v>30.000006832286932</v>
      </c>
    </row>
    <row r="1897" spans="19:29" ht="8.4" customHeight="1">
      <c r="S1897" s="307"/>
      <c r="T1897" s="226">
        <f t="shared" si="103"/>
        <v>1894</v>
      </c>
      <c r="U1897" s="224">
        <f t="shared" si="101"/>
        <v>1</v>
      </c>
      <c r="V1897" s="225">
        <f t="shared" si="102"/>
        <v>1</v>
      </c>
      <c r="W1897" s="239">
        <f ca="1">$U1897*EWSpacingFt+XOffset+(PanArrayWidthHighEndFt-PanArrayWidthLowEndFt)/2</f>
        <v>30.000006832286932</v>
      </c>
      <c r="X1897" s="243">
        <f ca="1">$V1897*NSSpacingFt+YOffset+0</f>
        <v>17.999999999999989</v>
      </c>
      <c r="Y1897" s="247">
        <f ca="1">+$V1897*NSGradeFt+PedHeight+0</f>
        <v>7.401410761154855</v>
      </c>
      <c r="Z1897" s="214">
        <f ca="1">+$W1897</f>
        <v>30.000006832286932</v>
      </c>
      <c r="AA1897" s="214">
        <f ca="1">+$Y1897</f>
        <v>7.401410761154855</v>
      </c>
      <c r="AB1897" s="214">
        <f ca="1">+$X1897</f>
        <v>17.999999999999989</v>
      </c>
      <c r="AC1897" s="214">
        <f ca="1">+$W1897-XOffset</f>
        <v>30.000006832286932</v>
      </c>
    </row>
    <row r="1898" spans="19:29" ht="8.4" customHeight="1">
      <c r="S1898" s="307"/>
      <c r="T1898" s="226">
        <f t="shared" si="103"/>
        <v>1895</v>
      </c>
      <c r="U1898" s="224">
        <f t="shared" si="101"/>
        <v>1</v>
      </c>
      <c r="V1898" s="225">
        <f t="shared" si="102"/>
        <v>1</v>
      </c>
      <c r="W1898" s="217"/>
      <c r="X1898" s="217"/>
      <c r="Y1898" s="217"/>
      <c r="Z1898" s="214"/>
      <c r="AA1898" s="214"/>
      <c r="AB1898" s="214"/>
      <c r="AC1898" s="214"/>
    </row>
    <row r="1899" spans="19:29" ht="8.4" customHeight="1">
      <c r="S1899" s="307">
        <f>INT((T1899-0)/6)+1</f>
        <v>317</v>
      </c>
      <c r="T1899" s="226">
        <f t="shared" si="103"/>
        <v>1896</v>
      </c>
      <c r="U1899" s="224">
        <f t="shared" si="101"/>
        <v>0</v>
      </c>
      <c r="V1899" s="225">
        <f t="shared" si="102"/>
        <v>2</v>
      </c>
      <c r="W1899" s="233">
        <f ca="1">$U1899*EWSpacingFt+XOffset+(PanArrayWidthHighEndFt-PanArrayWidthLowEndFt)/2</f>
        <v>0</v>
      </c>
      <c r="X1899" s="234">
        <f ca="1">$V1899*NSSpacingFt+YOffset+0</f>
        <v>35.999999999999979</v>
      </c>
      <c r="Y1899" s="235">
        <f ca="1">+$V1899*NSGradeFt+PedHeight+0</f>
        <v>7.401410761154855</v>
      </c>
      <c r="Z1899" s="214">
        <f ca="1">+$W1899</f>
        <v>0</v>
      </c>
      <c r="AA1899" s="214">
        <f ca="1">+$Y1899</f>
        <v>7.401410761154855</v>
      </c>
      <c r="AB1899" s="214">
        <f ca="1">+$X1899</f>
        <v>35.999999999999979</v>
      </c>
      <c r="AC1899" s="214">
        <f ca="1">+$W1899-XOffset</f>
        <v>0</v>
      </c>
    </row>
    <row r="1900" spans="19:29" ht="8.4" customHeight="1">
      <c r="S1900" s="307"/>
      <c r="T1900" s="226">
        <f t="shared" si="103"/>
        <v>1897</v>
      </c>
      <c r="U1900" s="224">
        <f t="shared" si="101"/>
        <v>0</v>
      </c>
      <c r="V1900" s="225">
        <f t="shared" si="102"/>
        <v>2</v>
      </c>
      <c r="W1900" s="236">
        <f ca="1">+$U1900*EWSpacingFt+XOffset+PanArrayWidthHighEndFt-(PanArrayWidthHighEndFt-PanArrayWidthLowEndFt)/2</f>
        <v>10.80282152230971</v>
      </c>
      <c r="X1900" s="240">
        <f ca="1">$V1900*NSSpacingFt+YOffset+0</f>
        <v>35.999999999999979</v>
      </c>
      <c r="Y1900" s="244">
        <f ca="1">+$V1900*NSGradeFt+PedHeight+0</f>
        <v>7.401410761154855</v>
      </c>
      <c r="Z1900" s="214">
        <f ca="1">+$W1900</f>
        <v>10.80282152230971</v>
      </c>
      <c r="AA1900" s="214">
        <f ca="1">+$Y1900</f>
        <v>7.401410761154855</v>
      </c>
      <c r="AB1900" s="214">
        <f ca="1">+$X1900</f>
        <v>35.999999999999979</v>
      </c>
      <c r="AC1900" s="214">
        <f ca="1">+$W1900-XOffset</f>
        <v>10.80282152230971</v>
      </c>
    </row>
    <row r="1901" spans="19:29" ht="8.4" customHeight="1">
      <c r="S1901" s="307"/>
      <c r="T1901" s="226">
        <f t="shared" si="103"/>
        <v>1898</v>
      </c>
      <c r="U1901" s="224">
        <f t="shared" si="101"/>
        <v>0</v>
      </c>
      <c r="V1901" s="225">
        <f t="shared" si="102"/>
        <v>2</v>
      </c>
      <c r="W1901" s="237">
        <f ca="1">$U1901*EWSpacingFt+XOffset+PanArrayWidthHighEndFt</f>
        <v>10.80282152230971</v>
      </c>
      <c r="X1901" s="241">
        <f ca="1">$V1901*NSSpacingFt+YOffset+PanArrayLenFt*COS(RADIANS(Latitude+DecAng))</f>
        <v>52.439632545931744</v>
      </c>
      <c r="Y1901" s="245">
        <f ca="1">+$V1901*NSGradeFt+PedHeight+PanArrayLenFt*SIN(RADIANS(Latitude+DecAng))</f>
        <v>7.401410761154855</v>
      </c>
      <c r="Z1901" s="214">
        <f ca="1">+$W1901</f>
        <v>10.80282152230971</v>
      </c>
      <c r="AA1901" s="214">
        <f ca="1">+$Y1901</f>
        <v>7.401410761154855</v>
      </c>
      <c r="AB1901" s="214">
        <f ca="1">+$X1901</f>
        <v>52.439632545931744</v>
      </c>
      <c r="AC1901" s="214">
        <f ca="1">+$W1901-XOffset</f>
        <v>10.80282152230971</v>
      </c>
    </row>
    <row r="1902" spans="19:29" ht="8.4" customHeight="1">
      <c r="S1902" s="307"/>
      <c r="T1902" s="226">
        <f t="shared" si="103"/>
        <v>1899</v>
      </c>
      <c r="U1902" s="224">
        <f t="shared" si="101"/>
        <v>0</v>
      </c>
      <c r="V1902" s="225">
        <f t="shared" si="102"/>
        <v>2</v>
      </c>
      <c r="W1902" s="238">
        <f ca="1">$U1902*EWSpacingFt+XOffset+0</f>
        <v>0</v>
      </c>
      <c r="X1902" s="242">
        <f ca="1">$V1902*NSSpacingFt+YOffset+PanArrayLenFt*COS(RADIANS(Latitude+DecAng))</f>
        <v>52.439632545931744</v>
      </c>
      <c r="Y1902" s="246">
        <f ca="1">+$V1902*NSGradeFt+PedHeight+PanArrayLenFt*SIN(RADIANS(Latitude+DecAng))</f>
        <v>7.401410761154855</v>
      </c>
      <c r="Z1902" s="214">
        <f ca="1">+$W1902</f>
        <v>0</v>
      </c>
      <c r="AA1902" s="214">
        <f ca="1">+$Y1902</f>
        <v>7.401410761154855</v>
      </c>
      <c r="AB1902" s="214">
        <f ca="1">+$X1902</f>
        <v>52.439632545931744</v>
      </c>
      <c r="AC1902" s="214">
        <f ca="1">+$W1902-XOffset</f>
        <v>0</v>
      </c>
    </row>
    <row r="1903" spans="19:29" ht="8.4" customHeight="1">
      <c r="S1903" s="307"/>
      <c r="T1903" s="226">
        <f t="shared" si="103"/>
        <v>1900</v>
      </c>
      <c r="U1903" s="224">
        <f t="shared" si="101"/>
        <v>0</v>
      </c>
      <c r="V1903" s="225">
        <f t="shared" si="102"/>
        <v>2</v>
      </c>
      <c r="W1903" s="239">
        <f ca="1">$U1903*EWSpacingFt+XOffset+(PanArrayWidthHighEndFt-PanArrayWidthLowEndFt)/2</f>
        <v>0</v>
      </c>
      <c r="X1903" s="243">
        <f ca="1">$V1903*NSSpacingFt+YOffset+0</f>
        <v>35.999999999999979</v>
      </c>
      <c r="Y1903" s="247">
        <f ca="1">+$V1903*NSGradeFt+PedHeight+0</f>
        <v>7.401410761154855</v>
      </c>
      <c r="Z1903" s="214">
        <f ca="1">+$W1903</f>
        <v>0</v>
      </c>
      <c r="AA1903" s="214">
        <f ca="1">+$Y1903</f>
        <v>7.401410761154855</v>
      </c>
      <c r="AB1903" s="214">
        <f ca="1">+$X1903</f>
        <v>35.999999999999979</v>
      </c>
      <c r="AC1903" s="214">
        <f ca="1">+$W1903-XOffset</f>
        <v>0</v>
      </c>
    </row>
    <row r="1904" spans="19:29" ht="8.4" customHeight="1">
      <c r="S1904" s="307"/>
      <c r="T1904" s="226">
        <f t="shared" si="103"/>
        <v>1901</v>
      </c>
      <c r="U1904" s="224">
        <f t="shared" si="101"/>
        <v>0</v>
      </c>
      <c r="V1904" s="225">
        <f t="shared" si="102"/>
        <v>2</v>
      </c>
      <c r="W1904" s="217"/>
      <c r="X1904" s="217"/>
      <c r="Y1904" s="217"/>
      <c r="Z1904" s="214"/>
      <c r="AA1904" s="214"/>
      <c r="AB1904" s="214"/>
      <c r="AC1904" s="214"/>
    </row>
    <row r="1905" spans="19:29" ht="8.4" customHeight="1">
      <c r="S1905" s="307">
        <f>INT((T1905-0)/6)+1</f>
        <v>318</v>
      </c>
      <c r="T1905" s="226">
        <f t="shared" si="103"/>
        <v>1902</v>
      </c>
      <c r="U1905" s="224">
        <f t="shared" si="101"/>
        <v>1</v>
      </c>
      <c r="V1905" s="225">
        <f t="shared" si="102"/>
        <v>2</v>
      </c>
      <c r="W1905" s="233">
        <f ca="1">$U1905*EWSpacingFt+XOffset+(PanArrayWidthHighEndFt-PanArrayWidthLowEndFt)/2</f>
        <v>30.000006832286932</v>
      </c>
      <c r="X1905" s="234">
        <f ca="1">$V1905*NSSpacingFt+YOffset+0</f>
        <v>35.999999999999979</v>
      </c>
      <c r="Y1905" s="235">
        <f ca="1">+$V1905*NSGradeFt+PedHeight+0</f>
        <v>7.401410761154855</v>
      </c>
      <c r="Z1905" s="214">
        <f ca="1">+$W1905</f>
        <v>30.000006832286932</v>
      </c>
      <c r="AA1905" s="214">
        <f ca="1">+$Y1905</f>
        <v>7.401410761154855</v>
      </c>
      <c r="AB1905" s="214">
        <f ca="1">+$X1905</f>
        <v>35.999999999999979</v>
      </c>
      <c r="AC1905" s="214">
        <f ca="1">+$W1905-XOffset</f>
        <v>30.000006832286932</v>
      </c>
    </row>
    <row r="1906" spans="19:29" ht="8.4" customHeight="1">
      <c r="S1906" s="307"/>
      <c r="T1906" s="226">
        <f t="shared" si="103"/>
        <v>1903</v>
      </c>
      <c r="U1906" s="224">
        <f t="shared" si="101"/>
        <v>1</v>
      </c>
      <c r="V1906" s="225">
        <f t="shared" si="102"/>
        <v>2</v>
      </c>
      <c r="W1906" s="236">
        <f ca="1">+$U1906*EWSpacingFt+XOffset+PanArrayWidthHighEndFt-(PanArrayWidthHighEndFt-PanArrayWidthLowEndFt)/2</f>
        <v>40.802828354596642</v>
      </c>
      <c r="X1906" s="240">
        <f ca="1">$V1906*NSSpacingFt+YOffset+0</f>
        <v>35.999999999999979</v>
      </c>
      <c r="Y1906" s="244">
        <f ca="1">+$V1906*NSGradeFt+PedHeight+0</f>
        <v>7.401410761154855</v>
      </c>
      <c r="Z1906" s="214">
        <f ca="1">+$W1906</f>
        <v>40.802828354596642</v>
      </c>
      <c r="AA1906" s="214">
        <f ca="1">+$Y1906</f>
        <v>7.401410761154855</v>
      </c>
      <c r="AB1906" s="214">
        <f ca="1">+$X1906</f>
        <v>35.999999999999979</v>
      </c>
      <c r="AC1906" s="214">
        <f ca="1">+$W1906-XOffset</f>
        <v>40.802828354596642</v>
      </c>
    </row>
    <row r="1907" spans="19:29" ht="8.4" customHeight="1">
      <c r="S1907" s="307"/>
      <c r="T1907" s="226">
        <f t="shared" si="103"/>
        <v>1904</v>
      </c>
      <c r="U1907" s="224">
        <f t="shared" si="101"/>
        <v>1</v>
      </c>
      <c r="V1907" s="225">
        <f t="shared" si="102"/>
        <v>2</v>
      </c>
      <c r="W1907" s="237">
        <f ca="1">$U1907*EWSpacingFt+XOffset+PanArrayWidthHighEndFt</f>
        <v>40.802828354596642</v>
      </c>
      <c r="X1907" s="241">
        <f ca="1">$V1907*NSSpacingFt+YOffset+PanArrayLenFt*COS(RADIANS(Latitude+DecAng))</f>
        <v>52.439632545931744</v>
      </c>
      <c r="Y1907" s="245">
        <f ca="1">+$V1907*NSGradeFt+PedHeight+PanArrayLenFt*SIN(RADIANS(Latitude+DecAng))</f>
        <v>7.401410761154855</v>
      </c>
      <c r="Z1907" s="214">
        <f ca="1">+$W1907</f>
        <v>40.802828354596642</v>
      </c>
      <c r="AA1907" s="214">
        <f ca="1">+$Y1907</f>
        <v>7.401410761154855</v>
      </c>
      <c r="AB1907" s="214">
        <f ca="1">+$X1907</f>
        <v>52.439632545931744</v>
      </c>
      <c r="AC1907" s="214">
        <f ca="1">+$W1907-XOffset</f>
        <v>40.802828354596642</v>
      </c>
    </row>
    <row r="1908" spans="19:29" ht="8.4" customHeight="1">
      <c r="S1908" s="307"/>
      <c r="T1908" s="226">
        <f t="shared" si="103"/>
        <v>1905</v>
      </c>
      <c r="U1908" s="224">
        <f t="shared" si="101"/>
        <v>1</v>
      </c>
      <c r="V1908" s="225">
        <f t="shared" si="102"/>
        <v>2</v>
      </c>
      <c r="W1908" s="238">
        <f ca="1">$U1908*EWSpacingFt+XOffset+0</f>
        <v>30.000006832286932</v>
      </c>
      <c r="X1908" s="242">
        <f ca="1">$V1908*NSSpacingFt+YOffset+PanArrayLenFt*COS(RADIANS(Latitude+DecAng))</f>
        <v>52.439632545931744</v>
      </c>
      <c r="Y1908" s="246">
        <f ca="1">+$V1908*NSGradeFt+PedHeight+PanArrayLenFt*SIN(RADIANS(Latitude+DecAng))</f>
        <v>7.401410761154855</v>
      </c>
      <c r="Z1908" s="214">
        <f ca="1">+$W1908</f>
        <v>30.000006832286932</v>
      </c>
      <c r="AA1908" s="214">
        <f ca="1">+$Y1908</f>
        <v>7.401410761154855</v>
      </c>
      <c r="AB1908" s="214">
        <f ca="1">+$X1908</f>
        <v>52.439632545931744</v>
      </c>
      <c r="AC1908" s="214">
        <f ca="1">+$W1908-XOffset</f>
        <v>30.000006832286932</v>
      </c>
    </row>
    <row r="1909" spans="19:29" ht="8.4" customHeight="1">
      <c r="S1909" s="307"/>
      <c r="T1909" s="226">
        <f t="shared" si="103"/>
        <v>1906</v>
      </c>
      <c r="U1909" s="224">
        <f t="shared" si="101"/>
        <v>1</v>
      </c>
      <c r="V1909" s="225">
        <f t="shared" si="102"/>
        <v>2</v>
      </c>
      <c r="W1909" s="239">
        <f ca="1">$U1909*EWSpacingFt+XOffset+(PanArrayWidthHighEndFt-PanArrayWidthLowEndFt)/2</f>
        <v>30.000006832286932</v>
      </c>
      <c r="X1909" s="243">
        <f ca="1">$V1909*NSSpacingFt+YOffset+0</f>
        <v>35.999999999999979</v>
      </c>
      <c r="Y1909" s="247">
        <f ca="1">+$V1909*NSGradeFt+PedHeight+0</f>
        <v>7.401410761154855</v>
      </c>
      <c r="Z1909" s="214">
        <f ca="1">+$W1909</f>
        <v>30.000006832286932</v>
      </c>
      <c r="AA1909" s="214">
        <f ca="1">+$Y1909</f>
        <v>7.401410761154855</v>
      </c>
      <c r="AB1909" s="214">
        <f ca="1">+$X1909</f>
        <v>35.999999999999979</v>
      </c>
      <c r="AC1909" s="214">
        <f ca="1">+$W1909-XOffset</f>
        <v>30.000006832286932</v>
      </c>
    </row>
    <row r="1910" spans="19:29" ht="8.4" customHeight="1">
      <c r="S1910" s="307"/>
      <c r="T1910" s="226">
        <f t="shared" si="103"/>
        <v>1907</v>
      </c>
      <c r="U1910" s="224">
        <f t="shared" si="101"/>
        <v>1</v>
      </c>
      <c r="V1910" s="225">
        <f t="shared" si="102"/>
        <v>2</v>
      </c>
      <c r="W1910" s="217"/>
      <c r="X1910" s="217"/>
      <c r="Y1910" s="217"/>
      <c r="Z1910" s="214"/>
      <c r="AA1910" s="214"/>
      <c r="AB1910" s="214"/>
      <c r="AC1910" s="214"/>
    </row>
    <row r="1911" spans="19:29" ht="8.4" customHeight="1">
      <c r="S1911" s="307">
        <f>INT((T1911-0)/6)+1</f>
        <v>319</v>
      </c>
      <c r="T1911" s="226">
        <f t="shared" si="103"/>
        <v>1908</v>
      </c>
      <c r="U1911" s="224">
        <f t="shared" si="101"/>
        <v>0</v>
      </c>
      <c r="V1911" s="225">
        <f t="shared" si="102"/>
        <v>3</v>
      </c>
      <c r="W1911" s="233">
        <f ca="1">$U1911*EWSpacingFt+XOffset+(PanArrayWidthHighEndFt-PanArrayWidthLowEndFt)/2</f>
        <v>0</v>
      </c>
      <c r="X1911" s="234">
        <f ca="1">$V1911*NSSpacingFt+YOffset+0</f>
        <v>53.999999999999972</v>
      </c>
      <c r="Y1911" s="235">
        <f ca="1">+$V1911*NSGradeFt+PedHeight+0</f>
        <v>7.401410761154855</v>
      </c>
      <c r="Z1911" s="214">
        <f ca="1">+$W1911</f>
        <v>0</v>
      </c>
      <c r="AA1911" s="214">
        <f ca="1">+$Y1911</f>
        <v>7.401410761154855</v>
      </c>
      <c r="AB1911" s="214">
        <f ca="1">+$X1911</f>
        <v>53.999999999999972</v>
      </c>
      <c r="AC1911" s="214">
        <f ca="1">+$W1911-XOffset</f>
        <v>0</v>
      </c>
    </row>
    <row r="1912" spans="19:29" ht="8.4" customHeight="1">
      <c r="S1912" s="307"/>
      <c r="T1912" s="226">
        <f t="shared" si="103"/>
        <v>1909</v>
      </c>
      <c r="U1912" s="224">
        <f t="shared" si="101"/>
        <v>0</v>
      </c>
      <c r="V1912" s="225">
        <f t="shared" si="102"/>
        <v>3</v>
      </c>
      <c r="W1912" s="236">
        <f ca="1">+$U1912*EWSpacingFt+XOffset+PanArrayWidthHighEndFt-(PanArrayWidthHighEndFt-PanArrayWidthLowEndFt)/2</f>
        <v>10.80282152230971</v>
      </c>
      <c r="X1912" s="240">
        <f ca="1">$V1912*NSSpacingFt+YOffset+0</f>
        <v>53.999999999999972</v>
      </c>
      <c r="Y1912" s="244">
        <f ca="1">+$V1912*NSGradeFt+PedHeight+0</f>
        <v>7.401410761154855</v>
      </c>
      <c r="Z1912" s="214">
        <f ca="1">+$W1912</f>
        <v>10.80282152230971</v>
      </c>
      <c r="AA1912" s="214">
        <f ca="1">+$Y1912</f>
        <v>7.401410761154855</v>
      </c>
      <c r="AB1912" s="214">
        <f ca="1">+$X1912</f>
        <v>53.999999999999972</v>
      </c>
      <c r="AC1912" s="214">
        <f ca="1">+$W1912-XOffset</f>
        <v>10.80282152230971</v>
      </c>
    </row>
    <row r="1913" spans="19:29" ht="8.4" customHeight="1">
      <c r="S1913" s="307"/>
      <c r="T1913" s="226">
        <f t="shared" si="103"/>
        <v>1910</v>
      </c>
      <c r="U1913" s="224">
        <f t="shared" si="101"/>
        <v>0</v>
      </c>
      <c r="V1913" s="225">
        <f t="shared" si="102"/>
        <v>3</v>
      </c>
      <c r="W1913" s="237">
        <f ca="1">$U1913*EWSpacingFt+XOffset+PanArrayWidthHighEndFt</f>
        <v>10.80282152230971</v>
      </c>
      <c r="X1913" s="241">
        <f ca="1">$V1913*NSSpacingFt+YOffset+PanArrayLenFt*COS(RADIANS(Latitude+DecAng))</f>
        <v>70.43963254593173</v>
      </c>
      <c r="Y1913" s="245">
        <f ca="1">+$V1913*NSGradeFt+PedHeight+PanArrayLenFt*SIN(RADIANS(Latitude+DecAng))</f>
        <v>7.401410761154855</v>
      </c>
      <c r="Z1913" s="214">
        <f ca="1">+$W1913</f>
        <v>10.80282152230971</v>
      </c>
      <c r="AA1913" s="214">
        <f ca="1">+$Y1913</f>
        <v>7.401410761154855</v>
      </c>
      <c r="AB1913" s="214">
        <f ca="1">+$X1913</f>
        <v>70.43963254593173</v>
      </c>
      <c r="AC1913" s="214">
        <f ca="1">+$W1913-XOffset</f>
        <v>10.80282152230971</v>
      </c>
    </row>
    <row r="1914" spans="19:29" ht="8.4" customHeight="1">
      <c r="S1914" s="307"/>
      <c r="T1914" s="226">
        <f t="shared" si="103"/>
        <v>1911</v>
      </c>
      <c r="U1914" s="224">
        <f t="shared" si="101"/>
        <v>0</v>
      </c>
      <c r="V1914" s="225">
        <f t="shared" si="102"/>
        <v>3</v>
      </c>
      <c r="W1914" s="238">
        <f ca="1">$U1914*EWSpacingFt+XOffset+0</f>
        <v>0</v>
      </c>
      <c r="X1914" s="242">
        <f ca="1">$V1914*NSSpacingFt+YOffset+PanArrayLenFt*COS(RADIANS(Latitude+DecAng))</f>
        <v>70.43963254593173</v>
      </c>
      <c r="Y1914" s="246">
        <f ca="1">+$V1914*NSGradeFt+PedHeight+PanArrayLenFt*SIN(RADIANS(Latitude+DecAng))</f>
        <v>7.401410761154855</v>
      </c>
      <c r="Z1914" s="214">
        <f ca="1">+$W1914</f>
        <v>0</v>
      </c>
      <c r="AA1914" s="214">
        <f ca="1">+$Y1914</f>
        <v>7.401410761154855</v>
      </c>
      <c r="AB1914" s="214">
        <f ca="1">+$X1914</f>
        <v>70.43963254593173</v>
      </c>
      <c r="AC1914" s="214">
        <f ca="1">+$W1914-XOffset</f>
        <v>0</v>
      </c>
    </row>
    <row r="1915" spans="19:29" ht="8.4" customHeight="1">
      <c r="S1915" s="307"/>
      <c r="T1915" s="226">
        <f t="shared" si="103"/>
        <v>1912</v>
      </c>
      <c r="U1915" s="224">
        <f t="shared" si="101"/>
        <v>0</v>
      </c>
      <c r="V1915" s="225">
        <f t="shared" si="102"/>
        <v>3</v>
      </c>
      <c r="W1915" s="239">
        <f ca="1">$U1915*EWSpacingFt+XOffset+(PanArrayWidthHighEndFt-PanArrayWidthLowEndFt)/2</f>
        <v>0</v>
      </c>
      <c r="X1915" s="243">
        <f ca="1">$V1915*NSSpacingFt+YOffset+0</f>
        <v>53.999999999999972</v>
      </c>
      <c r="Y1915" s="247">
        <f ca="1">+$V1915*NSGradeFt+PedHeight+0</f>
        <v>7.401410761154855</v>
      </c>
      <c r="Z1915" s="214">
        <f ca="1">+$W1915</f>
        <v>0</v>
      </c>
      <c r="AA1915" s="214">
        <f ca="1">+$Y1915</f>
        <v>7.401410761154855</v>
      </c>
      <c r="AB1915" s="214">
        <f ca="1">+$X1915</f>
        <v>53.999999999999972</v>
      </c>
      <c r="AC1915" s="214">
        <f ca="1">+$W1915-XOffset</f>
        <v>0</v>
      </c>
    </row>
    <row r="1916" spans="19:29" ht="8.4" customHeight="1">
      <c r="S1916" s="307"/>
      <c r="T1916" s="226">
        <f t="shared" si="103"/>
        <v>1913</v>
      </c>
      <c r="U1916" s="224">
        <f t="shared" si="101"/>
        <v>0</v>
      </c>
      <c r="V1916" s="225">
        <f t="shared" si="102"/>
        <v>3</v>
      </c>
      <c r="W1916" s="217"/>
      <c r="X1916" s="217"/>
      <c r="Y1916" s="217"/>
      <c r="Z1916" s="214"/>
      <c r="AA1916" s="214"/>
      <c r="AB1916" s="214"/>
      <c r="AC1916" s="214"/>
    </row>
    <row r="1917" spans="19:29" ht="8.4" customHeight="1">
      <c r="S1917" s="307">
        <f>INT((T1917-0)/6)+1</f>
        <v>320</v>
      </c>
      <c r="T1917" s="226">
        <f t="shared" si="103"/>
        <v>1914</v>
      </c>
      <c r="U1917" s="224">
        <f t="shared" si="101"/>
        <v>1</v>
      </c>
      <c r="V1917" s="225">
        <f t="shared" si="102"/>
        <v>3</v>
      </c>
      <c r="W1917" s="233">
        <f ca="1">$U1917*EWSpacingFt+XOffset+(PanArrayWidthHighEndFt-PanArrayWidthLowEndFt)/2</f>
        <v>30.000006832286932</v>
      </c>
      <c r="X1917" s="234">
        <f ca="1">$V1917*NSSpacingFt+YOffset+0</f>
        <v>53.999999999999972</v>
      </c>
      <c r="Y1917" s="235">
        <f ca="1">+$V1917*NSGradeFt+PedHeight+0</f>
        <v>7.401410761154855</v>
      </c>
      <c r="Z1917" s="214">
        <f ca="1">+$W1917</f>
        <v>30.000006832286932</v>
      </c>
      <c r="AA1917" s="214">
        <f ca="1">+$Y1917</f>
        <v>7.401410761154855</v>
      </c>
      <c r="AB1917" s="214">
        <f ca="1">+$X1917</f>
        <v>53.999999999999972</v>
      </c>
      <c r="AC1917" s="214">
        <f ca="1">+$W1917-XOffset</f>
        <v>30.000006832286932</v>
      </c>
    </row>
    <row r="1918" spans="19:29" ht="8.4" customHeight="1">
      <c r="S1918" s="307"/>
      <c r="T1918" s="226">
        <f t="shared" si="103"/>
        <v>1915</v>
      </c>
      <c r="U1918" s="224">
        <f t="shared" si="101"/>
        <v>1</v>
      </c>
      <c r="V1918" s="225">
        <f t="shared" si="102"/>
        <v>3</v>
      </c>
      <c r="W1918" s="236">
        <f ca="1">+$U1918*EWSpacingFt+XOffset+PanArrayWidthHighEndFt-(PanArrayWidthHighEndFt-PanArrayWidthLowEndFt)/2</f>
        <v>40.802828354596642</v>
      </c>
      <c r="X1918" s="240">
        <f ca="1">$V1918*NSSpacingFt+YOffset+0</f>
        <v>53.999999999999972</v>
      </c>
      <c r="Y1918" s="244">
        <f ca="1">+$V1918*NSGradeFt+PedHeight+0</f>
        <v>7.401410761154855</v>
      </c>
      <c r="Z1918" s="214">
        <f ca="1">+$W1918</f>
        <v>40.802828354596642</v>
      </c>
      <c r="AA1918" s="214">
        <f ca="1">+$Y1918</f>
        <v>7.401410761154855</v>
      </c>
      <c r="AB1918" s="214">
        <f ca="1">+$X1918</f>
        <v>53.999999999999972</v>
      </c>
      <c r="AC1918" s="214">
        <f ca="1">+$W1918-XOffset</f>
        <v>40.802828354596642</v>
      </c>
    </row>
    <row r="1919" spans="19:29" ht="8.4" customHeight="1">
      <c r="S1919" s="307"/>
      <c r="T1919" s="226">
        <f t="shared" si="103"/>
        <v>1916</v>
      </c>
      <c r="U1919" s="224">
        <f t="shared" si="101"/>
        <v>1</v>
      </c>
      <c r="V1919" s="225">
        <f t="shared" si="102"/>
        <v>3</v>
      </c>
      <c r="W1919" s="237">
        <f ca="1">$U1919*EWSpacingFt+XOffset+PanArrayWidthHighEndFt</f>
        <v>40.802828354596642</v>
      </c>
      <c r="X1919" s="241">
        <f ca="1">$V1919*NSSpacingFt+YOffset+PanArrayLenFt*COS(RADIANS(Latitude+DecAng))</f>
        <v>70.43963254593173</v>
      </c>
      <c r="Y1919" s="245">
        <f ca="1">+$V1919*NSGradeFt+PedHeight+PanArrayLenFt*SIN(RADIANS(Latitude+DecAng))</f>
        <v>7.401410761154855</v>
      </c>
      <c r="Z1919" s="214">
        <f ca="1">+$W1919</f>
        <v>40.802828354596642</v>
      </c>
      <c r="AA1919" s="214">
        <f ca="1">+$Y1919</f>
        <v>7.401410761154855</v>
      </c>
      <c r="AB1919" s="214">
        <f ca="1">+$X1919</f>
        <v>70.43963254593173</v>
      </c>
      <c r="AC1919" s="214">
        <f ca="1">+$W1919-XOffset</f>
        <v>40.802828354596642</v>
      </c>
    </row>
    <row r="1920" spans="19:29" ht="8.4" customHeight="1">
      <c r="S1920" s="307"/>
      <c r="T1920" s="226">
        <f t="shared" si="103"/>
        <v>1917</v>
      </c>
      <c r="U1920" s="224">
        <f t="shared" si="101"/>
        <v>1</v>
      </c>
      <c r="V1920" s="225">
        <f t="shared" si="102"/>
        <v>3</v>
      </c>
      <c r="W1920" s="238">
        <f ca="1">$U1920*EWSpacingFt+XOffset+0</f>
        <v>30.000006832286932</v>
      </c>
      <c r="X1920" s="242">
        <f ca="1">$V1920*NSSpacingFt+YOffset+PanArrayLenFt*COS(RADIANS(Latitude+DecAng))</f>
        <v>70.43963254593173</v>
      </c>
      <c r="Y1920" s="246">
        <f ca="1">+$V1920*NSGradeFt+PedHeight+PanArrayLenFt*SIN(RADIANS(Latitude+DecAng))</f>
        <v>7.401410761154855</v>
      </c>
      <c r="Z1920" s="214">
        <f ca="1">+$W1920</f>
        <v>30.000006832286932</v>
      </c>
      <c r="AA1920" s="214">
        <f ca="1">+$Y1920</f>
        <v>7.401410761154855</v>
      </c>
      <c r="AB1920" s="214">
        <f ca="1">+$X1920</f>
        <v>70.43963254593173</v>
      </c>
      <c r="AC1920" s="214">
        <f ca="1">+$W1920-XOffset</f>
        <v>30.000006832286932</v>
      </c>
    </row>
    <row r="1921" spans="19:29" ht="8.4" customHeight="1">
      <c r="S1921" s="307"/>
      <c r="T1921" s="226">
        <f t="shared" si="103"/>
        <v>1918</v>
      </c>
      <c r="U1921" s="224">
        <f t="shared" si="101"/>
        <v>1</v>
      </c>
      <c r="V1921" s="225">
        <f t="shared" si="102"/>
        <v>3</v>
      </c>
      <c r="W1921" s="239">
        <f ca="1">$U1921*EWSpacingFt+XOffset+(PanArrayWidthHighEndFt-PanArrayWidthLowEndFt)/2</f>
        <v>30.000006832286932</v>
      </c>
      <c r="X1921" s="243">
        <f ca="1">$V1921*NSSpacingFt+YOffset+0</f>
        <v>53.999999999999972</v>
      </c>
      <c r="Y1921" s="247">
        <f ca="1">+$V1921*NSGradeFt+PedHeight+0</f>
        <v>7.401410761154855</v>
      </c>
      <c r="Z1921" s="214">
        <f ca="1">+$W1921</f>
        <v>30.000006832286932</v>
      </c>
      <c r="AA1921" s="214">
        <f ca="1">+$Y1921</f>
        <v>7.401410761154855</v>
      </c>
      <c r="AB1921" s="214">
        <f ca="1">+$X1921</f>
        <v>53.999999999999972</v>
      </c>
      <c r="AC1921" s="214">
        <f ca="1">+$W1921-XOffset</f>
        <v>30.000006832286932</v>
      </c>
    </row>
    <row r="1922" spans="19:29" ht="8.4" customHeight="1">
      <c r="S1922" s="307"/>
      <c r="T1922" s="226">
        <f t="shared" si="103"/>
        <v>1919</v>
      </c>
      <c r="U1922" s="224">
        <f t="shared" si="101"/>
        <v>1</v>
      </c>
      <c r="V1922" s="225">
        <f t="shared" si="102"/>
        <v>3</v>
      </c>
      <c r="W1922" s="217"/>
      <c r="X1922" s="217"/>
      <c r="Y1922" s="217"/>
      <c r="Z1922" s="214"/>
      <c r="AA1922" s="214"/>
      <c r="AB1922" s="214"/>
      <c r="AC1922" s="214"/>
    </row>
    <row r="1923" spans="19:29" ht="8.4" customHeight="1">
      <c r="S1923" s="307">
        <f>INT((T1923-0)/6)+1</f>
        <v>321</v>
      </c>
      <c r="T1923" s="226">
        <f t="shared" si="103"/>
        <v>1920</v>
      </c>
      <c r="U1923" s="224">
        <f t="shared" ref="U1923:U1986" si="104">+MOD(INT(T1923/6),ColumnsOfMounts)</f>
        <v>0</v>
      </c>
      <c r="V1923" s="225">
        <f t="shared" ref="V1923:V1986" si="105">+MOD(INT(T1923/6/ColumnsOfMounts),RowsOfMounts)</f>
        <v>0</v>
      </c>
      <c r="W1923" s="233">
        <f ca="1">$U1923*EWSpacingFt+XOffset+(PanArrayWidthHighEndFt-PanArrayWidthLowEndFt)/2</f>
        <v>0</v>
      </c>
      <c r="X1923" s="234">
        <f ca="1">$V1923*NSSpacingFt+YOffset+0</f>
        <v>0</v>
      </c>
      <c r="Y1923" s="235">
        <f ca="1">+$V1923*NSGradeFt+PedHeight+0</f>
        <v>7.401410761154855</v>
      </c>
      <c r="Z1923" s="214">
        <f ca="1">+$W1923</f>
        <v>0</v>
      </c>
      <c r="AA1923" s="214">
        <f ca="1">+$Y1923</f>
        <v>7.401410761154855</v>
      </c>
      <c r="AB1923" s="214">
        <f ca="1">+$X1923</f>
        <v>0</v>
      </c>
      <c r="AC1923" s="214">
        <f ca="1">+$W1923-XOffset</f>
        <v>0</v>
      </c>
    </row>
    <row r="1924" spans="19:29" ht="8.4" customHeight="1">
      <c r="S1924" s="307"/>
      <c r="T1924" s="226">
        <f t="shared" si="103"/>
        <v>1921</v>
      </c>
      <c r="U1924" s="224">
        <f t="shared" si="104"/>
        <v>0</v>
      </c>
      <c r="V1924" s="225">
        <f t="shared" si="105"/>
        <v>0</v>
      </c>
      <c r="W1924" s="236">
        <f ca="1">+$U1924*EWSpacingFt+XOffset+PanArrayWidthHighEndFt-(PanArrayWidthHighEndFt-PanArrayWidthLowEndFt)/2</f>
        <v>10.80282152230971</v>
      </c>
      <c r="X1924" s="240">
        <f ca="1">$V1924*NSSpacingFt+YOffset+0</f>
        <v>0</v>
      </c>
      <c r="Y1924" s="244">
        <f ca="1">+$V1924*NSGradeFt+PedHeight+0</f>
        <v>7.401410761154855</v>
      </c>
      <c r="Z1924" s="214">
        <f ca="1">+$W1924</f>
        <v>10.80282152230971</v>
      </c>
      <c r="AA1924" s="214">
        <f ca="1">+$Y1924</f>
        <v>7.401410761154855</v>
      </c>
      <c r="AB1924" s="214">
        <f ca="1">+$X1924</f>
        <v>0</v>
      </c>
      <c r="AC1924" s="214">
        <f ca="1">+$W1924-XOffset</f>
        <v>10.80282152230971</v>
      </c>
    </row>
    <row r="1925" spans="19:29" ht="8.4" customHeight="1">
      <c r="S1925" s="307"/>
      <c r="T1925" s="226">
        <f t="shared" si="103"/>
        <v>1922</v>
      </c>
      <c r="U1925" s="224">
        <f t="shared" si="104"/>
        <v>0</v>
      </c>
      <c r="V1925" s="225">
        <f t="shared" si="105"/>
        <v>0</v>
      </c>
      <c r="W1925" s="237">
        <f ca="1">$U1925*EWSpacingFt+XOffset+PanArrayWidthHighEndFt</f>
        <v>10.80282152230971</v>
      </c>
      <c r="X1925" s="241">
        <f ca="1">$V1925*NSSpacingFt+YOffset+PanArrayLenFt*COS(RADIANS(Latitude+DecAng))</f>
        <v>16.439632545931762</v>
      </c>
      <c r="Y1925" s="245">
        <f ca="1">+$V1925*NSGradeFt+PedHeight+PanArrayLenFt*SIN(RADIANS(Latitude+DecAng))</f>
        <v>7.401410761154855</v>
      </c>
      <c r="Z1925" s="214">
        <f ca="1">+$W1925</f>
        <v>10.80282152230971</v>
      </c>
      <c r="AA1925" s="214">
        <f ca="1">+$Y1925</f>
        <v>7.401410761154855</v>
      </c>
      <c r="AB1925" s="214">
        <f ca="1">+$X1925</f>
        <v>16.439632545931762</v>
      </c>
      <c r="AC1925" s="214">
        <f ca="1">+$W1925-XOffset</f>
        <v>10.80282152230971</v>
      </c>
    </row>
    <row r="1926" spans="19:29" ht="8.4" customHeight="1">
      <c r="S1926" s="307"/>
      <c r="T1926" s="226">
        <f t="shared" si="103"/>
        <v>1923</v>
      </c>
      <c r="U1926" s="224">
        <f t="shared" si="104"/>
        <v>0</v>
      </c>
      <c r="V1926" s="225">
        <f t="shared" si="105"/>
        <v>0</v>
      </c>
      <c r="W1926" s="238">
        <f ca="1">$U1926*EWSpacingFt+XOffset+0</f>
        <v>0</v>
      </c>
      <c r="X1926" s="242">
        <f ca="1">$V1926*NSSpacingFt+YOffset+PanArrayLenFt*COS(RADIANS(Latitude+DecAng))</f>
        <v>16.439632545931762</v>
      </c>
      <c r="Y1926" s="246">
        <f ca="1">+$V1926*NSGradeFt+PedHeight+PanArrayLenFt*SIN(RADIANS(Latitude+DecAng))</f>
        <v>7.401410761154855</v>
      </c>
      <c r="Z1926" s="214">
        <f ca="1">+$W1926</f>
        <v>0</v>
      </c>
      <c r="AA1926" s="214">
        <f ca="1">+$Y1926</f>
        <v>7.401410761154855</v>
      </c>
      <c r="AB1926" s="214">
        <f ca="1">+$X1926</f>
        <v>16.439632545931762</v>
      </c>
      <c r="AC1926" s="214">
        <f ca="1">+$W1926-XOffset</f>
        <v>0</v>
      </c>
    </row>
    <row r="1927" spans="19:29" ht="8.4" customHeight="1">
      <c r="S1927" s="307"/>
      <c r="T1927" s="226">
        <f t="shared" si="103"/>
        <v>1924</v>
      </c>
      <c r="U1927" s="224">
        <f t="shared" si="104"/>
        <v>0</v>
      </c>
      <c r="V1927" s="225">
        <f t="shared" si="105"/>
        <v>0</v>
      </c>
      <c r="W1927" s="239">
        <f ca="1">$U1927*EWSpacingFt+XOffset+(PanArrayWidthHighEndFt-PanArrayWidthLowEndFt)/2</f>
        <v>0</v>
      </c>
      <c r="X1927" s="243">
        <f ca="1">$V1927*NSSpacingFt+YOffset+0</f>
        <v>0</v>
      </c>
      <c r="Y1927" s="247">
        <f ca="1">+$V1927*NSGradeFt+PedHeight+0</f>
        <v>7.401410761154855</v>
      </c>
      <c r="Z1927" s="214">
        <f ca="1">+$W1927</f>
        <v>0</v>
      </c>
      <c r="AA1927" s="214">
        <f ca="1">+$Y1927</f>
        <v>7.401410761154855</v>
      </c>
      <c r="AB1927" s="214">
        <f ca="1">+$X1927</f>
        <v>0</v>
      </c>
      <c r="AC1927" s="214">
        <f ca="1">+$W1927-XOffset</f>
        <v>0</v>
      </c>
    </row>
    <row r="1928" spans="19:29" ht="8.4" customHeight="1">
      <c r="S1928" s="307"/>
      <c r="T1928" s="226">
        <f t="shared" si="103"/>
        <v>1925</v>
      </c>
      <c r="U1928" s="224">
        <f t="shared" si="104"/>
        <v>0</v>
      </c>
      <c r="V1928" s="225">
        <f t="shared" si="105"/>
        <v>0</v>
      </c>
      <c r="W1928" s="217"/>
      <c r="X1928" s="217"/>
      <c r="Y1928" s="217"/>
      <c r="Z1928" s="214"/>
      <c r="AA1928" s="214"/>
      <c r="AB1928" s="214"/>
      <c r="AC1928" s="214"/>
    </row>
    <row r="1929" spans="19:29" ht="8.4" customHeight="1">
      <c r="S1929" s="307">
        <f>INT((T1929-0)/6)+1</f>
        <v>322</v>
      </c>
      <c r="T1929" s="226">
        <f t="shared" si="103"/>
        <v>1926</v>
      </c>
      <c r="U1929" s="224">
        <f t="shared" si="104"/>
        <v>1</v>
      </c>
      <c r="V1929" s="225">
        <f t="shared" si="105"/>
        <v>0</v>
      </c>
      <c r="W1929" s="233">
        <f ca="1">$U1929*EWSpacingFt+XOffset+(PanArrayWidthHighEndFt-PanArrayWidthLowEndFt)/2</f>
        <v>30.000006832286932</v>
      </c>
      <c r="X1929" s="234">
        <f ca="1">$V1929*NSSpacingFt+YOffset+0</f>
        <v>0</v>
      </c>
      <c r="Y1929" s="235">
        <f ca="1">+$V1929*NSGradeFt+PedHeight+0</f>
        <v>7.401410761154855</v>
      </c>
      <c r="Z1929" s="214">
        <f ca="1">+$W1929</f>
        <v>30.000006832286932</v>
      </c>
      <c r="AA1929" s="214">
        <f ca="1">+$Y1929</f>
        <v>7.401410761154855</v>
      </c>
      <c r="AB1929" s="214">
        <f ca="1">+$X1929</f>
        <v>0</v>
      </c>
      <c r="AC1929" s="214">
        <f ca="1">+$W1929-XOffset</f>
        <v>30.000006832286932</v>
      </c>
    </row>
    <row r="1930" spans="19:29" ht="8.4" customHeight="1">
      <c r="S1930" s="307"/>
      <c r="T1930" s="226">
        <f t="shared" si="103"/>
        <v>1927</v>
      </c>
      <c r="U1930" s="224">
        <f t="shared" si="104"/>
        <v>1</v>
      </c>
      <c r="V1930" s="225">
        <f t="shared" si="105"/>
        <v>0</v>
      </c>
      <c r="W1930" s="236">
        <f ca="1">+$U1930*EWSpacingFt+XOffset+PanArrayWidthHighEndFt-(PanArrayWidthHighEndFt-PanArrayWidthLowEndFt)/2</f>
        <v>40.802828354596642</v>
      </c>
      <c r="X1930" s="240">
        <f ca="1">$V1930*NSSpacingFt+YOffset+0</f>
        <v>0</v>
      </c>
      <c r="Y1930" s="244">
        <f ca="1">+$V1930*NSGradeFt+PedHeight+0</f>
        <v>7.401410761154855</v>
      </c>
      <c r="Z1930" s="214">
        <f ca="1">+$W1930</f>
        <v>40.802828354596642</v>
      </c>
      <c r="AA1930" s="214">
        <f ca="1">+$Y1930</f>
        <v>7.401410761154855</v>
      </c>
      <c r="AB1930" s="214">
        <f ca="1">+$X1930</f>
        <v>0</v>
      </c>
      <c r="AC1930" s="214">
        <f ca="1">+$W1930-XOffset</f>
        <v>40.802828354596642</v>
      </c>
    </row>
    <row r="1931" spans="19:29" ht="8.4" customHeight="1">
      <c r="S1931" s="307"/>
      <c r="T1931" s="226">
        <f t="shared" si="103"/>
        <v>1928</v>
      </c>
      <c r="U1931" s="224">
        <f t="shared" si="104"/>
        <v>1</v>
      </c>
      <c r="V1931" s="225">
        <f t="shared" si="105"/>
        <v>0</v>
      </c>
      <c r="W1931" s="237">
        <f ca="1">$U1931*EWSpacingFt+XOffset+PanArrayWidthHighEndFt</f>
        <v>40.802828354596642</v>
      </c>
      <c r="X1931" s="241">
        <f ca="1">$V1931*NSSpacingFt+YOffset+PanArrayLenFt*COS(RADIANS(Latitude+DecAng))</f>
        <v>16.439632545931762</v>
      </c>
      <c r="Y1931" s="245">
        <f ca="1">+$V1931*NSGradeFt+PedHeight+PanArrayLenFt*SIN(RADIANS(Latitude+DecAng))</f>
        <v>7.401410761154855</v>
      </c>
      <c r="Z1931" s="214">
        <f ca="1">+$W1931</f>
        <v>40.802828354596642</v>
      </c>
      <c r="AA1931" s="214">
        <f ca="1">+$Y1931</f>
        <v>7.401410761154855</v>
      </c>
      <c r="AB1931" s="214">
        <f ca="1">+$X1931</f>
        <v>16.439632545931762</v>
      </c>
      <c r="AC1931" s="214">
        <f ca="1">+$W1931-XOffset</f>
        <v>40.802828354596642</v>
      </c>
    </row>
    <row r="1932" spans="19:29" ht="8.4" customHeight="1">
      <c r="S1932" s="307"/>
      <c r="T1932" s="226">
        <f t="shared" si="103"/>
        <v>1929</v>
      </c>
      <c r="U1932" s="224">
        <f t="shared" si="104"/>
        <v>1</v>
      </c>
      <c r="V1932" s="225">
        <f t="shared" si="105"/>
        <v>0</v>
      </c>
      <c r="W1932" s="238">
        <f ca="1">$U1932*EWSpacingFt+XOffset+0</f>
        <v>30.000006832286932</v>
      </c>
      <c r="X1932" s="242">
        <f ca="1">$V1932*NSSpacingFt+YOffset+PanArrayLenFt*COS(RADIANS(Latitude+DecAng))</f>
        <v>16.439632545931762</v>
      </c>
      <c r="Y1932" s="246">
        <f ca="1">+$V1932*NSGradeFt+PedHeight+PanArrayLenFt*SIN(RADIANS(Latitude+DecAng))</f>
        <v>7.401410761154855</v>
      </c>
      <c r="Z1932" s="214">
        <f ca="1">+$W1932</f>
        <v>30.000006832286932</v>
      </c>
      <c r="AA1932" s="214">
        <f ca="1">+$Y1932</f>
        <v>7.401410761154855</v>
      </c>
      <c r="AB1932" s="214">
        <f ca="1">+$X1932</f>
        <v>16.439632545931762</v>
      </c>
      <c r="AC1932" s="214">
        <f ca="1">+$W1932-XOffset</f>
        <v>30.000006832286932</v>
      </c>
    </row>
    <row r="1933" spans="19:29" ht="8.4" customHeight="1">
      <c r="S1933" s="307"/>
      <c r="T1933" s="226">
        <f t="shared" si="103"/>
        <v>1930</v>
      </c>
      <c r="U1933" s="224">
        <f t="shared" si="104"/>
        <v>1</v>
      </c>
      <c r="V1933" s="225">
        <f t="shared" si="105"/>
        <v>0</v>
      </c>
      <c r="W1933" s="239">
        <f ca="1">$U1933*EWSpacingFt+XOffset+(PanArrayWidthHighEndFt-PanArrayWidthLowEndFt)/2</f>
        <v>30.000006832286932</v>
      </c>
      <c r="X1933" s="243">
        <f ca="1">$V1933*NSSpacingFt+YOffset+0</f>
        <v>0</v>
      </c>
      <c r="Y1933" s="247">
        <f ca="1">+$V1933*NSGradeFt+PedHeight+0</f>
        <v>7.401410761154855</v>
      </c>
      <c r="Z1933" s="214">
        <f ca="1">+$W1933</f>
        <v>30.000006832286932</v>
      </c>
      <c r="AA1933" s="214">
        <f ca="1">+$Y1933</f>
        <v>7.401410761154855</v>
      </c>
      <c r="AB1933" s="214">
        <f ca="1">+$X1933</f>
        <v>0</v>
      </c>
      <c r="AC1933" s="214">
        <f ca="1">+$W1933-XOffset</f>
        <v>30.000006832286932</v>
      </c>
    </row>
    <row r="1934" spans="19:29" ht="8.4" customHeight="1">
      <c r="S1934" s="307"/>
      <c r="T1934" s="226">
        <f t="shared" si="103"/>
        <v>1931</v>
      </c>
      <c r="U1934" s="224">
        <f t="shared" si="104"/>
        <v>1</v>
      </c>
      <c r="V1934" s="225">
        <f t="shared" si="105"/>
        <v>0</v>
      </c>
      <c r="W1934" s="217"/>
      <c r="X1934" s="217"/>
      <c r="Y1934" s="217"/>
      <c r="Z1934" s="214"/>
      <c r="AA1934" s="214"/>
      <c r="AB1934" s="214"/>
      <c r="AC1934" s="214"/>
    </row>
    <row r="1935" spans="19:29" ht="8.4" customHeight="1">
      <c r="S1935" s="307">
        <f>INT((T1935-0)/6)+1</f>
        <v>323</v>
      </c>
      <c r="T1935" s="226">
        <f t="shared" si="103"/>
        <v>1932</v>
      </c>
      <c r="U1935" s="224">
        <f t="shared" si="104"/>
        <v>0</v>
      </c>
      <c r="V1935" s="225">
        <f t="shared" si="105"/>
        <v>1</v>
      </c>
      <c r="W1935" s="233">
        <f ca="1">$U1935*EWSpacingFt+XOffset+(PanArrayWidthHighEndFt-PanArrayWidthLowEndFt)/2</f>
        <v>0</v>
      </c>
      <c r="X1935" s="234">
        <f ca="1">$V1935*NSSpacingFt+YOffset+0</f>
        <v>17.999999999999989</v>
      </c>
      <c r="Y1935" s="235">
        <f ca="1">+$V1935*NSGradeFt+PedHeight+0</f>
        <v>7.401410761154855</v>
      </c>
      <c r="Z1935" s="214">
        <f ca="1">+$W1935</f>
        <v>0</v>
      </c>
      <c r="AA1935" s="214">
        <f ca="1">+$Y1935</f>
        <v>7.401410761154855</v>
      </c>
      <c r="AB1935" s="214">
        <f ca="1">+$X1935</f>
        <v>17.999999999999989</v>
      </c>
      <c r="AC1935" s="214">
        <f ca="1">+$W1935-XOffset</f>
        <v>0</v>
      </c>
    </row>
    <row r="1936" spans="19:29" ht="8.4" customHeight="1">
      <c r="S1936" s="307"/>
      <c r="T1936" s="226">
        <f t="shared" si="103"/>
        <v>1933</v>
      </c>
      <c r="U1936" s="224">
        <f t="shared" si="104"/>
        <v>0</v>
      </c>
      <c r="V1936" s="225">
        <f t="shared" si="105"/>
        <v>1</v>
      </c>
      <c r="W1936" s="236">
        <f ca="1">+$U1936*EWSpacingFt+XOffset+PanArrayWidthHighEndFt-(PanArrayWidthHighEndFt-PanArrayWidthLowEndFt)/2</f>
        <v>10.80282152230971</v>
      </c>
      <c r="X1936" s="240">
        <f ca="1">$V1936*NSSpacingFt+YOffset+0</f>
        <v>17.999999999999989</v>
      </c>
      <c r="Y1936" s="244">
        <f ca="1">+$V1936*NSGradeFt+PedHeight+0</f>
        <v>7.401410761154855</v>
      </c>
      <c r="Z1936" s="214">
        <f ca="1">+$W1936</f>
        <v>10.80282152230971</v>
      </c>
      <c r="AA1936" s="214">
        <f ca="1">+$Y1936</f>
        <v>7.401410761154855</v>
      </c>
      <c r="AB1936" s="214">
        <f ca="1">+$X1936</f>
        <v>17.999999999999989</v>
      </c>
      <c r="AC1936" s="214">
        <f ca="1">+$W1936-XOffset</f>
        <v>10.80282152230971</v>
      </c>
    </row>
    <row r="1937" spans="19:29" ht="8.4" customHeight="1">
      <c r="S1937" s="307"/>
      <c r="T1937" s="226">
        <f t="shared" si="103"/>
        <v>1934</v>
      </c>
      <c r="U1937" s="224">
        <f t="shared" si="104"/>
        <v>0</v>
      </c>
      <c r="V1937" s="225">
        <f t="shared" si="105"/>
        <v>1</v>
      </c>
      <c r="W1937" s="237">
        <f ca="1">$U1937*EWSpacingFt+XOffset+PanArrayWidthHighEndFt</f>
        <v>10.80282152230971</v>
      </c>
      <c r="X1937" s="241">
        <f ca="1">$V1937*NSSpacingFt+YOffset+PanArrayLenFt*COS(RADIANS(Latitude+DecAng))</f>
        <v>34.439632545931751</v>
      </c>
      <c r="Y1937" s="245">
        <f ca="1">+$V1937*NSGradeFt+PedHeight+PanArrayLenFt*SIN(RADIANS(Latitude+DecAng))</f>
        <v>7.401410761154855</v>
      </c>
      <c r="Z1937" s="214">
        <f ca="1">+$W1937</f>
        <v>10.80282152230971</v>
      </c>
      <c r="AA1937" s="214">
        <f ca="1">+$Y1937</f>
        <v>7.401410761154855</v>
      </c>
      <c r="AB1937" s="214">
        <f ca="1">+$X1937</f>
        <v>34.439632545931751</v>
      </c>
      <c r="AC1937" s="214">
        <f ca="1">+$W1937-XOffset</f>
        <v>10.80282152230971</v>
      </c>
    </row>
    <row r="1938" spans="19:29" ht="8.4" customHeight="1">
      <c r="S1938" s="307"/>
      <c r="T1938" s="226">
        <f t="shared" si="103"/>
        <v>1935</v>
      </c>
      <c r="U1938" s="224">
        <f t="shared" si="104"/>
        <v>0</v>
      </c>
      <c r="V1938" s="225">
        <f t="shared" si="105"/>
        <v>1</v>
      </c>
      <c r="W1938" s="238">
        <f ca="1">$U1938*EWSpacingFt+XOffset+0</f>
        <v>0</v>
      </c>
      <c r="X1938" s="242">
        <f ca="1">$V1938*NSSpacingFt+YOffset+PanArrayLenFt*COS(RADIANS(Latitude+DecAng))</f>
        <v>34.439632545931751</v>
      </c>
      <c r="Y1938" s="246">
        <f ca="1">+$V1938*NSGradeFt+PedHeight+PanArrayLenFt*SIN(RADIANS(Latitude+DecAng))</f>
        <v>7.401410761154855</v>
      </c>
      <c r="Z1938" s="214">
        <f ca="1">+$W1938</f>
        <v>0</v>
      </c>
      <c r="AA1938" s="214">
        <f ca="1">+$Y1938</f>
        <v>7.401410761154855</v>
      </c>
      <c r="AB1938" s="214">
        <f ca="1">+$X1938</f>
        <v>34.439632545931751</v>
      </c>
      <c r="AC1938" s="214">
        <f ca="1">+$W1938-XOffset</f>
        <v>0</v>
      </c>
    </row>
    <row r="1939" spans="19:29" ht="8.4" customHeight="1">
      <c r="S1939" s="307"/>
      <c r="T1939" s="226">
        <f t="shared" si="103"/>
        <v>1936</v>
      </c>
      <c r="U1939" s="224">
        <f t="shared" si="104"/>
        <v>0</v>
      </c>
      <c r="V1939" s="225">
        <f t="shared" si="105"/>
        <v>1</v>
      </c>
      <c r="W1939" s="239">
        <f ca="1">$U1939*EWSpacingFt+XOffset+(PanArrayWidthHighEndFt-PanArrayWidthLowEndFt)/2</f>
        <v>0</v>
      </c>
      <c r="X1939" s="243">
        <f ca="1">$V1939*NSSpacingFt+YOffset+0</f>
        <v>17.999999999999989</v>
      </c>
      <c r="Y1939" s="247">
        <f ca="1">+$V1939*NSGradeFt+PedHeight+0</f>
        <v>7.401410761154855</v>
      </c>
      <c r="Z1939" s="214">
        <f ca="1">+$W1939</f>
        <v>0</v>
      </c>
      <c r="AA1939" s="214">
        <f ca="1">+$Y1939</f>
        <v>7.401410761154855</v>
      </c>
      <c r="AB1939" s="214">
        <f ca="1">+$X1939</f>
        <v>17.999999999999989</v>
      </c>
      <c r="AC1939" s="214">
        <f ca="1">+$W1939-XOffset</f>
        <v>0</v>
      </c>
    </row>
    <row r="1940" spans="19:29" ht="8.4" customHeight="1">
      <c r="S1940" s="307"/>
      <c r="T1940" s="226">
        <f t="shared" si="103"/>
        <v>1937</v>
      </c>
      <c r="U1940" s="224">
        <f t="shared" si="104"/>
        <v>0</v>
      </c>
      <c r="V1940" s="225">
        <f t="shared" si="105"/>
        <v>1</v>
      </c>
      <c r="W1940" s="217"/>
      <c r="X1940" s="217"/>
      <c r="Y1940" s="217"/>
      <c r="Z1940" s="214"/>
      <c r="AA1940" s="214"/>
      <c r="AB1940" s="214"/>
      <c r="AC1940" s="214"/>
    </row>
    <row r="1941" spans="19:29" ht="8.4" customHeight="1">
      <c r="S1941" s="307">
        <f>INT((T1941-0)/6)+1</f>
        <v>324</v>
      </c>
      <c r="T1941" s="226">
        <f t="shared" si="103"/>
        <v>1938</v>
      </c>
      <c r="U1941" s="224">
        <f t="shared" si="104"/>
        <v>1</v>
      </c>
      <c r="V1941" s="225">
        <f t="shared" si="105"/>
        <v>1</v>
      </c>
      <c r="W1941" s="233">
        <f ca="1">$U1941*EWSpacingFt+XOffset+(PanArrayWidthHighEndFt-PanArrayWidthLowEndFt)/2</f>
        <v>30.000006832286932</v>
      </c>
      <c r="X1941" s="234">
        <f ca="1">$V1941*NSSpacingFt+YOffset+0</f>
        <v>17.999999999999989</v>
      </c>
      <c r="Y1941" s="235">
        <f ca="1">+$V1941*NSGradeFt+PedHeight+0</f>
        <v>7.401410761154855</v>
      </c>
      <c r="Z1941" s="214">
        <f ca="1">+$W1941</f>
        <v>30.000006832286932</v>
      </c>
      <c r="AA1941" s="214">
        <f ca="1">+$Y1941</f>
        <v>7.401410761154855</v>
      </c>
      <c r="AB1941" s="214">
        <f ca="1">+$X1941</f>
        <v>17.999999999999989</v>
      </c>
      <c r="AC1941" s="214">
        <f ca="1">+$W1941-XOffset</f>
        <v>30.000006832286932</v>
      </c>
    </row>
    <row r="1942" spans="19:29" ht="8.4" customHeight="1">
      <c r="S1942" s="307"/>
      <c r="T1942" s="226">
        <f t="shared" si="103"/>
        <v>1939</v>
      </c>
      <c r="U1942" s="224">
        <f t="shared" si="104"/>
        <v>1</v>
      </c>
      <c r="V1942" s="225">
        <f t="shared" si="105"/>
        <v>1</v>
      </c>
      <c r="W1942" s="236">
        <f ca="1">+$U1942*EWSpacingFt+XOffset+PanArrayWidthHighEndFt-(PanArrayWidthHighEndFt-PanArrayWidthLowEndFt)/2</f>
        <v>40.802828354596642</v>
      </c>
      <c r="X1942" s="240">
        <f ca="1">$V1942*NSSpacingFt+YOffset+0</f>
        <v>17.999999999999989</v>
      </c>
      <c r="Y1942" s="244">
        <f ca="1">+$V1942*NSGradeFt+PedHeight+0</f>
        <v>7.401410761154855</v>
      </c>
      <c r="Z1942" s="214">
        <f ca="1">+$W1942</f>
        <v>40.802828354596642</v>
      </c>
      <c r="AA1942" s="214">
        <f ca="1">+$Y1942</f>
        <v>7.401410761154855</v>
      </c>
      <c r="AB1942" s="214">
        <f ca="1">+$X1942</f>
        <v>17.999999999999989</v>
      </c>
      <c r="AC1942" s="214">
        <f ca="1">+$W1942-XOffset</f>
        <v>40.802828354596642</v>
      </c>
    </row>
    <row r="1943" spans="19:29" ht="8.4" customHeight="1">
      <c r="S1943" s="307"/>
      <c r="T1943" s="226">
        <f t="shared" si="103"/>
        <v>1940</v>
      </c>
      <c r="U1943" s="224">
        <f t="shared" si="104"/>
        <v>1</v>
      </c>
      <c r="V1943" s="225">
        <f t="shared" si="105"/>
        <v>1</v>
      </c>
      <c r="W1943" s="237">
        <f ca="1">$U1943*EWSpacingFt+XOffset+PanArrayWidthHighEndFt</f>
        <v>40.802828354596642</v>
      </c>
      <c r="X1943" s="241">
        <f ca="1">$V1943*NSSpacingFt+YOffset+PanArrayLenFt*COS(RADIANS(Latitude+DecAng))</f>
        <v>34.439632545931751</v>
      </c>
      <c r="Y1943" s="245">
        <f ca="1">+$V1943*NSGradeFt+PedHeight+PanArrayLenFt*SIN(RADIANS(Latitude+DecAng))</f>
        <v>7.401410761154855</v>
      </c>
      <c r="Z1943" s="214">
        <f ca="1">+$W1943</f>
        <v>40.802828354596642</v>
      </c>
      <c r="AA1943" s="214">
        <f ca="1">+$Y1943</f>
        <v>7.401410761154855</v>
      </c>
      <c r="AB1943" s="214">
        <f ca="1">+$X1943</f>
        <v>34.439632545931751</v>
      </c>
      <c r="AC1943" s="214">
        <f ca="1">+$W1943-XOffset</f>
        <v>40.802828354596642</v>
      </c>
    </row>
    <row r="1944" spans="19:29" ht="8.4" customHeight="1">
      <c r="S1944" s="307"/>
      <c r="T1944" s="226">
        <f t="shared" si="103"/>
        <v>1941</v>
      </c>
      <c r="U1944" s="224">
        <f t="shared" si="104"/>
        <v>1</v>
      </c>
      <c r="V1944" s="225">
        <f t="shared" si="105"/>
        <v>1</v>
      </c>
      <c r="W1944" s="238">
        <f ca="1">$U1944*EWSpacingFt+XOffset+0</f>
        <v>30.000006832286932</v>
      </c>
      <c r="X1944" s="242">
        <f ca="1">$V1944*NSSpacingFt+YOffset+PanArrayLenFt*COS(RADIANS(Latitude+DecAng))</f>
        <v>34.439632545931751</v>
      </c>
      <c r="Y1944" s="246">
        <f ca="1">+$V1944*NSGradeFt+PedHeight+PanArrayLenFt*SIN(RADIANS(Latitude+DecAng))</f>
        <v>7.401410761154855</v>
      </c>
      <c r="Z1944" s="214">
        <f ca="1">+$W1944</f>
        <v>30.000006832286932</v>
      </c>
      <c r="AA1944" s="214">
        <f ca="1">+$Y1944</f>
        <v>7.401410761154855</v>
      </c>
      <c r="AB1944" s="214">
        <f ca="1">+$X1944</f>
        <v>34.439632545931751</v>
      </c>
      <c r="AC1944" s="214">
        <f ca="1">+$W1944-XOffset</f>
        <v>30.000006832286932</v>
      </c>
    </row>
    <row r="1945" spans="19:29" ht="8.4" customHeight="1">
      <c r="S1945" s="307"/>
      <c r="T1945" s="226">
        <f t="shared" si="103"/>
        <v>1942</v>
      </c>
      <c r="U1945" s="224">
        <f t="shared" si="104"/>
        <v>1</v>
      </c>
      <c r="V1945" s="225">
        <f t="shared" si="105"/>
        <v>1</v>
      </c>
      <c r="W1945" s="239">
        <f ca="1">$U1945*EWSpacingFt+XOffset+(PanArrayWidthHighEndFt-PanArrayWidthLowEndFt)/2</f>
        <v>30.000006832286932</v>
      </c>
      <c r="X1945" s="243">
        <f ca="1">$V1945*NSSpacingFt+YOffset+0</f>
        <v>17.999999999999989</v>
      </c>
      <c r="Y1945" s="247">
        <f ca="1">+$V1945*NSGradeFt+PedHeight+0</f>
        <v>7.401410761154855</v>
      </c>
      <c r="Z1945" s="214">
        <f ca="1">+$W1945</f>
        <v>30.000006832286932</v>
      </c>
      <c r="AA1945" s="214">
        <f ca="1">+$Y1945</f>
        <v>7.401410761154855</v>
      </c>
      <c r="AB1945" s="214">
        <f ca="1">+$X1945</f>
        <v>17.999999999999989</v>
      </c>
      <c r="AC1945" s="214">
        <f ca="1">+$W1945-XOffset</f>
        <v>30.000006832286932</v>
      </c>
    </row>
    <row r="1946" spans="19:29" ht="8.4" customHeight="1">
      <c r="S1946" s="307"/>
      <c r="T1946" s="226">
        <f t="shared" si="103"/>
        <v>1943</v>
      </c>
      <c r="U1946" s="224">
        <f t="shared" si="104"/>
        <v>1</v>
      </c>
      <c r="V1946" s="225">
        <f t="shared" si="105"/>
        <v>1</v>
      </c>
      <c r="W1946" s="217"/>
      <c r="X1946" s="217"/>
      <c r="Y1946" s="217"/>
      <c r="Z1946" s="214"/>
      <c r="AA1946" s="214"/>
      <c r="AB1946" s="214"/>
      <c r="AC1946" s="214"/>
    </row>
    <row r="1947" spans="19:29" ht="8.4" customHeight="1">
      <c r="S1947" s="307">
        <f>INT((T1947-0)/6)+1</f>
        <v>325</v>
      </c>
      <c r="T1947" s="226">
        <f t="shared" si="103"/>
        <v>1944</v>
      </c>
      <c r="U1947" s="224">
        <f t="shared" si="104"/>
        <v>0</v>
      </c>
      <c r="V1947" s="225">
        <f t="shared" si="105"/>
        <v>2</v>
      </c>
      <c r="W1947" s="233">
        <f ca="1">$U1947*EWSpacingFt+XOffset+(PanArrayWidthHighEndFt-PanArrayWidthLowEndFt)/2</f>
        <v>0</v>
      </c>
      <c r="X1947" s="234">
        <f ca="1">$V1947*NSSpacingFt+YOffset+0</f>
        <v>35.999999999999979</v>
      </c>
      <c r="Y1947" s="235">
        <f ca="1">+$V1947*NSGradeFt+PedHeight+0</f>
        <v>7.401410761154855</v>
      </c>
      <c r="Z1947" s="214">
        <f ca="1">+$W1947</f>
        <v>0</v>
      </c>
      <c r="AA1947" s="214">
        <f ca="1">+$Y1947</f>
        <v>7.401410761154855</v>
      </c>
      <c r="AB1947" s="214">
        <f ca="1">+$X1947</f>
        <v>35.999999999999979</v>
      </c>
      <c r="AC1947" s="214">
        <f ca="1">+$W1947-XOffset</f>
        <v>0</v>
      </c>
    </row>
    <row r="1948" spans="19:29" ht="8.4" customHeight="1">
      <c r="S1948" s="307"/>
      <c r="T1948" s="226">
        <f t="shared" si="103"/>
        <v>1945</v>
      </c>
      <c r="U1948" s="224">
        <f t="shared" si="104"/>
        <v>0</v>
      </c>
      <c r="V1948" s="225">
        <f t="shared" si="105"/>
        <v>2</v>
      </c>
      <c r="W1948" s="236">
        <f ca="1">+$U1948*EWSpacingFt+XOffset+PanArrayWidthHighEndFt-(PanArrayWidthHighEndFt-PanArrayWidthLowEndFt)/2</f>
        <v>10.80282152230971</v>
      </c>
      <c r="X1948" s="240">
        <f ca="1">$V1948*NSSpacingFt+YOffset+0</f>
        <v>35.999999999999979</v>
      </c>
      <c r="Y1948" s="244">
        <f ca="1">+$V1948*NSGradeFt+PedHeight+0</f>
        <v>7.401410761154855</v>
      </c>
      <c r="Z1948" s="214">
        <f ca="1">+$W1948</f>
        <v>10.80282152230971</v>
      </c>
      <c r="AA1948" s="214">
        <f ca="1">+$Y1948</f>
        <v>7.401410761154855</v>
      </c>
      <c r="AB1948" s="214">
        <f ca="1">+$X1948</f>
        <v>35.999999999999979</v>
      </c>
      <c r="AC1948" s="214">
        <f ca="1">+$W1948-XOffset</f>
        <v>10.80282152230971</v>
      </c>
    </row>
    <row r="1949" spans="19:29" ht="8.4" customHeight="1">
      <c r="S1949" s="307"/>
      <c r="T1949" s="226">
        <f t="shared" si="103"/>
        <v>1946</v>
      </c>
      <c r="U1949" s="224">
        <f t="shared" si="104"/>
        <v>0</v>
      </c>
      <c r="V1949" s="225">
        <f t="shared" si="105"/>
        <v>2</v>
      </c>
      <c r="W1949" s="237">
        <f ca="1">$U1949*EWSpacingFt+XOffset+PanArrayWidthHighEndFt</f>
        <v>10.80282152230971</v>
      </c>
      <c r="X1949" s="241">
        <f ca="1">$V1949*NSSpacingFt+YOffset+PanArrayLenFt*COS(RADIANS(Latitude+DecAng))</f>
        <v>52.439632545931744</v>
      </c>
      <c r="Y1949" s="245">
        <f ca="1">+$V1949*NSGradeFt+PedHeight+PanArrayLenFt*SIN(RADIANS(Latitude+DecAng))</f>
        <v>7.401410761154855</v>
      </c>
      <c r="Z1949" s="214">
        <f ca="1">+$W1949</f>
        <v>10.80282152230971</v>
      </c>
      <c r="AA1949" s="214">
        <f ca="1">+$Y1949</f>
        <v>7.401410761154855</v>
      </c>
      <c r="AB1949" s="214">
        <f ca="1">+$X1949</f>
        <v>52.439632545931744</v>
      </c>
      <c r="AC1949" s="214">
        <f ca="1">+$W1949-XOffset</f>
        <v>10.80282152230971</v>
      </c>
    </row>
    <row r="1950" spans="19:29" ht="8.4" customHeight="1">
      <c r="S1950" s="307"/>
      <c r="T1950" s="226">
        <f t="shared" si="103"/>
        <v>1947</v>
      </c>
      <c r="U1950" s="224">
        <f t="shared" si="104"/>
        <v>0</v>
      </c>
      <c r="V1950" s="225">
        <f t="shared" si="105"/>
        <v>2</v>
      </c>
      <c r="W1950" s="238">
        <f ca="1">$U1950*EWSpacingFt+XOffset+0</f>
        <v>0</v>
      </c>
      <c r="X1950" s="242">
        <f ca="1">$V1950*NSSpacingFt+YOffset+PanArrayLenFt*COS(RADIANS(Latitude+DecAng))</f>
        <v>52.439632545931744</v>
      </c>
      <c r="Y1950" s="246">
        <f ca="1">+$V1950*NSGradeFt+PedHeight+PanArrayLenFt*SIN(RADIANS(Latitude+DecAng))</f>
        <v>7.401410761154855</v>
      </c>
      <c r="Z1950" s="214">
        <f ca="1">+$W1950</f>
        <v>0</v>
      </c>
      <c r="AA1950" s="214">
        <f ca="1">+$Y1950</f>
        <v>7.401410761154855</v>
      </c>
      <c r="AB1950" s="214">
        <f ca="1">+$X1950</f>
        <v>52.439632545931744</v>
      </c>
      <c r="AC1950" s="214">
        <f ca="1">+$W1950-XOffset</f>
        <v>0</v>
      </c>
    </row>
    <row r="1951" spans="19:29" ht="8.4" customHeight="1">
      <c r="S1951" s="307"/>
      <c r="T1951" s="226">
        <f t="shared" si="103"/>
        <v>1948</v>
      </c>
      <c r="U1951" s="224">
        <f t="shared" si="104"/>
        <v>0</v>
      </c>
      <c r="V1951" s="225">
        <f t="shared" si="105"/>
        <v>2</v>
      </c>
      <c r="W1951" s="239">
        <f ca="1">$U1951*EWSpacingFt+XOffset+(PanArrayWidthHighEndFt-PanArrayWidthLowEndFt)/2</f>
        <v>0</v>
      </c>
      <c r="X1951" s="243">
        <f ca="1">$V1951*NSSpacingFt+YOffset+0</f>
        <v>35.999999999999979</v>
      </c>
      <c r="Y1951" s="247">
        <f ca="1">+$V1951*NSGradeFt+PedHeight+0</f>
        <v>7.401410761154855</v>
      </c>
      <c r="Z1951" s="214">
        <f ca="1">+$W1951</f>
        <v>0</v>
      </c>
      <c r="AA1951" s="214">
        <f ca="1">+$Y1951</f>
        <v>7.401410761154855</v>
      </c>
      <c r="AB1951" s="214">
        <f ca="1">+$X1951</f>
        <v>35.999999999999979</v>
      </c>
      <c r="AC1951" s="214">
        <f ca="1">+$W1951-XOffset</f>
        <v>0</v>
      </c>
    </row>
    <row r="1952" spans="19:29" ht="8.4" customHeight="1">
      <c r="S1952" s="307"/>
      <c r="T1952" s="226">
        <f t="shared" si="103"/>
        <v>1949</v>
      </c>
      <c r="U1952" s="224">
        <f t="shared" si="104"/>
        <v>0</v>
      </c>
      <c r="V1952" s="225">
        <f t="shared" si="105"/>
        <v>2</v>
      </c>
      <c r="W1952" s="217"/>
      <c r="X1952" s="217"/>
      <c r="Y1952" s="217"/>
      <c r="Z1952" s="214"/>
      <c r="AA1952" s="214"/>
      <c r="AB1952" s="214"/>
      <c r="AC1952" s="214"/>
    </row>
    <row r="1953" spans="19:29" ht="8.4" customHeight="1">
      <c r="S1953" s="307">
        <f>INT((T1953-0)/6)+1</f>
        <v>326</v>
      </c>
      <c r="T1953" s="226">
        <f t="shared" si="103"/>
        <v>1950</v>
      </c>
      <c r="U1953" s="224">
        <f t="shared" si="104"/>
        <v>1</v>
      </c>
      <c r="V1953" s="225">
        <f t="shared" si="105"/>
        <v>2</v>
      </c>
      <c r="W1953" s="233">
        <f ca="1">$U1953*EWSpacingFt+XOffset+(PanArrayWidthHighEndFt-PanArrayWidthLowEndFt)/2</f>
        <v>30.000006832286932</v>
      </c>
      <c r="X1953" s="234">
        <f ca="1">$V1953*NSSpacingFt+YOffset+0</f>
        <v>35.999999999999979</v>
      </c>
      <c r="Y1953" s="235">
        <f ca="1">+$V1953*NSGradeFt+PedHeight+0</f>
        <v>7.401410761154855</v>
      </c>
      <c r="Z1953" s="214">
        <f ca="1">+$W1953</f>
        <v>30.000006832286932</v>
      </c>
      <c r="AA1953" s="214">
        <f ca="1">+$Y1953</f>
        <v>7.401410761154855</v>
      </c>
      <c r="AB1953" s="214">
        <f ca="1">+$X1953</f>
        <v>35.999999999999979</v>
      </c>
      <c r="AC1953" s="214">
        <f ca="1">+$W1953-XOffset</f>
        <v>30.000006832286932</v>
      </c>
    </row>
    <row r="1954" spans="19:29" ht="8.4" customHeight="1">
      <c r="S1954" s="307"/>
      <c r="T1954" s="226">
        <f t="shared" si="103"/>
        <v>1951</v>
      </c>
      <c r="U1954" s="224">
        <f t="shared" si="104"/>
        <v>1</v>
      </c>
      <c r="V1954" s="225">
        <f t="shared" si="105"/>
        <v>2</v>
      </c>
      <c r="W1954" s="236">
        <f ca="1">+$U1954*EWSpacingFt+XOffset+PanArrayWidthHighEndFt-(PanArrayWidthHighEndFt-PanArrayWidthLowEndFt)/2</f>
        <v>40.802828354596642</v>
      </c>
      <c r="X1954" s="240">
        <f ca="1">$V1954*NSSpacingFt+YOffset+0</f>
        <v>35.999999999999979</v>
      </c>
      <c r="Y1954" s="244">
        <f ca="1">+$V1954*NSGradeFt+PedHeight+0</f>
        <v>7.401410761154855</v>
      </c>
      <c r="Z1954" s="214">
        <f ca="1">+$W1954</f>
        <v>40.802828354596642</v>
      </c>
      <c r="AA1954" s="214">
        <f ca="1">+$Y1954</f>
        <v>7.401410761154855</v>
      </c>
      <c r="AB1954" s="214">
        <f ca="1">+$X1954</f>
        <v>35.999999999999979</v>
      </c>
      <c r="AC1954" s="214">
        <f ca="1">+$W1954-XOffset</f>
        <v>40.802828354596642</v>
      </c>
    </row>
    <row r="1955" spans="19:29" ht="8.4" customHeight="1">
      <c r="S1955" s="307"/>
      <c r="T1955" s="226">
        <f t="shared" si="103"/>
        <v>1952</v>
      </c>
      <c r="U1955" s="224">
        <f t="shared" si="104"/>
        <v>1</v>
      </c>
      <c r="V1955" s="225">
        <f t="shared" si="105"/>
        <v>2</v>
      </c>
      <c r="W1955" s="237">
        <f ca="1">$U1955*EWSpacingFt+XOffset+PanArrayWidthHighEndFt</f>
        <v>40.802828354596642</v>
      </c>
      <c r="X1955" s="241">
        <f ca="1">$V1955*NSSpacingFt+YOffset+PanArrayLenFt*COS(RADIANS(Latitude+DecAng))</f>
        <v>52.439632545931744</v>
      </c>
      <c r="Y1955" s="245">
        <f ca="1">+$V1955*NSGradeFt+PedHeight+PanArrayLenFt*SIN(RADIANS(Latitude+DecAng))</f>
        <v>7.401410761154855</v>
      </c>
      <c r="Z1955" s="214">
        <f ca="1">+$W1955</f>
        <v>40.802828354596642</v>
      </c>
      <c r="AA1955" s="214">
        <f ca="1">+$Y1955</f>
        <v>7.401410761154855</v>
      </c>
      <c r="AB1955" s="214">
        <f ca="1">+$X1955</f>
        <v>52.439632545931744</v>
      </c>
      <c r="AC1955" s="214">
        <f ca="1">+$W1955-XOffset</f>
        <v>40.802828354596642</v>
      </c>
    </row>
    <row r="1956" spans="19:29" ht="8.4" customHeight="1">
      <c r="S1956" s="307"/>
      <c r="T1956" s="226">
        <f t="shared" si="103"/>
        <v>1953</v>
      </c>
      <c r="U1956" s="224">
        <f t="shared" si="104"/>
        <v>1</v>
      </c>
      <c r="V1956" s="225">
        <f t="shared" si="105"/>
        <v>2</v>
      </c>
      <c r="W1956" s="238">
        <f ca="1">$U1956*EWSpacingFt+XOffset+0</f>
        <v>30.000006832286932</v>
      </c>
      <c r="X1956" s="242">
        <f ca="1">$V1956*NSSpacingFt+YOffset+PanArrayLenFt*COS(RADIANS(Latitude+DecAng))</f>
        <v>52.439632545931744</v>
      </c>
      <c r="Y1956" s="246">
        <f ca="1">+$V1956*NSGradeFt+PedHeight+PanArrayLenFt*SIN(RADIANS(Latitude+DecAng))</f>
        <v>7.401410761154855</v>
      </c>
      <c r="Z1956" s="214">
        <f ca="1">+$W1956</f>
        <v>30.000006832286932</v>
      </c>
      <c r="AA1956" s="214">
        <f ca="1">+$Y1956</f>
        <v>7.401410761154855</v>
      </c>
      <c r="AB1956" s="214">
        <f ca="1">+$X1956</f>
        <v>52.439632545931744</v>
      </c>
      <c r="AC1956" s="214">
        <f ca="1">+$W1956-XOffset</f>
        <v>30.000006832286932</v>
      </c>
    </row>
    <row r="1957" spans="19:29" ht="8.4" customHeight="1">
      <c r="S1957" s="307"/>
      <c r="T1957" s="226">
        <f t="shared" ref="T1957:T2020" si="106">+T1956+1</f>
        <v>1954</v>
      </c>
      <c r="U1957" s="224">
        <f t="shared" si="104"/>
        <v>1</v>
      </c>
      <c r="V1957" s="225">
        <f t="shared" si="105"/>
        <v>2</v>
      </c>
      <c r="W1957" s="239">
        <f ca="1">$U1957*EWSpacingFt+XOffset+(PanArrayWidthHighEndFt-PanArrayWidthLowEndFt)/2</f>
        <v>30.000006832286932</v>
      </c>
      <c r="X1957" s="243">
        <f ca="1">$V1957*NSSpacingFt+YOffset+0</f>
        <v>35.999999999999979</v>
      </c>
      <c r="Y1957" s="247">
        <f ca="1">+$V1957*NSGradeFt+PedHeight+0</f>
        <v>7.401410761154855</v>
      </c>
      <c r="Z1957" s="214">
        <f ca="1">+$W1957</f>
        <v>30.000006832286932</v>
      </c>
      <c r="AA1957" s="214">
        <f ca="1">+$Y1957</f>
        <v>7.401410761154855</v>
      </c>
      <c r="AB1957" s="214">
        <f ca="1">+$X1957</f>
        <v>35.999999999999979</v>
      </c>
      <c r="AC1957" s="214">
        <f ca="1">+$W1957-XOffset</f>
        <v>30.000006832286932</v>
      </c>
    </row>
    <row r="1958" spans="19:29" ht="8.4" customHeight="1">
      <c r="S1958" s="307"/>
      <c r="T1958" s="226">
        <f t="shared" si="106"/>
        <v>1955</v>
      </c>
      <c r="U1958" s="224">
        <f t="shared" si="104"/>
        <v>1</v>
      </c>
      <c r="V1958" s="225">
        <f t="shared" si="105"/>
        <v>2</v>
      </c>
      <c r="W1958" s="217"/>
      <c r="X1958" s="217"/>
      <c r="Y1958" s="217"/>
      <c r="Z1958" s="214"/>
      <c r="AA1958" s="214"/>
      <c r="AB1958" s="214"/>
      <c r="AC1958" s="214"/>
    </row>
    <row r="1959" spans="19:29" ht="8.4" customHeight="1">
      <c r="S1959" s="307">
        <f>INT((T1959-0)/6)+1</f>
        <v>327</v>
      </c>
      <c r="T1959" s="226">
        <f t="shared" si="106"/>
        <v>1956</v>
      </c>
      <c r="U1959" s="224">
        <f t="shared" si="104"/>
        <v>0</v>
      </c>
      <c r="V1959" s="225">
        <f t="shared" si="105"/>
        <v>3</v>
      </c>
      <c r="W1959" s="233">
        <f ca="1">$U1959*EWSpacingFt+XOffset+(PanArrayWidthHighEndFt-PanArrayWidthLowEndFt)/2</f>
        <v>0</v>
      </c>
      <c r="X1959" s="234">
        <f ca="1">$V1959*NSSpacingFt+YOffset+0</f>
        <v>53.999999999999972</v>
      </c>
      <c r="Y1959" s="235">
        <f ca="1">+$V1959*NSGradeFt+PedHeight+0</f>
        <v>7.401410761154855</v>
      </c>
      <c r="Z1959" s="214">
        <f ca="1">+$W1959</f>
        <v>0</v>
      </c>
      <c r="AA1959" s="214">
        <f ca="1">+$Y1959</f>
        <v>7.401410761154855</v>
      </c>
      <c r="AB1959" s="214">
        <f ca="1">+$X1959</f>
        <v>53.999999999999972</v>
      </c>
      <c r="AC1959" s="214">
        <f ca="1">+$W1959-XOffset</f>
        <v>0</v>
      </c>
    </row>
    <row r="1960" spans="19:29" ht="8.4" customHeight="1">
      <c r="S1960" s="307"/>
      <c r="T1960" s="226">
        <f t="shared" si="106"/>
        <v>1957</v>
      </c>
      <c r="U1960" s="224">
        <f t="shared" si="104"/>
        <v>0</v>
      </c>
      <c r="V1960" s="225">
        <f t="shared" si="105"/>
        <v>3</v>
      </c>
      <c r="W1960" s="236">
        <f ca="1">+$U1960*EWSpacingFt+XOffset+PanArrayWidthHighEndFt-(PanArrayWidthHighEndFt-PanArrayWidthLowEndFt)/2</f>
        <v>10.80282152230971</v>
      </c>
      <c r="X1960" s="240">
        <f ca="1">$V1960*NSSpacingFt+YOffset+0</f>
        <v>53.999999999999972</v>
      </c>
      <c r="Y1960" s="244">
        <f ca="1">+$V1960*NSGradeFt+PedHeight+0</f>
        <v>7.401410761154855</v>
      </c>
      <c r="Z1960" s="214">
        <f ca="1">+$W1960</f>
        <v>10.80282152230971</v>
      </c>
      <c r="AA1960" s="214">
        <f ca="1">+$Y1960</f>
        <v>7.401410761154855</v>
      </c>
      <c r="AB1960" s="214">
        <f ca="1">+$X1960</f>
        <v>53.999999999999972</v>
      </c>
      <c r="AC1960" s="214">
        <f ca="1">+$W1960-XOffset</f>
        <v>10.80282152230971</v>
      </c>
    </row>
    <row r="1961" spans="19:29" ht="8.4" customHeight="1">
      <c r="S1961" s="307"/>
      <c r="T1961" s="226">
        <f t="shared" si="106"/>
        <v>1958</v>
      </c>
      <c r="U1961" s="224">
        <f t="shared" si="104"/>
        <v>0</v>
      </c>
      <c r="V1961" s="225">
        <f t="shared" si="105"/>
        <v>3</v>
      </c>
      <c r="W1961" s="237">
        <f ca="1">$U1961*EWSpacingFt+XOffset+PanArrayWidthHighEndFt</f>
        <v>10.80282152230971</v>
      </c>
      <c r="X1961" s="241">
        <f ca="1">$V1961*NSSpacingFt+YOffset+PanArrayLenFt*COS(RADIANS(Latitude+DecAng))</f>
        <v>70.43963254593173</v>
      </c>
      <c r="Y1961" s="245">
        <f ca="1">+$V1961*NSGradeFt+PedHeight+PanArrayLenFt*SIN(RADIANS(Latitude+DecAng))</f>
        <v>7.401410761154855</v>
      </c>
      <c r="Z1961" s="214">
        <f ca="1">+$W1961</f>
        <v>10.80282152230971</v>
      </c>
      <c r="AA1961" s="214">
        <f ca="1">+$Y1961</f>
        <v>7.401410761154855</v>
      </c>
      <c r="AB1961" s="214">
        <f ca="1">+$X1961</f>
        <v>70.43963254593173</v>
      </c>
      <c r="AC1961" s="214">
        <f ca="1">+$W1961-XOffset</f>
        <v>10.80282152230971</v>
      </c>
    </row>
    <row r="1962" spans="19:29" ht="8.4" customHeight="1">
      <c r="S1962" s="307"/>
      <c r="T1962" s="226">
        <f t="shared" si="106"/>
        <v>1959</v>
      </c>
      <c r="U1962" s="224">
        <f t="shared" si="104"/>
        <v>0</v>
      </c>
      <c r="V1962" s="225">
        <f t="shared" si="105"/>
        <v>3</v>
      </c>
      <c r="W1962" s="238">
        <f ca="1">$U1962*EWSpacingFt+XOffset+0</f>
        <v>0</v>
      </c>
      <c r="X1962" s="242">
        <f ca="1">$V1962*NSSpacingFt+YOffset+PanArrayLenFt*COS(RADIANS(Latitude+DecAng))</f>
        <v>70.43963254593173</v>
      </c>
      <c r="Y1962" s="246">
        <f ca="1">+$V1962*NSGradeFt+PedHeight+PanArrayLenFt*SIN(RADIANS(Latitude+DecAng))</f>
        <v>7.401410761154855</v>
      </c>
      <c r="Z1962" s="214">
        <f ca="1">+$W1962</f>
        <v>0</v>
      </c>
      <c r="AA1962" s="214">
        <f ca="1">+$Y1962</f>
        <v>7.401410761154855</v>
      </c>
      <c r="AB1962" s="214">
        <f ca="1">+$X1962</f>
        <v>70.43963254593173</v>
      </c>
      <c r="AC1962" s="214">
        <f ca="1">+$W1962-XOffset</f>
        <v>0</v>
      </c>
    </row>
    <row r="1963" spans="19:29" ht="8.4" customHeight="1">
      <c r="S1963" s="307"/>
      <c r="T1963" s="226">
        <f t="shared" si="106"/>
        <v>1960</v>
      </c>
      <c r="U1963" s="224">
        <f t="shared" si="104"/>
        <v>0</v>
      </c>
      <c r="V1963" s="225">
        <f t="shared" si="105"/>
        <v>3</v>
      </c>
      <c r="W1963" s="239">
        <f ca="1">$U1963*EWSpacingFt+XOffset+(PanArrayWidthHighEndFt-PanArrayWidthLowEndFt)/2</f>
        <v>0</v>
      </c>
      <c r="X1963" s="243">
        <f ca="1">$V1963*NSSpacingFt+YOffset+0</f>
        <v>53.999999999999972</v>
      </c>
      <c r="Y1963" s="247">
        <f ca="1">+$V1963*NSGradeFt+PedHeight+0</f>
        <v>7.401410761154855</v>
      </c>
      <c r="Z1963" s="214">
        <f ca="1">+$W1963</f>
        <v>0</v>
      </c>
      <c r="AA1963" s="214">
        <f ca="1">+$Y1963</f>
        <v>7.401410761154855</v>
      </c>
      <c r="AB1963" s="214">
        <f ca="1">+$X1963</f>
        <v>53.999999999999972</v>
      </c>
      <c r="AC1963" s="214">
        <f ca="1">+$W1963-XOffset</f>
        <v>0</v>
      </c>
    </row>
    <row r="1964" spans="19:29" ht="8.4" customHeight="1">
      <c r="S1964" s="307"/>
      <c r="T1964" s="226">
        <f t="shared" si="106"/>
        <v>1961</v>
      </c>
      <c r="U1964" s="224">
        <f t="shared" si="104"/>
        <v>0</v>
      </c>
      <c r="V1964" s="225">
        <f t="shared" si="105"/>
        <v>3</v>
      </c>
      <c r="W1964" s="217"/>
      <c r="X1964" s="217"/>
      <c r="Y1964" s="217"/>
      <c r="Z1964" s="214"/>
      <c r="AA1964" s="214"/>
      <c r="AB1964" s="214"/>
      <c r="AC1964" s="214"/>
    </row>
    <row r="1965" spans="19:29" ht="8.4" customHeight="1">
      <c r="S1965" s="307">
        <f>INT((T1965-0)/6)+1</f>
        <v>328</v>
      </c>
      <c r="T1965" s="226">
        <f t="shared" si="106"/>
        <v>1962</v>
      </c>
      <c r="U1965" s="224">
        <f t="shared" si="104"/>
        <v>1</v>
      </c>
      <c r="V1965" s="225">
        <f t="shared" si="105"/>
        <v>3</v>
      </c>
      <c r="W1965" s="233">
        <f ca="1">$U1965*EWSpacingFt+XOffset+(PanArrayWidthHighEndFt-PanArrayWidthLowEndFt)/2</f>
        <v>30.000006832286932</v>
      </c>
      <c r="X1965" s="234">
        <f ca="1">$V1965*NSSpacingFt+YOffset+0</f>
        <v>53.999999999999972</v>
      </c>
      <c r="Y1965" s="235">
        <f ca="1">+$V1965*NSGradeFt+PedHeight+0</f>
        <v>7.401410761154855</v>
      </c>
      <c r="Z1965" s="214">
        <f ca="1">+$W1965</f>
        <v>30.000006832286932</v>
      </c>
      <c r="AA1965" s="214">
        <f ca="1">+$Y1965</f>
        <v>7.401410761154855</v>
      </c>
      <c r="AB1965" s="214">
        <f ca="1">+$X1965</f>
        <v>53.999999999999972</v>
      </c>
      <c r="AC1965" s="214">
        <f ca="1">+$W1965-XOffset</f>
        <v>30.000006832286932</v>
      </c>
    </row>
    <row r="1966" spans="19:29" ht="8.4" customHeight="1">
      <c r="S1966" s="307"/>
      <c r="T1966" s="226">
        <f t="shared" si="106"/>
        <v>1963</v>
      </c>
      <c r="U1966" s="224">
        <f t="shared" si="104"/>
        <v>1</v>
      </c>
      <c r="V1966" s="225">
        <f t="shared" si="105"/>
        <v>3</v>
      </c>
      <c r="W1966" s="236">
        <f ca="1">+$U1966*EWSpacingFt+XOffset+PanArrayWidthHighEndFt-(PanArrayWidthHighEndFt-PanArrayWidthLowEndFt)/2</f>
        <v>40.802828354596642</v>
      </c>
      <c r="X1966" s="240">
        <f ca="1">$V1966*NSSpacingFt+YOffset+0</f>
        <v>53.999999999999972</v>
      </c>
      <c r="Y1966" s="244">
        <f ca="1">+$V1966*NSGradeFt+PedHeight+0</f>
        <v>7.401410761154855</v>
      </c>
      <c r="Z1966" s="214">
        <f ca="1">+$W1966</f>
        <v>40.802828354596642</v>
      </c>
      <c r="AA1966" s="214">
        <f ca="1">+$Y1966</f>
        <v>7.401410761154855</v>
      </c>
      <c r="AB1966" s="214">
        <f ca="1">+$X1966</f>
        <v>53.999999999999972</v>
      </c>
      <c r="AC1966" s="214">
        <f ca="1">+$W1966-XOffset</f>
        <v>40.802828354596642</v>
      </c>
    </row>
    <row r="1967" spans="19:29" ht="8.4" customHeight="1">
      <c r="S1967" s="307"/>
      <c r="T1967" s="226">
        <f t="shared" si="106"/>
        <v>1964</v>
      </c>
      <c r="U1967" s="224">
        <f t="shared" si="104"/>
        <v>1</v>
      </c>
      <c r="V1967" s="225">
        <f t="shared" si="105"/>
        <v>3</v>
      </c>
      <c r="W1967" s="237">
        <f ca="1">$U1967*EWSpacingFt+XOffset+PanArrayWidthHighEndFt</f>
        <v>40.802828354596642</v>
      </c>
      <c r="X1967" s="241">
        <f ca="1">$V1967*NSSpacingFt+YOffset+PanArrayLenFt*COS(RADIANS(Latitude+DecAng))</f>
        <v>70.43963254593173</v>
      </c>
      <c r="Y1967" s="245">
        <f ca="1">+$V1967*NSGradeFt+PedHeight+PanArrayLenFt*SIN(RADIANS(Latitude+DecAng))</f>
        <v>7.401410761154855</v>
      </c>
      <c r="Z1967" s="214">
        <f ca="1">+$W1967</f>
        <v>40.802828354596642</v>
      </c>
      <c r="AA1967" s="214">
        <f ca="1">+$Y1967</f>
        <v>7.401410761154855</v>
      </c>
      <c r="AB1967" s="214">
        <f ca="1">+$X1967</f>
        <v>70.43963254593173</v>
      </c>
      <c r="AC1967" s="214">
        <f ca="1">+$W1967-XOffset</f>
        <v>40.802828354596642</v>
      </c>
    </row>
    <row r="1968" spans="19:29" ht="8.4" customHeight="1">
      <c r="S1968" s="307"/>
      <c r="T1968" s="226">
        <f t="shared" si="106"/>
        <v>1965</v>
      </c>
      <c r="U1968" s="224">
        <f t="shared" si="104"/>
        <v>1</v>
      </c>
      <c r="V1968" s="225">
        <f t="shared" si="105"/>
        <v>3</v>
      </c>
      <c r="W1968" s="238">
        <f ca="1">$U1968*EWSpacingFt+XOffset+0</f>
        <v>30.000006832286932</v>
      </c>
      <c r="X1968" s="242">
        <f ca="1">$V1968*NSSpacingFt+YOffset+PanArrayLenFt*COS(RADIANS(Latitude+DecAng))</f>
        <v>70.43963254593173</v>
      </c>
      <c r="Y1968" s="246">
        <f ca="1">+$V1968*NSGradeFt+PedHeight+PanArrayLenFt*SIN(RADIANS(Latitude+DecAng))</f>
        <v>7.401410761154855</v>
      </c>
      <c r="Z1968" s="214">
        <f ca="1">+$W1968</f>
        <v>30.000006832286932</v>
      </c>
      <c r="AA1968" s="214">
        <f ca="1">+$Y1968</f>
        <v>7.401410761154855</v>
      </c>
      <c r="AB1968" s="214">
        <f ca="1">+$X1968</f>
        <v>70.43963254593173</v>
      </c>
      <c r="AC1968" s="214">
        <f ca="1">+$W1968-XOffset</f>
        <v>30.000006832286932</v>
      </c>
    </row>
    <row r="1969" spans="19:29" ht="8.4" customHeight="1">
      <c r="S1969" s="307"/>
      <c r="T1969" s="226">
        <f t="shared" si="106"/>
        <v>1966</v>
      </c>
      <c r="U1969" s="224">
        <f t="shared" si="104"/>
        <v>1</v>
      </c>
      <c r="V1969" s="225">
        <f t="shared" si="105"/>
        <v>3</v>
      </c>
      <c r="W1969" s="239">
        <f ca="1">$U1969*EWSpacingFt+XOffset+(PanArrayWidthHighEndFt-PanArrayWidthLowEndFt)/2</f>
        <v>30.000006832286932</v>
      </c>
      <c r="X1969" s="243">
        <f ca="1">$V1969*NSSpacingFt+YOffset+0</f>
        <v>53.999999999999972</v>
      </c>
      <c r="Y1969" s="247">
        <f ca="1">+$V1969*NSGradeFt+PedHeight+0</f>
        <v>7.401410761154855</v>
      </c>
      <c r="Z1969" s="214">
        <f ca="1">+$W1969</f>
        <v>30.000006832286932</v>
      </c>
      <c r="AA1969" s="214">
        <f ca="1">+$Y1969</f>
        <v>7.401410761154855</v>
      </c>
      <c r="AB1969" s="214">
        <f ca="1">+$X1969</f>
        <v>53.999999999999972</v>
      </c>
      <c r="AC1969" s="214">
        <f ca="1">+$W1969-XOffset</f>
        <v>30.000006832286932</v>
      </c>
    </row>
    <row r="1970" spans="19:29" ht="8.4" customHeight="1">
      <c r="S1970" s="307"/>
      <c r="T1970" s="226">
        <f t="shared" si="106"/>
        <v>1967</v>
      </c>
      <c r="U1970" s="224">
        <f t="shared" si="104"/>
        <v>1</v>
      </c>
      <c r="V1970" s="225">
        <f t="shared" si="105"/>
        <v>3</v>
      </c>
      <c r="W1970" s="217"/>
      <c r="X1970" s="217"/>
      <c r="Y1970" s="217"/>
      <c r="Z1970" s="214"/>
      <c r="AA1970" s="214"/>
      <c r="AB1970" s="214"/>
      <c r="AC1970" s="214"/>
    </row>
    <row r="1971" spans="19:29" ht="8.4" customHeight="1">
      <c r="S1971" s="307">
        <f>INT((T1971-0)/6)+1</f>
        <v>329</v>
      </c>
      <c r="T1971" s="226">
        <f t="shared" si="106"/>
        <v>1968</v>
      </c>
      <c r="U1971" s="224">
        <f t="shared" si="104"/>
        <v>0</v>
      </c>
      <c r="V1971" s="225">
        <f t="shared" si="105"/>
        <v>0</v>
      </c>
      <c r="W1971" s="233">
        <f ca="1">$U1971*EWSpacingFt+XOffset+(PanArrayWidthHighEndFt-PanArrayWidthLowEndFt)/2</f>
        <v>0</v>
      </c>
      <c r="X1971" s="234">
        <f ca="1">$V1971*NSSpacingFt+YOffset+0</f>
        <v>0</v>
      </c>
      <c r="Y1971" s="235">
        <f ca="1">+$V1971*NSGradeFt+PedHeight+0</f>
        <v>7.401410761154855</v>
      </c>
      <c r="Z1971" s="214">
        <f ca="1">+$W1971</f>
        <v>0</v>
      </c>
      <c r="AA1971" s="214">
        <f ca="1">+$Y1971</f>
        <v>7.401410761154855</v>
      </c>
      <c r="AB1971" s="214">
        <f ca="1">+$X1971</f>
        <v>0</v>
      </c>
      <c r="AC1971" s="214">
        <f ca="1">+$W1971-XOffset</f>
        <v>0</v>
      </c>
    </row>
    <row r="1972" spans="19:29" ht="8.4" customHeight="1">
      <c r="S1972" s="307"/>
      <c r="T1972" s="226">
        <f t="shared" si="106"/>
        <v>1969</v>
      </c>
      <c r="U1972" s="224">
        <f t="shared" si="104"/>
        <v>0</v>
      </c>
      <c r="V1972" s="225">
        <f t="shared" si="105"/>
        <v>0</v>
      </c>
      <c r="W1972" s="236">
        <f ca="1">+$U1972*EWSpacingFt+XOffset+PanArrayWidthHighEndFt-(PanArrayWidthHighEndFt-PanArrayWidthLowEndFt)/2</f>
        <v>10.80282152230971</v>
      </c>
      <c r="X1972" s="240">
        <f ca="1">$V1972*NSSpacingFt+YOffset+0</f>
        <v>0</v>
      </c>
      <c r="Y1972" s="244">
        <f ca="1">+$V1972*NSGradeFt+PedHeight+0</f>
        <v>7.401410761154855</v>
      </c>
      <c r="Z1972" s="214">
        <f ca="1">+$W1972</f>
        <v>10.80282152230971</v>
      </c>
      <c r="AA1972" s="214">
        <f ca="1">+$Y1972</f>
        <v>7.401410761154855</v>
      </c>
      <c r="AB1972" s="214">
        <f ca="1">+$X1972</f>
        <v>0</v>
      </c>
      <c r="AC1972" s="214">
        <f ca="1">+$W1972-XOffset</f>
        <v>10.80282152230971</v>
      </c>
    </row>
    <row r="1973" spans="19:29" ht="8.4" customHeight="1">
      <c r="S1973" s="307"/>
      <c r="T1973" s="226">
        <f t="shared" si="106"/>
        <v>1970</v>
      </c>
      <c r="U1973" s="224">
        <f t="shared" si="104"/>
        <v>0</v>
      </c>
      <c r="V1973" s="225">
        <f t="shared" si="105"/>
        <v>0</v>
      </c>
      <c r="W1973" s="237">
        <f ca="1">$U1973*EWSpacingFt+XOffset+PanArrayWidthHighEndFt</f>
        <v>10.80282152230971</v>
      </c>
      <c r="X1973" s="241">
        <f ca="1">$V1973*NSSpacingFt+YOffset+PanArrayLenFt*COS(RADIANS(Latitude+DecAng))</f>
        <v>16.439632545931762</v>
      </c>
      <c r="Y1973" s="245">
        <f ca="1">+$V1973*NSGradeFt+PedHeight+PanArrayLenFt*SIN(RADIANS(Latitude+DecAng))</f>
        <v>7.401410761154855</v>
      </c>
      <c r="Z1973" s="214">
        <f ca="1">+$W1973</f>
        <v>10.80282152230971</v>
      </c>
      <c r="AA1973" s="214">
        <f ca="1">+$Y1973</f>
        <v>7.401410761154855</v>
      </c>
      <c r="AB1973" s="214">
        <f ca="1">+$X1973</f>
        <v>16.439632545931762</v>
      </c>
      <c r="AC1973" s="214">
        <f ca="1">+$W1973-XOffset</f>
        <v>10.80282152230971</v>
      </c>
    </row>
    <row r="1974" spans="19:29" ht="8.4" customHeight="1">
      <c r="S1974" s="307"/>
      <c r="T1974" s="226">
        <f t="shared" si="106"/>
        <v>1971</v>
      </c>
      <c r="U1974" s="224">
        <f t="shared" si="104"/>
        <v>0</v>
      </c>
      <c r="V1974" s="225">
        <f t="shared" si="105"/>
        <v>0</v>
      </c>
      <c r="W1974" s="238">
        <f ca="1">$U1974*EWSpacingFt+XOffset+0</f>
        <v>0</v>
      </c>
      <c r="X1974" s="242">
        <f ca="1">$V1974*NSSpacingFt+YOffset+PanArrayLenFt*COS(RADIANS(Latitude+DecAng))</f>
        <v>16.439632545931762</v>
      </c>
      <c r="Y1974" s="246">
        <f ca="1">+$V1974*NSGradeFt+PedHeight+PanArrayLenFt*SIN(RADIANS(Latitude+DecAng))</f>
        <v>7.401410761154855</v>
      </c>
      <c r="Z1974" s="214">
        <f ca="1">+$W1974</f>
        <v>0</v>
      </c>
      <c r="AA1974" s="214">
        <f ca="1">+$Y1974</f>
        <v>7.401410761154855</v>
      </c>
      <c r="AB1974" s="214">
        <f ca="1">+$X1974</f>
        <v>16.439632545931762</v>
      </c>
      <c r="AC1974" s="214">
        <f ca="1">+$W1974-XOffset</f>
        <v>0</v>
      </c>
    </row>
    <row r="1975" spans="19:29" ht="8.4" customHeight="1">
      <c r="S1975" s="307"/>
      <c r="T1975" s="226">
        <f t="shared" si="106"/>
        <v>1972</v>
      </c>
      <c r="U1975" s="224">
        <f t="shared" si="104"/>
        <v>0</v>
      </c>
      <c r="V1975" s="225">
        <f t="shared" si="105"/>
        <v>0</v>
      </c>
      <c r="W1975" s="239">
        <f ca="1">$U1975*EWSpacingFt+XOffset+(PanArrayWidthHighEndFt-PanArrayWidthLowEndFt)/2</f>
        <v>0</v>
      </c>
      <c r="X1975" s="243">
        <f ca="1">$V1975*NSSpacingFt+YOffset+0</f>
        <v>0</v>
      </c>
      <c r="Y1975" s="247">
        <f ca="1">+$V1975*NSGradeFt+PedHeight+0</f>
        <v>7.401410761154855</v>
      </c>
      <c r="Z1975" s="214">
        <f ca="1">+$W1975</f>
        <v>0</v>
      </c>
      <c r="AA1975" s="214">
        <f ca="1">+$Y1975</f>
        <v>7.401410761154855</v>
      </c>
      <c r="AB1975" s="214">
        <f ca="1">+$X1975</f>
        <v>0</v>
      </c>
      <c r="AC1975" s="214">
        <f ca="1">+$W1975-XOffset</f>
        <v>0</v>
      </c>
    </row>
    <row r="1976" spans="19:29" ht="8.4" customHeight="1">
      <c r="S1976" s="307"/>
      <c r="T1976" s="226">
        <f t="shared" si="106"/>
        <v>1973</v>
      </c>
      <c r="U1976" s="224">
        <f t="shared" si="104"/>
        <v>0</v>
      </c>
      <c r="V1976" s="225">
        <f t="shared" si="105"/>
        <v>0</v>
      </c>
      <c r="W1976" s="217"/>
      <c r="X1976" s="217"/>
      <c r="Y1976" s="217"/>
      <c r="Z1976" s="214"/>
      <c r="AA1976" s="214"/>
      <c r="AB1976" s="214"/>
      <c r="AC1976" s="214"/>
    </row>
    <row r="1977" spans="19:29" ht="8.4" customHeight="1">
      <c r="S1977" s="307">
        <f>INT((T1977-0)/6)+1</f>
        <v>330</v>
      </c>
      <c r="T1977" s="226">
        <f t="shared" si="106"/>
        <v>1974</v>
      </c>
      <c r="U1977" s="224">
        <f t="shared" si="104"/>
        <v>1</v>
      </c>
      <c r="V1977" s="225">
        <f t="shared" si="105"/>
        <v>0</v>
      </c>
      <c r="W1977" s="233">
        <f ca="1">$U1977*EWSpacingFt+XOffset+(PanArrayWidthHighEndFt-PanArrayWidthLowEndFt)/2</f>
        <v>30.000006832286932</v>
      </c>
      <c r="X1977" s="234">
        <f ca="1">$V1977*NSSpacingFt+YOffset+0</f>
        <v>0</v>
      </c>
      <c r="Y1977" s="235">
        <f ca="1">+$V1977*NSGradeFt+PedHeight+0</f>
        <v>7.401410761154855</v>
      </c>
      <c r="Z1977" s="214">
        <f ca="1">+$W1977</f>
        <v>30.000006832286932</v>
      </c>
      <c r="AA1977" s="214">
        <f ca="1">+$Y1977</f>
        <v>7.401410761154855</v>
      </c>
      <c r="AB1977" s="214">
        <f ca="1">+$X1977</f>
        <v>0</v>
      </c>
      <c r="AC1977" s="214">
        <f ca="1">+$W1977-XOffset</f>
        <v>30.000006832286932</v>
      </c>
    </row>
    <row r="1978" spans="19:29" ht="8.4" customHeight="1">
      <c r="S1978" s="307"/>
      <c r="T1978" s="226">
        <f t="shared" si="106"/>
        <v>1975</v>
      </c>
      <c r="U1978" s="224">
        <f t="shared" si="104"/>
        <v>1</v>
      </c>
      <c r="V1978" s="225">
        <f t="shared" si="105"/>
        <v>0</v>
      </c>
      <c r="W1978" s="236">
        <f ca="1">+$U1978*EWSpacingFt+XOffset+PanArrayWidthHighEndFt-(PanArrayWidthHighEndFt-PanArrayWidthLowEndFt)/2</f>
        <v>40.802828354596642</v>
      </c>
      <c r="X1978" s="240">
        <f ca="1">$V1978*NSSpacingFt+YOffset+0</f>
        <v>0</v>
      </c>
      <c r="Y1978" s="244">
        <f ca="1">+$V1978*NSGradeFt+PedHeight+0</f>
        <v>7.401410761154855</v>
      </c>
      <c r="Z1978" s="214">
        <f ca="1">+$W1978</f>
        <v>40.802828354596642</v>
      </c>
      <c r="AA1978" s="214">
        <f ca="1">+$Y1978</f>
        <v>7.401410761154855</v>
      </c>
      <c r="AB1978" s="214">
        <f ca="1">+$X1978</f>
        <v>0</v>
      </c>
      <c r="AC1978" s="214">
        <f ca="1">+$W1978-XOffset</f>
        <v>40.802828354596642</v>
      </c>
    </row>
    <row r="1979" spans="19:29" ht="8.4" customHeight="1">
      <c r="S1979" s="307"/>
      <c r="T1979" s="226">
        <f t="shared" si="106"/>
        <v>1976</v>
      </c>
      <c r="U1979" s="224">
        <f t="shared" si="104"/>
        <v>1</v>
      </c>
      <c r="V1979" s="225">
        <f t="shared" si="105"/>
        <v>0</v>
      </c>
      <c r="W1979" s="237">
        <f ca="1">$U1979*EWSpacingFt+XOffset+PanArrayWidthHighEndFt</f>
        <v>40.802828354596642</v>
      </c>
      <c r="X1979" s="241">
        <f ca="1">$V1979*NSSpacingFt+YOffset+PanArrayLenFt*COS(RADIANS(Latitude+DecAng))</f>
        <v>16.439632545931762</v>
      </c>
      <c r="Y1979" s="245">
        <f ca="1">+$V1979*NSGradeFt+PedHeight+PanArrayLenFt*SIN(RADIANS(Latitude+DecAng))</f>
        <v>7.401410761154855</v>
      </c>
      <c r="Z1979" s="214">
        <f ca="1">+$W1979</f>
        <v>40.802828354596642</v>
      </c>
      <c r="AA1979" s="214">
        <f ca="1">+$Y1979</f>
        <v>7.401410761154855</v>
      </c>
      <c r="AB1979" s="214">
        <f ca="1">+$X1979</f>
        <v>16.439632545931762</v>
      </c>
      <c r="AC1979" s="214">
        <f ca="1">+$W1979-XOffset</f>
        <v>40.802828354596642</v>
      </c>
    </row>
    <row r="1980" spans="19:29" ht="8.4" customHeight="1">
      <c r="S1980" s="307"/>
      <c r="T1980" s="226">
        <f t="shared" si="106"/>
        <v>1977</v>
      </c>
      <c r="U1980" s="224">
        <f t="shared" si="104"/>
        <v>1</v>
      </c>
      <c r="V1980" s="225">
        <f t="shared" si="105"/>
        <v>0</v>
      </c>
      <c r="W1980" s="238">
        <f ca="1">$U1980*EWSpacingFt+XOffset+0</f>
        <v>30.000006832286932</v>
      </c>
      <c r="X1980" s="242">
        <f ca="1">$V1980*NSSpacingFt+YOffset+PanArrayLenFt*COS(RADIANS(Latitude+DecAng))</f>
        <v>16.439632545931762</v>
      </c>
      <c r="Y1980" s="246">
        <f ca="1">+$V1980*NSGradeFt+PedHeight+PanArrayLenFt*SIN(RADIANS(Latitude+DecAng))</f>
        <v>7.401410761154855</v>
      </c>
      <c r="Z1980" s="214">
        <f ca="1">+$W1980</f>
        <v>30.000006832286932</v>
      </c>
      <c r="AA1980" s="214">
        <f ca="1">+$Y1980</f>
        <v>7.401410761154855</v>
      </c>
      <c r="AB1980" s="214">
        <f ca="1">+$X1980</f>
        <v>16.439632545931762</v>
      </c>
      <c r="AC1980" s="214">
        <f ca="1">+$W1980-XOffset</f>
        <v>30.000006832286932</v>
      </c>
    </row>
    <row r="1981" spans="19:29" ht="8.4" customHeight="1">
      <c r="S1981" s="307"/>
      <c r="T1981" s="226">
        <f t="shared" si="106"/>
        <v>1978</v>
      </c>
      <c r="U1981" s="224">
        <f t="shared" si="104"/>
        <v>1</v>
      </c>
      <c r="V1981" s="225">
        <f t="shared" si="105"/>
        <v>0</v>
      </c>
      <c r="W1981" s="239">
        <f ca="1">$U1981*EWSpacingFt+XOffset+(PanArrayWidthHighEndFt-PanArrayWidthLowEndFt)/2</f>
        <v>30.000006832286932</v>
      </c>
      <c r="X1981" s="243">
        <f ca="1">$V1981*NSSpacingFt+YOffset+0</f>
        <v>0</v>
      </c>
      <c r="Y1981" s="247">
        <f ca="1">+$V1981*NSGradeFt+PedHeight+0</f>
        <v>7.401410761154855</v>
      </c>
      <c r="Z1981" s="214">
        <f ca="1">+$W1981</f>
        <v>30.000006832286932</v>
      </c>
      <c r="AA1981" s="214">
        <f ca="1">+$Y1981</f>
        <v>7.401410761154855</v>
      </c>
      <c r="AB1981" s="214">
        <f ca="1">+$X1981</f>
        <v>0</v>
      </c>
      <c r="AC1981" s="214">
        <f ca="1">+$W1981-XOffset</f>
        <v>30.000006832286932</v>
      </c>
    </row>
    <row r="1982" spans="19:29" ht="8.4" customHeight="1">
      <c r="S1982" s="307"/>
      <c r="T1982" s="226">
        <f t="shared" si="106"/>
        <v>1979</v>
      </c>
      <c r="U1982" s="224">
        <f t="shared" si="104"/>
        <v>1</v>
      </c>
      <c r="V1982" s="225">
        <f t="shared" si="105"/>
        <v>0</v>
      </c>
      <c r="W1982" s="217"/>
      <c r="X1982" s="217"/>
      <c r="Y1982" s="217"/>
      <c r="Z1982" s="214"/>
      <c r="AA1982" s="214"/>
      <c r="AB1982" s="214"/>
      <c r="AC1982" s="214"/>
    </row>
    <row r="1983" spans="19:29" ht="8.4" customHeight="1">
      <c r="S1983" s="307">
        <f>INT((T1983-0)/6)+1</f>
        <v>331</v>
      </c>
      <c r="T1983" s="226">
        <f t="shared" si="106"/>
        <v>1980</v>
      </c>
      <c r="U1983" s="224">
        <f t="shared" si="104"/>
        <v>0</v>
      </c>
      <c r="V1983" s="225">
        <f t="shared" si="105"/>
        <v>1</v>
      </c>
      <c r="W1983" s="233">
        <f ca="1">$U1983*EWSpacingFt+XOffset+(PanArrayWidthHighEndFt-PanArrayWidthLowEndFt)/2</f>
        <v>0</v>
      </c>
      <c r="X1983" s="234">
        <f ca="1">$V1983*NSSpacingFt+YOffset+0</f>
        <v>17.999999999999989</v>
      </c>
      <c r="Y1983" s="235">
        <f ca="1">+$V1983*NSGradeFt+PedHeight+0</f>
        <v>7.401410761154855</v>
      </c>
      <c r="Z1983" s="214">
        <f ca="1">+$W1983</f>
        <v>0</v>
      </c>
      <c r="AA1983" s="214">
        <f ca="1">+$Y1983</f>
        <v>7.401410761154855</v>
      </c>
      <c r="AB1983" s="214">
        <f ca="1">+$X1983</f>
        <v>17.999999999999989</v>
      </c>
      <c r="AC1983" s="214">
        <f ca="1">+$W1983-XOffset</f>
        <v>0</v>
      </c>
    </row>
    <row r="1984" spans="19:29" ht="8.4" customHeight="1">
      <c r="S1984" s="307"/>
      <c r="T1984" s="226">
        <f t="shared" si="106"/>
        <v>1981</v>
      </c>
      <c r="U1984" s="224">
        <f t="shared" si="104"/>
        <v>0</v>
      </c>
      <c r="V1984" s="225">
        <f t="shared" si="105"/>
        <v>1</v>
      </c>
      <c r="W1984" s="236">
        <f ca="1">+$U1984*EWSpacingFt+XOffset+PanArrayWidthHighEndFt-(PanArrayWidthHighEndFt-PanArrayWidthLowEndFt)/2</f>
        <v>10.80282152230971</v>
      </c>
      <c r="X1984" s="240">
        <f ca="1">$V1984*NSSpacingFt+YOffset+0</f>
        <v>17.999999999999989</v>
      </c>
      <c r="Y1984" s="244">
        <f ca="1">+$V1984*NSGradeFt+PedHeight+0</f>
        <v>7.401410761154855</v>
      </c>
      <c r="Z1984" s="214">
        <f ca="1">+$W1984</f>
        <v>10.80282152230971</v>
      </c>
      <c r="AA1984" s="214">
        <f ca="1">+$Y1984</f>
        <v>7.401410761154855</v>
      </c>
      <c r="AB1984" s="214">
        <f ca="1">+$X1984</f>
        <v>17.999999999999989</v>
      </c>
      <c r="AC1984" s="214">
        <f ca="1">+$W1984-XOffset</f>
        <v>10.80282152230971</v>
      </c>
    </row>
    <row r="1985" spans="19:29" ht="8.4" customHeight="1">
      <c r="S1985" s="307"/>
      <c r="T1985" s="226">
        <f t="shared" si="106"/>
        <v>1982</v>
      </c>
      <c r="U1985" s="224">
        <f t="shared" si="104"/>
        <v>0</v>
      </c>
      <c r="V1985" s="225">
        <f t="shared" si="105"/>
        <v>1</v>
      </c>
      <c r="W1985" s="237">
        <f ca="1">$U1985*EWSpacingFt+XOffset+PanArrayWidthHighEndFt</f>
        <v>10.80282152230971</v>
      </c>
      <c r="X1985" s="241">
        <f ca="1">$V1985*NSSpacingFt+YOffset+PanArrayLenFt*COS(RADIANS(Latitude+DecAng))</f>
        <v>34.439632545931751</v>
      </c>
      <c r="Y1985" s="245">
        <f ca="1">+$V1985*NSGradeFt+PedHeight+PanArrayLenFt*SIN(RADIANS(Latitude+DecAng))</f>
        <v>7.401410761154855</v>
      </c>
      <c r="Z1985" s="214">
        <f ca="1">+$W1985</f>
        <v>10.80282152230971</v>
      </c>
      <c r="AA1985" s="214">
        <f ca="1">+$Y1985</f>
        <v>7.401410761154855</v>
      </c>
      <c r="AB1985" s="214">
        <f ca="1">+$X1985</f>
        <v>34.439632545931751</v>
      </c>
      <c r="AC1985" s="214">
        <f ca="1">+$W1985-XOffset</f>
        <v>10.80282152230971</v>
      </c>
    </row>
    <row r="1986" spans="19:29" ht="8.4" customHeight="1">
      <c r="S1986" s="307"/>
      <c r="T1986" s="226">
        <f t="shared" si="106"/>
        <v>1983</v>
      </c>
      <c r="U1986" s="224">
        <f t="shared" si="104"/>
        <v>0</v>
      </c>
      <c r="V1986" s="225">
        <f t="shared" si="105"/>
        <v>1</v>
      </c>
      <c r="W1986" s="238">
        <f ca="1">$U1986*EWSpacingFt+XOffset+0</f>
        <v>0</v>
      </c>
      <c r="X1986" s="242">
        <f ca="1">$V1986*NSSpacingFt+YOffset+PanArrayLenFt*COS(RADIANS(Latitude+DecAng))</f>
        <v>34.439632545931751</v>
      </c>
      <c r="Y1986" s="246">
        <f ca="1">+$V1986*NSGradeFt+PedHeight+PanArrayLenFt*SIN(RADIANS(Latitude+DecAng))</f>
        <v>7.401410761154855</v>
      </c>
      <c r="Z1986" s="214">
        <f ca="1">+$W1986</f>
        <v>0</v>
      </c>
      <c r="AA1986" s="214">
        <f ca="1">+$Y1986</f>
        <v>7.401410761154855</v>
      </c>
      <c r="AB1986" s="214">
        <f ca="1">+$X1986</f>
        <v>34.439632545931751</v>
      </c>
      <c r="AC1986" s="214">
        <f ca="1">+$W1986-XOffset</f>
        <v>0</v>
      </c>
    </row>
    <row r="1987" spans="19:29" ht="8.4" customHeight="1">
      <c r="S1987" s="307"/>
      <c r="T1987" s="226">
        <f t="shared" si="106"/>
        <v>1984</v>
      </c>
      <c r="U1987" s="224">
        <f t="shared" ref="U1987:U2050" si="107">+MOD(INT(T1987/6),ColumnsOfMounts)</f>
        <v>0</v>
      </c>
      <c r="V1987" s="225">
        <f t="shared" ref="V1987:V2050" si="108">+MOD(INT(T1987/6/ColumnsOfMounts),RowsOfMounts)</f>
        <v>1</v>
      </c>
      <c r="W1987" s="239">
        <f ca="1">$U1987*EWSpacingFt+XOffset+(PanArrayWidthHighEndFt-PanArrayWidthLowEndFt)/2</f>
        <v>0</v>
      </c>
      <c r="X1987" s="243">
        <f ca="1">$V1987*NSSpacingFt+YOffset+0</f>
        <v>17.999999999999989</v>
      </c>
      <c r="Y1987" s="247">
        <f ca="1">+$V1987*NSGradeFt+PedHeight+0</f>
        <v>7.401410761154855</v>
      </c>
      <c r="Z1987" s="214">
        <f ca="1">+$W1987</f>
        <v>0</v>
      </c>
      <c r="AA1987" s="214">
        <f ca="1">+$Y1987</f>
        <v>7.401410761154855</v>
      </c>
      <c r="AB1987" s="214">
        <f ca="1">+$X1987</f>
        <v>17.999999999999989</v>
      </c>
      <c r="AC1987" s="214">
        <f ca="1">+$W1987-XOffset</f>
        <v>0</v>
      </c>
    </row>
    <row r="1988" spans="19:29" ht="8.4" customHeight="1">
      <c r="S1988" s="307"/>
      <c r="T1988" s="226">
        <f t="shared" si="106"/>
        <v>1985</v>
      </c>
      <c r="U1988" s="224">
        <f t="shared" si="107"/>
        <v>0</v>
      </c>
      <c r="V1988" s="225">
        <f t="shared" si="108"/>
        <v>1</v>
      </c>
      <c r="W1988" s="217"/>
      <c r="X1988" s="217"/>
      <c r="Y1988" s="217"/>
      <c r="Z1988" s="214"/>
      <c r="AA1988" s="214"/>
      <c r="AB1988" s="214"/>
      <c r="AC1988" s="214"/>
    </row>
    <row r="1989" spans="19:29" ht="8.4" customHeight="1">
      <c r="S1989" s="307">
        <f>INT((T1989-0)/6)+1</f>
        <v>332</v>
      </c>
      <c r="T1989" s="226">
        <f t="shared" si="106"/>
        <v>1986</v>
      </c>
      <c r="U1989" s="224">
        <f t="shared" si="107"/>
        <v>1</v>
      </c>
      <c r="V1989" s="225">
        <f t="shared" si="108"/>
        <v>1</v>
      </c>
      <c r="W1989" s="233">
        <f ca="1">$U1989*EWSpacingFt+XOffset+(PanArrayWidthHighEndFt-PanArrayWidthLowEndFt)/2</f>
        <v>30.000006832286932</v>
      </c>
      <c r="X1989" s="234">
        <f ca="1">$V1989*NSSpacingFt+YOffset+0</f>
        <v>17.999999999999989</v>
      </c>
      <c r="Y1989" s="235">
        <f ca="1">+$V1989*NSGradeFt+PedHeight+0</f>
        <v>7.401410761154855</v>
      </c>
      <c r="Z1989" s="214">
        <f ca="1">+$W1989</f>
        <v>30.000006832286932</v>
      </c>
      <c r="AA1989" s="214">
        <f ca="1">+$Y1989</f>
        <v>7.401410761154855</v>
      </c>
      <c r="AB1989" s="214">
        <f ca="1">+$X1989</f>
        <v>17.999999999999989</v>
      </c>
      <c r="AC1989" s="214">
        <f ca="1">+$W1989-XOffset</f>
        <v>30.000006832286932</v>
      </c>
    </row>
    <row r="1990" spans="19:29" ht="8.4" customHeight="1">
      <c r="S1990" s="307"/>
      <c r="T1990" s="226">
        <f t="shared" si="106"/>
        <v>1987</v>
      </c>
      <c r="U1990" s="224">
        <f t="shared" si="107"/>
        <v>1</v>
      </c>
      <c r="V1990" s="225">
        <f t="shared" si="108"/>
        <v>1</v>
      </c>
      <c r="W1990" s="236">
        <f ca="1">+$U1990*EWSpacingFt+XOffset+PanArrayWidthHighEndFt-(PanArrayWidthHighEndFt-PanArrayWidthLowEndFt)/2</f>
        <v>40.802828354596642</v>
      </c>
      <c r="X1990" s="240">
        <f ca="1">$V1990*NSSpacingFt+YOffset+0</f>
        <v>17.999999999999989</v>
      </c>
      <c r="Y1990" s="244">
        <f ca="1">+$V1990*NSGradeFt+PedHeight+0</f>
        <v>7.401410761154855</v>
      </c>
      <c r="Z1990" s="214">
        <f ca="1">+$W1990</f>
        <v>40.802828354596642</v>
      </c>
      <c r="AA1990" s="214">
        <f ca="1">+$Y1990</f>
        <v>7.401410761154855</v>
      </c>
      <c r="AB1990" s="214">
        <f ca="1">+$X1990</f>
        <v>17.999999999999989</v>
      </c>
      <c r="AC1990" s="214">
        <f ca="1">+$W1990-XOffset</f>
        <v>40.802828354596642</v>
      </c>
    </row>
    <row r="1991" spans="19:29" ht="8.4" customHeight="1">
      <c r="S1991" s="307"/>
      <c r="T1991" s="226">
        <f t="shared" si="106"/>
        <v>1988</v>
      </c>
      <c r="U1991" s="224">
        <f t="shared" si="107"/>
        <v>1</v>
      </c>
      <c r="V1991" s="225">
        <f t="shared" si="108"/>
        <v>1</v>
      </c>
      <c r="W1991" s="237">
        <f ca="1">$U1991*EWSpacingFt+XOffset+PanArrayWidthHighEndFt</f>
        <v>40.802828354596642</v>
      </c>
      <c r="X1991" s="241">
        <f ca="1">$V1991*NSSpacingFt+YOffset+PanArrayLenFt*COS(RADIANS(Latitude+DecAng))</f>
        <v>34.439632545931751</v>
      </c>
      <c r="Y1991" s="245">
        <f ca="1">+$V1991*NSGradeFt+PedHeight+PanArrayLenFt*SIN(RADIANS(Latitude+DecAng))</f>
        <v>7.401410761154855</v>
      </c>
      <c r="Z1991" s="214">
        <f ca="1">+$W1991</f>
        <v>40.802828354596642</v>
      </c>
      <c r="AA1991" s="214">
        <f ca="1">+$Y1991</f>
        <v>7.401410761154855</v>
      </c>
      <c r="AB1991" s="214">
        <f ca="1">+$X1991</f>
        <v>34.439632545931751</v>
      </c>
      <c r="AC1991" s="214">
        <f ca="1">+$W1991-XOffset</f>
        <v>40.802828354596642</v>
      </c>
    </row>
    <row r="1992" spans="19:29" ht="8.4" customHeight="1">
      <c r="S1992" s="307"/>
      <c r="T1992" s="226">
        <f t="shared" si="106"/>
        <v>1989</v>
      </c>
      <c r="U1992" s="224">
        <f t="shared" si="107"/>
        <v>1</v>
      </c>
      <c r="V1992" s="225">
        <f t="shared" si="108"/>
        <v>1</v>
      </c>
      <c r="W1992" s="238">
        <f ca="1">$U1992*EWSpacingFt+XOffset+0</f>
        <v>30.000006832286932</v>
      </c>
      <c r="X1992" s="242">
        <f ca="1">$V1992*NSSpacingFt+YOffset+PanArrayLenFt*COS(RADIANS(Latitude+DecAng))</f>
        <v>34.439632545931751</v>
      </c>
      <c r="Y1992" s="246">
        <f ca="1">+$V1992*NSGradeFt+PedHeight+PanArrayLenFt*SIN(RADIANS(Latitude+DecAng))</f>
        <v>7.401410761154855</v>
      </c>
      <c r="Z1992" s="214">
        <f ca="1">+$W1992</f>
        <v>30.000006832286932</v>
      </c>
      <c r="AA1992" s="214">
        <f ca="1">+$Y1992</f>
        <v>7.401410761154855</v>
      </c>
      <c r="AB1992" s="214">
        <f ca="1">+$X1992</f>
        <v>34.439632545931751</v>
      </c>
      <c r="AC1992" s="214">
        <f ca="1">+$W1992-XOffset</f>
        <v>30.000006832286932</v>
      </c>
    </row>
    <row r="1993" spans="19:29" ht="8.4" customHeight="1">
      <c r="S1993" s="307"/>
      <c r="T1993" s="226">
        <f t="shared" si="106"/>
        <v>1990</v>
      </c>
      <c r="U1993" s="224">
        <f t="shared" si="107"/>
        <v>1</v>
      </c>
      <c r="V1993" s="225">
        <f t="shared" si="108"/>
        <v>1</v>
      </c>
      <c r="W1993" s="239">
        <f ca="1">$U1993*EWSpacingFt+XOffset+(PanArrayWidthHighEndFt-PanArrayWidthLowEndFt)/2</f>
        <v>30.000006832286932</v>
      </c>
      <c r="X1993" s="243">
        <f ca="1">$V1993*NSSpacingFt+YOffset+0</f>
        <v>17.999999999999989</v>
      </c>
      <c r="Y1993" s="247">
        <f ca="1">+$V1993*NSGradeFt+PedHeight+0</f>
        <v>7.401410761154855</v>
      </c>
      <c r="Z1993" s="214">
        <f ca="1">+$W1993</f>
        <v>30.000006832286932</v>
      </c>
      <c r="AA1993" s="214">
        <f ca="1">+$Y1993</f>
        <v>7.401410761154855</v>
      </c>
      <c r="AB1993" s="214">
        <f ca="1">+$X1993</f>
        <v>17.999999999999989</v>
      </c>
      <c r="AC1993" s="214">
        <f ca="1">+$W1993-XOffset</f>
        <v>30.000006832286932</v>
      </c>
    </row>
    <row r="1994" spans="19:29" ht="8.4" customHeight="1">
      <c r="S1994" s="307"/>
      <c r="T1994" s="226">
        <f t="shared" si="106"/>
        <v>1991</v>
      </c>
      <c r="U1994" s="224">
        <f t="shared" si="107"/>
        <v>1</v>
      </c>
      <c r="V1994" s="225">
        <f t="shared" si="108"/>
        <v>1</v>
      </c>
      <c r="W1994" s="217"/>
      <c r="X1994" s="217"/>
      <c r="Y1994" s="217"/>
      <c r="Z1994" s="214"/>
      <c r="AA1994" s="214"/>
      <c r="AB1994" s="214"/>
      <c r="AC1994" s="214"/>
    </row>
    <row r="1995" spans="19:29" ht="8.4" customHeight="1">
      <c r="S1995" s="307">
        <f>INT((T1995-0)/6)+1</f>
        <v>333</v>
      </c>
      <c r="T1995" s="226">
        <f t="shared" si="106"/>
        <v>1992</v>
      </c>
      <c r="U1995" s="224">
        <f t="shared" si="107"/>
        <v>0</v>
      </c>
      <c r="V1995" s="225">
        <f t="shared" si="108"/>
        <v>2</v>
      </c>
      <c r="W1995" s="233">
        <f ca="1">$U1995*EWSpacingFt+XOffset+(PanArrayWidthHighEndFt-PanArrayWidthLowEndFt)/2</f>
        <v>0</v>
      </c>
      <c r="X1995" s="234">
        <f ca="1">$V1995*NSSpacingFt+YOffset+0</f>
        <v>35.999999999999979</v>
      </c>
      <c r="Y1995" s="235">
        <f ca="1">+$V1995*NSGradeFt+PedHeight+0</f>
        <v>7.401410761154855</v>
      </c>
      <c r="Z1995" s="214">
        <f ca="1">+$W1995</f>
        <v>0</v>
      </c>
      <c r="AA1995" s="214">
        <f ca="1">+$Y1995</f>
        <v>7.401410761154855</v>
      </c>
      <c r="AB1995" s="214">
        <f ca="1">+$X1995</f>
        <v>35.999999999999979</v>
      </c>
      <c r="AC1995" s="214">
        <f ca="1">+$W1995-XOffset</f>
        <v>0</v>
      </c>
    </row>
    <row r="1996" spans="19:29" ht="8.4" customHeight="1">
      <c r="S1996" s="307"/>
      <c r="T1996" s="226">
        <f t="shared" si="106"/>
        <v>1993</v>
      </c>
      <c r="U1996" s="224">
        <f t="shared" si="107"/>
        <v>0</v>
      </c>
      <c r="V1996" s="225">
        <f t="shared" si="108"/>
        <v>2</v>
      </c>
      <c r="W1996" s="236">
        <f ca="1">+$U1996*EWSpacingFt+XOffset+PanArrayWidthHighEndFt-(PanArrayWidthHighEndFt-PanArrayWidthLowEndFt)/2</f>
        <v>10.80282152230971</v>
      </c>
      <c r="X1996" s="240">
        <f ca="1">$V1996*NSSpacingFt+YOffset+0</f>
        <v>35.999999999999979</v>
      </c>
      <c r="Y1996" s="244">
        <f ca="1">+$V1996*NSGradeFt+PedHeight+0</f>
        <v>7.401410761154855</v>
      </c>
      <c r="Z1996" s="214">
        <f ca="1">+$W1996</f>
        <v>10.80282152230971</v>
      </c>
      <c r="AA1996" s="214">
        <f ca="1">+$Y1996</f>
        <v>7.401410761154855</v>
      </c>
      <c r="AB1996" s="214">
        <f ca="1">+$X1996</f>
        <v>35.999999999999979</v>
      </c>
      <c r="AC1996" s="214">
        <f ca="1">+$W1996-XOffset</f>
        <v>10.80282152230971</v>
      </c>
    </row>
    <row r="1997" spans="19:29" ht="8.4" customHeight="1">
      <c r="S1997" s="307"/>
      <c r="T1997" s="226">
        <f t="shared" si="106"/>
        <v>1994</v>
      </c>
      <c r="U1997" s="224">
        <f t="shared" si="107"/>
        <v>0</v>
      </c>
      <c r="V1997" s="225">
        <f t="shared" si="108"/>
        <v>2</v>
      </c>
      <c r="W1997" s="237">
        <f ca="1">$U1997*EWSpacingFt+XOffset+PanArrayWidthHighEndFt</f>
        <v>10.80282152230971</v>
      </c>
      <c r="X1997" s="241">
        <f ca="1">$V1997*NSSpacingFt+YOffset+PanArrayLenFt*COS(RADIANS(Latitude+DecAng))</f>
        <v>52.439632545931744</v>
      </c>
      <c r="Y1997" s="245">
        <f ca="1">+$V1997*NSGradeFt+PedHeight+PanArrayLenFt*SIN(RADIANS(Latitude+DecAng))</f>
        <v>7.401410761154855</v>
      </c>
      <c r="Z1997" s="214">
        <f ca="1">+$W1997</f>
        <v>10.80282152230971</v>
      </c>
      <c r="AA1997" s="214">
        <f ca="1">+$Y1997</f>
        <v>7.401410761154855</v>
      </c>
      <c r="AB1997" s="214">
        <f ca="1">+$X1997</f>
        <v>52.439632545931744</v>
      </c>
      <c r="AC1997" s="214">
        <f ca="1">+$W1997-XOffset</f>
        <v>10.80282152230971</v>
      </c>
    </row>
    <row r="1998" spans="19:29" ht="8.4" customHeight="1">
      <c r="S1998" s="307"/>
      <c r="T1998" s="226">
        <f t="shared" si="106"/>
        <v>1995</v>
      </c>
      <c r="U1998" s="224">
        <f t="shared" si="107"/>
        <v>0</v>
      </c>
      <c r="V1998" s="225">
        <f t="shared" si="108"/>
        <v>2</v>
      </c>
      <c r="W1998" s="238">
        <f ca="1">$U1998*EWSpacingFt+XOffset+0</f>
        <v>0</v>
      </c>
      <c r="X1998" s="242">
        <f ca="1">$V1998*NSSpacingFt+YOffset+PanArrayLenFt*COS(RADIANS(Latitude+DecAng))</f>
        <v>52.439632545931744</v>
      </c>
      <c r="Y1998" s="246">
        <f ca="1">+$V1998*NSGradeFt+PedHeight+PanArrayLenFt*SIN(RADIANS(Latitude+DecAng))</f>
        <v>7.401410761154855</v>
      </c>
      <c r="Z1998" s="214">
        <f ca="1">+$W1998</f>
        <v>0</v>
      </c>
      <c r="AA1998" s="214">
        <f ca="1">+$Y1998</f>
        <v>7.401410761154855</v>
      </c>
      <c r="AB1998" s="214">
        <f ca="1">+$X1998</f>
        <v>52.439632545931744</v>
      </c>
      <c r="AC1998" s="214">
        <f ca="1">+$W1998-XOffset</f>
        <v>0</v>
      </c>
    </row>
    <row r="1999" spans="19:29" ht="8.4" customHeight="1">
      <c r="S1999" s="307"/>
      <c r="T1999" s="226">
        <f t="shared" si="106"/>
        <v>1996</v>
      </c>
      <c r="U1999" s="224">
        <f t="shared" si="107"/>
        <v>0</v>
      </c>
      <c r="V1999" s="225">
        <f t="shared" si="108"/>
        <v>2</v>
      </c>
      <c r="W1999" s="239">
        <f ca="1">$U1999*EWSpacingFt+XOffset+(PanArrayWidthHighEndFt-PanArrayWidthLowEndFt)/2</f>
        <v>0</v>
      </c>
      <c r="X1999" s="243">
        <f ca="1">$V1999*NSSpacingFt+YOffset+0</f>
        <v>35.999999999999979</v>
      </c>
      <c r="Y1999" s="247">
        <f ca="1">+$V1999*NSGradeFt+PedHeight+0</f>
        <v>7.401410761154855</v>
      </c>
      <c r="Z1999" s="214">
        <f ca="1">+$W1999</f>
        <v>0</v>
      </c>
      <c r="AA1999" s="214">
        <f ca="1">+$Y1999</f>
        <v>7.401410761154855</v>
      </c>
      <c r="AB1999" s="214">
        <f ca="1">+$X1999</f>
        <v>35.999999999999979</v>
      </c>
      <c r="AC1999" s="214">
        <f ca="1">+$W1999-XOffset</f>
        <v>0</v>
      </c>
    </row>
    <row r="2000" spans="19:29" ht="8.4" customHeight="1">
      <c r="S2000" s="307"/>
      <c r="T2000" s="226">
        <f t="shared" si="106"/>
        <v>1997</v>
      </c>
      <c r="U2000" s="224">
        <f t="shared" si="107"/>
        <v>0</v>
      </c>
      <c r="V2000" s="225">
        <f t="shared" si="108"/>
        <v>2</v>
      </c>
      <c r="W2000" s="217"/>
      <c r="X2000" s="217"/>
      <c r="Y2000" s="217"/>
      <c r="Z2000" s="214"/>
      <c r="AA2000" s="214"/>
      <c r="AB2000" s="214"/>
      <c r="AC2000" s="214"/>
    </row>
    <row r="2001" spans="19:29" ht="8.4" customHeight="1">
      <c r="S2001" s="307">
        <f>INT((T2001-0)/6)+1</f>
        <v>334</v>
      </c>
      <c r="T2001" s="226">
        <f t="shared" si="106"/>
        <v>1998</v>
      </c>
      <c r="U2001" s="224">
        <f t="shared" si="107"/>
        <v>1</v>
      </c>
      <c r="V2001" s="225">
        <f t="shared" si="108"/>
        <v>2</v>
      </c>
      <c r="W2001" s="233">
        <f ca="1">$U2001*EWSpacingFt+XOffset+(PanArrayWidthHighEndFt-PanArrayWidthLowEndFt)/2</f>
        <v>30.000006832286932</v>
      </c>
      <c r="X2001" s="234">
        <f ca="1">$V2001*NSSpacingFt+YOffset+0</f>
        <v>35.999999999999979</v>
      </c>
      <c r="Y2001" s="235">
        <f ca="1">+$V2001*NSGradeFt+PedHeight+0</f>
        <v>7.401410761154855</v>
      </c>
      <c r="Z2001" s="214">
        <f ca="1">+$W2001</f>
        <v>30.000006832286932</v>
      </c>
      <c r="AA2001" s="214">
        <f ca="1">+$Y2001</f>
        <v>7.401410761154855</v>
      </c>
      <c r="AB2001" s="214">
        <f ca="1">+$X2001</f>
        <v>35.999999999999979</v>
      </c>
      <c r="AC2001" s="214">
        <f ca="1">+$W2001-XOffset</f>
        <v>30.000006832286932</v>
      </c>
    </row>
    <row r="2002" spans="19:29" ht="8.4" customHeight="1">
      <c r="S2002" s="307"/>
      <c r="T2002" s="226">
        <f t="shared" si="106"/>
        <v>1999</v>
      </c>
      <c r="U2002" s="224">
        <f t="shared" si="107"/>
        <v>1</v>
      </c>
      <c r="V2002" s="225">
        <f t="shared" si="108"/>
        <v>2</v>
      </c>
      <c r="W2002" s="236">
        <f ca="1">+$U2002*EWSpacingFt+XOffset+PanArrayWidthHighEndFt-(PanArrayWidthHighEndFt-PanArrayWidthLowEndFt)/2</f>
        <v>40.802828354596642</v>
      </c>
      <c r="X2002" s="240">
        <f ca="1">$V2002*NSSpacingFt+YOffset+0</f>
        <v>35.999999999999979</v>
      </c>
      <c r="Y2002" s="244">
        <f ca="1">+$V2002*NSGradeFt+PedHeight+0</f>
        <v>7.401410761154855</v>
      </c>
      <c r="Z2002" s="214">
        <f ca="1">+$W2002</f>
        <v>40.802828354596642</v>
      </c>
      <c r="AA2002" s="214">
        <f ca="1">+$Y2002</f>
        <v>7.401410761154855</v>
      </c>
      <c r="AB2002" s="214">
        <f ca="1">+$X2002</f>
        <v>35.999999999999979</v>
      </c>
      <c r="AC2002" s="214">
        <f ca="1">+$W2002-XOffset</f>
        <v>40.802828354596642</v>
      </c>
    </row>
    <row r="2003" spans="19:29" ht="8.4" customHeight="1">
      <c r="S2003" s="307"/>
      <c r="T2003" s="226">
        <f t="shared" si="106"/>
        <v>2000</v>
      </c>
      <c r="U2003" s="224">
        <f t="shared" si="107"/>
        <v>1</v>
      </c>
      <c r="V2003" s="225">
        <f t="shared" si="108"/>
        <v>2</v>
      </c>
      <c r="W2003" s="237">
        <f ca="1">$U2003*EWSpacingFt+XOffset+PanArrayWidthHighEndFt</f>
        <v>40.802828354596642</v>
      </c>
      <c r="X2003" s="241">
        <f ca="1">$V2003*NSSpacingFt+YOffset+PanArrayLenFt*COS(RADIANS(Latitude+DecAng))</f>
        <v>52.439632545931744</v>
      </c>
      <c r="Y2003" s="245">
        <f ca="1">+$V2003*NSGradeFt+PedHeight+PanArrayLenFt*SIN(RADIANS(Latitude+DecAng))</f>
        <v>7.401410761154855</v>
      </c>
      <c r="Z2003" s="214">
        <f ca="1">+$W2003</f>
        <v>40.802828354596642</v>
      </c>
      <c r="AA2003" s="214">
        <f ca="1">+$Y2003</f>
        <v>7.401410761154855</v>
      </c>
      <c r="AB2003" s="214">
        <f ca="1">+$X2003</f>
        <v>52.439632545931744</v>
      </c>
      <c r="AC2003" s="214">
        <f ca="1">+$W2003-XOffset</f>
        <v>40.802828354596642</v>
      </c>
    </row>
    <row r="2004" spans="19:29" ht="8.4" customHeight="1">
      <c r="S2004" s="307"/>
      <c r="T2004" s="226">
        <f t="shared" si="106"/>
        <v>2001</v>
      </c>
      <c r="U2004" s="224">
        <f t="shared" si="107"/>
        <v>1</v>
      </c>
      <c r="V2004" s="225">
        <f t="shared" si="108"/>
        <v>2</v>
      </c>
      <c r="W2004" s="238">
        <f ca="1">$U2004*EWSpacingFt+XOffset+0</f>
        <v>30.000006832286932</v>
      </c>
      <c r="X2004" s="242">
        <f ca="1">$V2004*NSSpacingFt+YOffset+PanArrayLenFt*COS(RADIANS(Latitude+DecAng))</f>
        <v>52.439632545931744</v>
      </c>
      <c r="Y2004" s="246">
        <f ca="1">+$V2004*NSGradeFt+PedHeight+PanArrayLenFt*SIN(RADIANS(Latitude+DecAng))</f>
        <v>7.401410761154855</v>
      </c>
      <c r="Z2004" s="214">
        <f ca="1">+$W2004</f>
        <v>30.000006832286932</v>
      </c>
      <c r="AA2004" s="214">
        <f ca="1">+$Y2004</f>
        <v>7.401410761154855</v>
      </c>
      <c r="AB2004" s="214">
        <f ca="1">+$X2004</f>
        <v>52.439632545931744</v>
      </c>
      <c r="AC2004" s="214">
        <f ca="1">+$W2004-XOffset</f>
        <v>30.000006832286932</v>
      </c>
    </row>
    <row r="2005" spans="19:29" ht="8.4" customHeight="1">
      <c r="S2005" s="307"/>
      <c r="T2005" s="226">
        <f t="shared" si="106"/>
        <v>2002</v>
      </c>
      <c r="U2005" s="224">
        <f t="shared" si="107"/>
        <v>1</v>
      </c>
      <c r="V2005" s="225">
        <f t="shared" si="108"/>
        <v>2</v>
      </c>
      <c r="W2005" s="239">
        <f ca="1">$U2005*EWSpacingFt+XOffset+(PanArrayWidthHighEndFt-PanArrayWidthLowEndFt)/2</f>
        <v>30.000006832286932</v>
      </c>
      <c r="X2005" s="243">
        <f ca="1">$V2005*NSSpacingFt+YOffset+0</f>
        <v>35.999999999999979</v>
      </c>
      <c r="Y2005" s="247">
        <f ca="1">+$V2005*NSGradeFt+PedHeight+0</f>
        <v>7.401410761154855</v>
      </c>
      <c r="Z2005" s="214">
        <f ca="1">+$W2005</f>
        <v>30.000006832286932</v>
      </c>
      <c r="AA2005" s="214">
        <f ca="1">+$Y2005</f>
        <v>7.401410761154855</v>
      </c>
      <c r="AB2005" s="214">
        <f ca="1">+$X2005</f>
        <v>35.999999999999979</v>
      </c>
      <c r="AC2005" s="214">
        <f ca="1">+$W2005-XOffset</f>
        <v>30.000006832286932</v>
      </c>
    </row>
    <row r="2006" spans="19:29" ht="8.4" customHeight="1">
      <c r="S2006" s="307"/>
      <c r="T2006" s="226">
        <f t="shared" si="106"/>
        <v>2003</v>
      </c>
      <c r="U2006" s="224">
        <f t="shared" si="107"/>
        <v>1</v>
      </c>
      <c r="V2006" s="225">
        <f t="shared" si="108"/>
        <v>2</v>
      </c>
      <c r="W2006" s="217"/>
      <c r="X2006" s="217"/>
      <c r="Y2006" s="217"/>
      <c r="Z2006" s="214"/>
      <c r="AA2006" s="214"/>
      <c r="AB2006" s="214"/>
      <c r="AC2006" s="214"/>
    </row>
    <row r="2007" spans="19:29" ht="8.4" customHeight="1">
      <c r="S2007" s="307">
        <f>INT((T2007-0)/6)+1</f>
        <v>335</v>
      </c>
      <c r="T2007" s="226">
        <f t="shared" si="106"/>
        <v>2004</v>
      </c>
      <c r="U2007" s="224">
        <f t="shared" si="107"/>
        <v>0</v>
      </c>
      <c r="V2007" s="225">
        <f t="shared" si="108"/>
        <v>3</v>
      </c>
      <c r="W2007" s="233">
        <f ca="1">$U2007*EWSpacingFt+XOffset+(PanArrayWidthHighEndFt-PanArrayWidthLowEndFt)/2</f>
        <v>0</v>
      </c>
      <c r="X2007" s="234">
        <f ca="1">$V2007*NSSpacingFt+YOffset+0</f>
        <v>53.999999999999972</v>
      </c>
      <c r="Y2007" s="235">
        <f ca="1">+$V2007*NSGradeFt+PedHeight+0</f>
        <v>7.401410761154855</v>
      </c>
      <c r="Z2007" s="214">
        <f ca="1">+$W2007</f>
        <v>0</v>
      </c>
      <c r="AA2007" s="214">
        <f ca="1">+$Y2007</f>
        <v>7.401410761154855</v>
      </c>
      <c r="AB2007" s="214">
        <f ca="1">+$X2007</f>
        <v>53.999999999999972</v>
      </c>
      <c r="AC2007" s="214">
        <f ca="1">+$W2007-XOffset</f>
        <v>0</v>
      </c>
    </row>
    <row r="2008" spans="19:29" ht="8.4" customHeight="1">
      <c r="S2008" s="307"/>
      <c r="T2008" s="226">
        <f t="shared" si="106"/>
        <v>2005</v>
      </c>
      <c r="U2008" s="224">
        <f t="shared" si="107"/>
        <v>0</v>
      </c>
      <c r="V2008" s="225">
        <f t="shared" si="108"/>
        <v>3</v>
      </c>
      <c r="W2008" s="236">
        <f ca="1">+$U2008*EWSpacingFt+XOffset+PanArrayWidthHighEndFt-(PanArrayWidthHighEndFt-PanArrayWidthLowEndFt)/2</f>
        <v>10.80282152230971</v>
      </c>
      <c r="X2008" s="240">
        <f ca="1">$V2008*NSSpacingFt+YOffset+0</f>
        <v>53.999999999999972</v>
      </c>
      <c r="Y2008" s="244">
        <f ca="1">+$V2008*NSGradeFt+PedHeight+0</f>
        <v>7.401410761154855</v>
      </c>
      <c r="Z2008" s="214">
        <f ca="1">+$W2008</f>
        <v>10.80282152230971</v>
      </c>
      <c r="AA2008" s="214">
        <f ca="1">+$Y2008</f>
        <v>7.401410761154855</v>
      </c>
      <c r="AB2008" s="214">
        <f ca="1">+$X2008</f>
        <v>53.999999999999972</v>
      </c>
      <c r="AC2008" s="214">
        <f ca="1">+$W2008-XOffset</f>
        <v>10.80282152230971</v>
      </c>
    </row>
    <row r="2009" spans="19:29" ht="8.4" customHeight="1">
      <c r="S2009" s="307"/>
      <c r="T2009" s="226">
        <f t="shared" si="106"/>
        <v>2006</v>
      </c>
      <c r="U2009" s="224">
        <f t="shared" si="107"/>
        <v>0</v>
      </c>
      <c r="V2009" s="225">
        <f t="shared" si="108"/>
        <v>3</v>
      </c>
      <c r="W2009" s="237">
        <f ca="1">$U2009*EWSpacingFt+XOffset+PanArrayWidthHighEndFt</f>
        <v>10.80282152230971</v>
      </c>
      <c r="X2009" s="241">
        <f ca="1">$V2009*NSSpacingFt+YOffset+PanArrayLenFt*COS(RADIANS(Latitude+DecAng))</f>
        <v>70.43963254593173</v>
      </c>
      <c r="Y2009" s="245">
        <f ca="1">+$V2009*NSGradeFt+PedHeight+PanArrayLenFt*SIN(RADIANS(Latitude+DecAng))</f>
        <v>7.401410761154855</v>
      </c>
      <c r="Z2009" s="214">
        <f ca="1">+$W2009</f>
        <v>10.80282152230971</v>
      </c>
      <c r="AA2009" s="214">
        <f ca="1">+$Y2009</f>
        <v>7.401410761154855</v>
      </c>
      <c r="AB2009" s="214">
        <f ca="1">+$X2009</f>
        <v>70.43963254593173</v>
      </c>
      <c r="AC2009" s="214">
        <f ca="1">+$W2009-XOffset</f>
        <v>10.80282152230971</v>
      </c>
    </row>
    <row r="2010" spans="19:29" ht="8.4" customHeight="1">
      <c r="S2010" s="307"/>
      <c r="T2010" s="226">
        <f t="shared" si="106"/>
        <v>2007</v>
      </c>
      <c r="U2010" s="224">
        <f t="shared" si="107"/>
        <v>0</v>
      </c>
      <c r="V2010" s="225">
        <f t="shared" si="108"/>
        <v>3</v>
      </c>
      <c r="W2010" s="238">
        <f ca="1">$U2010*EWSpacingFt+XOffset+0</f>
        <v>0</v>
      </c>
      <c r="X2010" s="242">
        <f ca="1">$V2010*NSSpacingFt+YOffset+PanArrayLenFt*COS(RADIANS(Latitude+DecAng))</f>
        <v>70.43963254593173</v>
      </c>
      <c r="Y2010" s="246">
        <f ca="1">+$V2010*NSGradeFt+PedHeight+PanArrayLenFt*SIN(RADIANS(Latitude+DecAng))</f>
        <v>7.401410761154855</v>
      </c>
      <c r="Z2010" s="214">
        <f ca="1">+$W2010</f>
        <v>0</v>
      </c>
      <c r="AA2010" s="214">
        <f ca="1">+$Y2010</f>
        <v>7.401410761154855</v>
      </c>
      <c r="AB2010" s="214">
        <f ca="1">+$X2010</f>
        <v>70.43963254593173</v>
      </c>
      <c r="AC2010" s="214">
        <f ca="1">+$W2010-XOffset</f>
        <v>0</v>
      </c>
    </row>
    <row r="2011" spans="19:29" ht="8.4" customHeight="1">
      <c r="S2011" s="307"/>
      <c r="T2011" s="226">
        <f t="shared" si="106"/>
        <v>2008</v>
      </c>
      <c r="U2011" s="224">
        <f t="shared" si="107"/>
        <v>0</v>
      </c>
      <c r="V2011" s="225">
        <f t="shared" si="108"/>
        <v>3</v>
      </c>
      <c r="W2011" s="239">
        <f ca="1">$U2011*EWSpacingFt+XOffset+(PanArrayWidthHighEndFt-PanArrayWidthLowEndFt)/2</f>
        <v>0</v>
      </c>
      <c r="X2011" s="243">
        <f ca="1">$V2011*NSSpacingFt+YOffset+0</f>
        <v>53.999999999999972</v>
      </c>
      <c r="Y2011" s="247">
        <f ca="1">+$V2011*NSGradeFt+PedHeight+0</f>
        <v>7.401410761154855</v>
      </c>
      <c r="Z2011" s="214">
        <f ca="1">+$W2011</f>
        <v>0</v>
      </c>
      <c r="AA2011" s="214">
        <f ca="1">+$Y2011</f>
        <v>7.401410761154855</v>
      </c>
      <c r="AB2011" s="214">
        <f ca="1">+$X2011</f>
        <v>53.999999999999972</v>
      </c>
      <c r="AC2011" s="214">
        <f ca="1">+$W2011-XOffset</f>
        <v>0</v>
      </c>
    </row>
    <row r="2012" spans="19:29" ht="8.4" customHeight="1">
      <c r="S2012" s="307"/>
      <c r="T2012" s="226">
        <f t="shared" si="106"/>
        <v>2009</v>
      </c>
      <c r="U2012" s="224">
        <f t="shared" si="107"/>
        <v>0</v>
      </c>
      <c r="V2012" s="225">
        <f t="shared" si="108"/>
        <v>3</v>
      </c>
      <c r="W2012" s="217"/>
      <c r="X2012" s="217"/>
      <c r="Y2012" s="217"/>
      <c r="Z2012" s="214"/>
      <c r="AA2012" s="214"/>
      <c r="AB2012" s="214"/>
      <c r="AC2012" s="214"/>
    </row>
    <row r="2013" spans="19:29" ht="8.4" customHeight="1">
      <c r="S2013" s="307">
        <f>INT((T2013-0)/6)+1</f>
        <v>336</v>
      </c>
      <c r="T2013" s="226">
        <f t="shared" si="106"/>
        <v>2010</v>
      </c>
      <c r="U2013" s="224">
        <f t="shared" si="107"/>
        <v>1</v>
      </c>
      <c r="V2013" s="225">
        <f t="shared" si="108"/>
        <v>3</v>
      </c>
      <c r="W2013" s="233">
        <f ca="1">$U2013*EWSpacingFt+XOffset+(PanArrayWidthHighEndFt-PanArrayWidthLowEndFt)/2</f>
        <v>30.000006832286932</v>
      </c>
      <c r="X2013" s="234">
        <f ca="1">$V2013*NSSpacingFt+YOffset+0</f>
        <v>53.999999999999972</v>
      </c>
      <c r="Y2013" s="235">
        <f ca="1">+$V2013*NSGradeFt+PedHeight+0</f>
        <v>7.401410761154855</v>
      </c>
      <c r="Z2013" s="214">
        <f ca="1">+$W2013</f>
        <v>30.000006832286932</v>
      </c>
      <c r="AA2013" s="214">
        <f ca="1">+$Y2013</f>
        <v>7.401410761154855</v>
      </c>
      <c r="AB2013" s="214">
        <f ca="1">+$X2013</f>
        <v>53.999999999999972</v>
      </c>
      <c r="AC2013" s="214">
        <f ca="1">+$W2013-XOffset</f>
        <v>30.000006832286932</v>
      </c>
    </row>
    <row r="2014" spans="19:29" ht="8.4" customHeight="1">
      <c r="S2014" s="307"/>
      <c r="T2014" s="226">
        <f t="shared" si="106"/>
        <v>2011</v>
      </c>
      <c r="U2014" s="224">
        <f t="shared" si="107"/>
        <v>1</v>
      </c>
      <c r="V2014" s="225">
        <f t="shared" si="108"/>
        <v>3</v>
      </c>
      <c r="W2014" s="236">
        <f ca="1">+$U2014*EWSpacingFt+XOffset+PanArrayWidthHighEndFt-(PanArrayWidthHighEndFt-PanArrayWidthLowEndFt)/2</f>
        <v>40.802828354596642</v>
      </c>
      <c r="X2014" s="240">
        <f ca="1">$V2014*NSSpacingFt+YOffset+0</f>
        <v>53.999999999999972</v>
      </c>
      <c r="Y2014" s="244">
        <f ca="1">+$V2014*NSGradeFt+PedHeight+0</f>
        <v>7.401410761154855</v>
      </c>
      <c r="Z2014" s="214">
        <f ca="1">+$W2014</f>
        <v>40.802828354596642</v>
      </c>
      <c r="AA2014" s="214">
        <f ca="1">+$Y2014</f>
        <v>7.401410761154855</v>
      </c>
      <c r="AB2014" s="214">
        <f ca="1">+$X2014</f>
        <v>53.999999999999972</v>
      </c>
      <c r="AC2014" s="214">
        <f ca="1">+$W2014-XOffset</f>
        <v>40.802828354596642</v>
      </c>
    </row>
    <row r="2015" spans="19:29" ht="8.4" customHeight="1">
      <c r="S2015" s="307"/>
      <c r="T2015" s="226">
        <f t="shared" si="106"/>
        <v>2012</v>
      </c>
      <c r="U2015" s="224">
        <f t="shared" si="107"/>
        <v>1</v>
      </c>
      <c r="V2015" s="225">
        <f t="shared" si="108"/>
        <v>3</v>
      </c>
      <c r="W2015" s="237">
        <f ca="1">$U2015*EWSpacingFt+XOffset+PanArrayWidthHighEndFt</f>
        <v>40.802828354596642</v>
      </c>
      <c r="X2015" s="241">
        <f ca="1">$V2015*NSSpacingFt+YOffset+PanArrayLenFt*COS(RADIANS(Latitude+DecAng))</f>
        <v>70.43963254593173</v>
      </c>
      <c r="Y2015" s="245">
        <f ca="1">+$V2015*NSGradeFt+PedHeight+PanArrayLenFt*SIN(RADIANS(Latitude+DecAng))</f>
        <v>7.401410761154855</v>
      </c>
      <c r="Z2015" s="214">
        <f ca="1">+$W2015</f>
        <v>40.802828354596642</v>
      </c>
      <c r="AA2015" s="214">
        <f ca="1">+$Y2015</f>
        <v>7.401410761154855</v>
      </c>
      <c r="AB2015" s="214">
        <f ca="1">+$X2015</f>
        <v>70.43963254593173</v>
      </c>
      <c r="AC2015" s="214">
        <f ca="1">+$W2015-XOffset</f>
        <v>40.802828354596642</v>
      </c>
    </row>
    <row r="2016" spans="19:29" ht="8.4" customHeight="1">
      <c r="S2016" s="307"/>
      <c r="T2016" s="226">
        <f t="shared" si="106"/>
        <v>2013</v>
      </c>
      <c r="U2016" s="224">
        <f t="shared" si="107"/>
        <v>1</v>
      </c>
      <c r="V2016" s="225">
        <f t="shared" si="108"/>
        <v>3</v>
      </c>
      <c r="W2016" s="238">
        <f ca="1">$U2016*EWSpacingFt+XOffset+0</f>
        <v>30.000006832286932</v>
      </c>
      <c r="X2016" s="242">
        <f ca="1">$V2016*NSSpacingFt+YOffset+PanArrayLenFt*COS(RADIANS(Latitude+DecAng))</f>
        <v>70.43963254593173</v>
      </c>
      <c r="Y2016" s="246">
        <f ca="1">+$V2016*NSGradeFt+PedHeight+PanArrayLenFt*SIN(RADIANS(Latitude+DecAng))</f>
        <v>7.401410761154855</v>
      </c>
      <c r="Z2016" s="214">
        <f ca="1">+$W2016</f>
        <v>30.000006832286932</v>
      </c>
      <c r="AA2016" s="214">
        <f ca="1">+$Y2016</f>
        <v>7.401410761154855</v>
      </c>
      <c r="AB2016" s="214">
        <f ca="1">+$X2016</f>
        <v>70.43963254593173</v>
      </c>
      <c r="AC2016" s="214">
        <f ca="1">+$W2016-XOffset</f>
        <v>30.000006832286932</v>
      </c>
    </row>
    <row r="2017" spans="19:29" ht="8.4" customHeight="1">
      <c r="S2017" s="307"/>
      <c r="T2017" s="226">
        <f t="shared" si="106"/>
        <v>2014</v>
      </c>
      <c r="U2017" s="224">
        <f t="shared" si="107"/>
        <v>1</v>
      </c>
      <c r="V2017" s="225">
        <f t="shared" si="108"/>
        <v>3</v>
      </c>
      <c r="W2017" s="239">
        <f ca="1">$U2017*EWSpacingFt+XOffset+(PanArrayWidthHighEndFt-PanArrayWidthLowEndFt)/2</f>
        <v>30.000006832286932</v>
      </c>
      <c r="X2017" s="243">
        <f ca="1">$V2017*NSSpacingFt+YOffset+0</f>
        <v>53.999999999999972</v>
      </c>
      <c r="Y2017" s="247">
        <f ca="1">+$V2017*NSGradeFt+PedHeight+0</f>
        <v>7.401410761154855</v>
      </c>
      <c r="Z2017" s="214">
        <f ca="1">+$W2017</f>
        <v>30.000006832286932</v>
      </c>
      <c r="AA2017" s="214">
        <f ca="1">+$Y2017</f>
        <v>7.401410761154855</v>
      </c>
      <c r="AB2017" s="214">
        <f ca="1">+$X2017</f>
        <v>53.999999999999972</v>
      </c>
      <c r="AC2017" s="214">
        <f ca="1">+$W2017-XOffset</f>
        <v>30.000006832286932</v>
      </c>
    </row>
    <row r="2018" spans="19:29" ht="8.4" customHeight="1">
      <c r="S2018" s="307"/>
      <c r="T2018" s="226">
        <f t="shared" si="106"/>
        <v>2015</v>
      </c>
      <c r="U2018" s="224">
        <f t="shared" si="107"/>
        <v>1</v>
      </c>
      <c r="V2018" s="225">
        <f t="shared" si="108"/>
        <v>3</v>
      </c>
      <c r="W2018" s="217"/>
      <c r="X2018" s="217"/>
      <c r="Y2018" s="217"/>
      <c r="Z2018" s="214"/>
      <c r="AA2018" s="214"/>
      <c r="AB2018" s="214"/>
      <c r="AC2018" s="214"/>
    </row>
    <row r="2019" spans="19:29" ht="8.4" customHeight="1">
      <c r="S2019" s="307">
        <f>INT((T2019-0)/6)+1</f>
        <v>337</v>
      </c>
      <c r="T2019" s="226">
        <f t="shared" si="106"/>
        <v>2016</v>
      </c>
      <c r="U2019" s="224">
        <f t="shared" si="107"/>
        <v>0</v>
      </c>
      <c r="V2019" s="225">
        <f t="shared" si="108"/>
        <v>0</v>
      </c>
      <c r="W2019" s="233">
        <f ca="1">$U2019*EWSpacingFt+XOffset+(PanArrayWidthHighEndFt-PanArrayWidthLowEndFt)/2</f>
        <v>0</v>
      </c>
      <c r="X2019" s="234">
        <f ca="1">$V2019*NSSpacingFt+YOffset+0</f>
        <v>0</v>
      </c>
      <c r="Y2019" s="235">
        <f ca="1">+$V2019*NSGradeFt+PedHeight+0</f>
        <v>7.401410761154855</v>
      </c>
      <c r="Z2019" s="214">
        <f ca="1">+$W2019</f>
        <v>0</v>
      </c>
      <c r="AA2019" s="214">
        <f ca="1">+$Y2019</f>
        <v>7.401410761154855</v>
      </c>
      <c r="AB2019" s="214">
        <f ca="1">+$X2019</f>
        <v>0</v>
      </c>
      <c r="AC2019" s="214">
        <f ca="1">+$W2019-XOffset</f>
        <v>0</v>
      </c>
    </row>
    <row r="2020" spans="19:29" ht="8.4" customHeight="1">
      <c r="S2020" s="307"/>
      <c r="T2020" s="226">
        <f t="shared" si="106"/>
        <v>2017</v>
      </c>
      <c r="U2020" s="224">
        <f t="shared" si="107"/>
        <v>0</v>
      </c>
      <c r="V2020" s="225">
        <f t="shared" si="108"/>
        <v>0</v>
      </c>
      <c r="W2020" s="236">
        <f ca="1">+$U2020*EWSpacingFt+XOffset+PanArrayWidthHighEndFt-(PanArrayWidthHighEndFt-PanArrayWidthLowEndFt)/2</f>
        <v>10.80282152230971</v>
      </c>
      <c r="X2020" s="240">
        <f ca="1">$V2020*NSSpacingFt+YOffset+0</f>
        <v>0</v>
      </c>
      <c r="Y2020" s="244">
        <f ca="1">+$V2020*NSGradeFt+PedHeight+0</f>
        <v>7.401410761154855</v>
      </c>
      <c r="Z2020" s="214">
        <f ca="1">+$W2020</f>
        <v>10.80282152230971</v>
      </c>
      <c r="AA2020" s="214">
        <f ca="1">+$Y2020</f>
        <v>7.401410761154855</v>
      </c>
      <c r="AB2020" s="214">
        <f ca="1">+$X2020</f>
        <v>0</v>
      </c>
      <c r="AC2020" s="214">
        <f ca="1">+$W2020-XOffset</f>
        <v>10.80282152230971</v>
      </c>
    </row>
    <row r="2021" spans="19:29" ht="8.4" customHeight="1">
      <c r="S2021" s="307"/>
      <c r="T2021" s="226">
        <f t="shared" ref="T2021:T2084" si="109">+T2020+1</f>
        <v>2018</v>
      </c>
      <c r="U2021" s="224">
        <f t="shared" si="107"/>
        <v>0</v>
      </c>
      <c r="V2021" s="225">
        <f t="shared" si="108"/>
        <v>0</v>
      </c>
      <c r="W2021" s="237">
        <f ca="1">$U2021*EWSpacingFt+XOffset+PanArrayWidthHighEndFt</f>
        <v>10.80282152230971</v>
      </c>
      <c r="X2021" s="241">
        <f ca="1">$V2021*NSSpacingFt+YOffset+PanArrayLenFt*COS(RADIANS(Latitude+DecAng))</f>
        <v>16.439632545931762</v>
      </c>
      <c r="Y2021" s="245">
        <f ca="1">+$V2021*NSGradeFt+PedHeight+PanArrayLenFt*SIN(RADIANS(Latitude+DecAng))</f>
        <v>7.401410761154855</v>
      </c>
      <c r="Z2021" s="214">
        <f ca="1">+$W2021</f>
        <v>10.80282152230971</v>
      </c>
      <c r="AA2021" s="214">
        <f ca="1">+$Y2021</f>
        <v>7.401410761154855</v>
      </c>
      <c r="AB2021" s="214">
        <f ca="1">+$X2021</f>
        <v>16.439632545931762</v>
      </c>
      <c r="AC2021" s="214">
        <f ca="1">+$W2021-XOffset</f>
        <v>10.80282152230971</v>
      </c>
    </row>
    <row r="2022" spans="19:29" ht="8.4" customHeight="1">
      <c r="S2022" s="307"/>
      <c r="T2022" s="226">
        <f t="shared" si="109"/>
        <v>2019</v>
      </c>
      <c r="U2022" s="224">
        <f t="shared" si="107"/>
        <v>0</v>
      </c>
      <c r="V2022" s="225">
        <f t="shared" si="108"/>
        <v>0</v>
      </c>
      <c r="W2022" s="238">
        <f ca="1">$U2022*EWSpacingFt+XOffset+0</f>
        <v>0</v>
      </c>
      <c r="X2022" s="242">
        <f ca="1">$V2022*NSSpacingFt+YOffset+PanArrayLenFt*COS(RADIANS(Latitude+DecAng))</f>
        <v>16.439632545931762</v>
      </c>
      <c r="Y2022" s="246">
        <f ca="1">+$V2022*NSGradeFt+PedHeight+PanArrayLenFt*SIN(RADIANS(Latitude+DecAng))</f>
        <v>7.401410761154855</v>
      </c>
      <c r="Z2022" s="214">
        <f ca="1">+$W2022</f>
        <v>0</v>
      </c>
      <c r="AA2022" s="214">
        <f ca="1">+$Y2022</f>
        <v>7.401410761154855</v>
      </c>
      <c r="AB2022" s="214">
        <f ca="1">+$X2022</f>
        <v>16.439632545931762</v>
      </c>
      <c r="AC2022" s="214">
        <f ca="1">+$W2022-XOffset</f>
        <v>0</v>
      </c>
    </row>
    <row r="2023" spans="19:29" ht="8.4" customHeight="1">
      <c r="S2023" s="307"/>
      <c r="T2023" s="226">
        <f t="shared" si="109"/>
        <v>2020</v>
      </c>
      <c r="U2023" s="224">
        <f t="shared" si="107"/>
        <v>0</v>
      </c>
      <c r="V2023" s="225">
        <f t="shared" si="108"/>
        <v>0</v>
      </c>
      <c r="W2023" s="239">
        <f ca="1">$U2023*EWSpacingFt+XOffset+(PanArrayWidthHighEndFt-PanArrayWidthLowEndFt)/2</f>
        <v>0</v>
      </c>
      <c r="X2023" s="243">
        <f ca="1">$V2023*NSSpacingFt+YOffset+0</f>
        <v>0</v>
      </c>
      <c r="Y2023" s="247">
        <f ca="1">+$V2023*NSGradeFt+PedHeight+0</f>
        <v>7.401410761154855</v>
      </c>
      <c r="Z2023" s="214">
        <f ca="1">+$W2023</f>
        <v>0</v>
      </c>
      <c r="AA2023" s="214">
        <f ca="1">+$Y2023</f>
        <v>7.401410761154855</v>
      </c>
      <c r="AB2023" s="214">
        <f ca="1">+$X2023</f>
        <v>0</v>
      </c>
      <c r="AC2023" s="214">
        <f ca="1">+$W2023-XOffset</f>
        <v>0</v>
      </c>
    </row>
    <row r="2024" spans="19:29" ht="8.4" customHeight="1">
      <c r="S2024" s="307"/>
      <c r="T2024" s="226">
        <f t="shared" si="109"/>
        <v>2021</v>
      </c>
      <c r="U2024" s="224">
        <f t="shared" si="107"/>
        <v>0</v>
      </c>
      <c r="V2024" s="225">
        <f t="shared" si="108"/>
        <v>0</v>
      </c>
      <c r="W2024" s="217"/>
      <c r="X2024" s="217"/>
      <c r="Y2024" s="217"/>
      <c r="Z2024" s="214"/>
      <c r="AA2024" s="214"/>
      <c r="AB2024" s="214"/>
      <c r="AC2024" s="214"/>
    </row>
    <row r="2025" spans="19:29" ht="8.4" customHeight="1">
      <c r="S2025" s="307">
        <f>INT((T2025-0)/6)+1</f>
        <v>338</v>
      </c>
      <c r="T2025" s="226">
        <f t="shared" si="109"/>
        <v>2022</v>
      </c>
      <c r="U2025" s="224">
        <f t="shared" si="107"/>
        <v>1</v>
      </c>
      <c r="V2025" s="225">
        <f t="shared" si="108"/>
        <v>0</v>
      </c>
      <c r="W2025" s="233">
        <f ca="1">$U2025*EWSpacingFt+XOffset+(PanArrayWidthHighEndFt-PanArrayWidthLowEndFt)/2</f>
        <v>30.000006832286932</v>
      </c>
      <c r="X2025" s="234">
        <f ca="1">$V2025*NSSpacingFt+YOffset+0</f>
        <v>0</v>
      </c>
      <c r="Y2025" s="235">
        <f ca="1">+$V2025*NSGradeFt+PedHeight+0</f>
        <v>7.401410761154855</v>
      </c>
      <c r="Z2025" s="214">
        <f ca="1">+$W2025</f>
        <v>30.000006832286932</v>
      </c>
      <c r="AA2025" s="214">
        <f ca="1">+$Y2025</f>
        <v>7.401410761154855</v>
      </c>
      <c r="AB2025" s="214">
        <f ca="1">+$X2025</f>
        <v>0</v>
      </c>
      <c r="AC2025" s="214">
        <f ca="1">+$W2025-XOffset</f>
        <v>30.000006832286932</v>
      </c>
    </row>
    <row r="2026" spans="19:29" ht="8.4" customHeight="1">
      <c r="S2026" s="307"/>
      <c r="T2026" s="226">
        <f t="shared" si="109"/>
        <v>2023</v>
      </c>
      <c r="U2026" s="224">
        <f t="shared" si="107"/>
        <v>1</v>
      </c>
      <c r="V2026" s="225">
        <f t="shared" si="108"/>
        <v>0</v>
      </c>
      <c r="W2026" s="236">
        <f ca="1">+$U2026*EWSpacingFt+XOffset+PanArrayWidthHighEndFt-(PanArrayWidthHighEndFt-PanArrayWidthLowEndFt)/2</f>
        <v>40.802828354596642</v>
      </c>
      <c r="X2026" s="240">
        <f ca="1">$V2026*NSSpacingFt+YOffset+0</f>
        <v>0</v>
      </c>
      <c r="Y2026" s="244">
        <f ca="1">+$V2026*NSGradeFt+PedHeight+0</f>
        <v>7.401410761154855</v>
      </c>
      <c r="Z2026" s="214">
        <f ca="1">+$W2026</f>
        <v>40.802828354596642</v>
      </c>
      <c r="AA2026" s="214">
        <f ca="1">+$Y2026</f>
        <v>7.401410761154855</v>
      </c>
      <c r="AB2026" s="214">
        <f ca="1">+$X2026</f>
        <v>0</v>
      </c>
      <c r="AC2026" s="214">
        <f ca="1">+$W2026-XOffset</f>
        <v>40.802828354596642</v>
      </c>
    </row>
    <row r="2027" spans="19:29" ht="8.4" customHeight="1">
      <c r="S2027" s="307"/>
      <c r="T2027" s="226">
        <f t="shared" si="109"/>
        <v>2024</v>
      </c>
      <c r="U2027" s="224">
        <f t="shared" si="107"/>
        <v>1</v>
      </c>
      <c r="V2027" s="225">
        <f t="shared" si="108"/>
        <v>0</v>
      </c>
      <c r="W2027" s="237">
        <f ca="1">$U2027*EWSpacingFt+XOffset+PanArrayWidthHighEndFt</f>
        <v>40.802828354596642</v>
      </c>
      <c r="X2027" s="241">
        <f ca="1">$V2027*NSSpacingFt+YOffset+PanArrayLenFt*COS(RADIANS(Latitude+DecAng))</f>
        <v>16.439632545931762</v>
      </c>
      <c r="Y2027" s="245">
        <f ca="1">+$V2027*NSGradeFt+PedHeight+PanArrayLenFt*SIN(RADIANS(Latitude+DecAng))</f>
        <v>7.401410761154855</v>
      </c>
      <c r="Z2027" s="214">
        <f ca="1">+$W2027</f>
        <v>40.802828354596642</v>
      </c>
      <c r="AA2027" s="214">
        <f ca="1">+$Y2027</f>
        <v>7.401410761154855</v>
      </c>
      <c r="AB2027" s="214">
        <f ca="1">+$X2027</f>
        <v>16.439632545931762</v>
      </c>
      <c r="AC2027" s="214">
        <f ca="1">+$W2027-XOffset</f>
        <v>40.802828354596642</v>
      </c>
    </row>
    <row r="2028" spans="19:29" ht="8.4" customHeight="1">
      <c r="S2028" s="307"/>
      <c r="T2028" s="226">
        <f t="shared" si="109"/>
        <v>2025</v>
      </c>
      <c r="U2028" s="224">
        <f t="shared" si="107"/>
        <v>1</v>
      </c>
      <c r="V2028" s="225">
        <f t="shared" si="108"/>
        <v>0</v>
      </c>
      <c r="W2028" s="238">
        <f ca="1">$U2028*EWSpacingFt+XOffset+0</f>
        <v>30.000006832286932</v>
      </c>
      <c r="X2028" s="242">
        <f ca="1">$V2028*NSSpacingFt+YOffset+PanArrayLenFt*COS(RADIANS(Latitude+DecAng))</f>
        <v>16.439632545931762</v>
      </c>
      <c r="Y2028" s="246">
        <f ca="1">+$V2028*NSGradeFt+PedHeight+PanArrayLenFt*SIN(RADIANS(Latitude+DecAng))</f>
        <v>7.401410761154855</v>
      </c>
      <c r="Z2028" s="214">
        <f ca="1">+$W2028</f>
        <v>30.000006832286932</v>
      </c>
      <c r="AA2028" s="214">
        <f ca="1">+$Y2028</f>
        <v>7.401410761154855</v>
      </c>
      <c r="AB2028" s="214">
        <f ca="1">+$X2028</f>
        <v>16.439632545931762</v>
      </c>
      <c r="AC2028" s="214">
        <f ca="1">+$W2028-XOffset</f>
        <v>30.000006832286932</v>
      </c>
    </row>
    <row r="2029" spans="19:29" ht="8.4" customHeight="1">
      <c r="S2029" s="307"/>
      <c r="T2029" s="226">
        <f t="shared" si="109"/>
        <v>2026</v>
      </c>
      <c r="U2029" s="224">
        <f t="shared" si="107"/>
        <v>1</v>
      </c>
      <c r="V2029" s="225">
        <f t="shared" si="108"/>
        <v>0</v>
      </c>
      <c r="W2029" s="239">
        <f ca="1">$U2029*EWSpacingFt+XOffset+(PanArrayWidthHighEndFt-PanArrayWidthLowEndFt)/2</f>
        <v>30.000006832286932</v>
      </c>
      <c r="X2029" s="243">
        <f ca="1">$V2029*NSSpacingFt+YOffset+0</f>
        <v>0</v>
      </c>
      <c r="Y2029" s="247">
        <f ca="1">+$V2029*NSGradeFt+PedHeight+0</f>
        <v>7.401410761154855</v>
      </c>
      <c r="Z2029" s="214">
        <f ca="1">+$W2029</f>
        <v>30.000006832286932</v>
      </c>
      <c r="AA2029" s="214">
        <f ca="1">+$Y2029</f>
        <v>7.401410761154855</v>
      </c>
      <c r="AB2029" s="214">
        <f ca="1">+$X2029</f>
        <v>0</v>
      </c>
      <c r="AC2029" s="214">
        <f ca="1">+$W2029-XOffset</f>
        <v>30.000006832286932</v>
      </c>
    </row>
    <row r="2030" spans="19:29" ht="8.4" customHeight="1">
      <c r="S2030" s="307"/>
      <c r="T2030" s="226">
        <f t="shared" si="109"/>
        <v>2027</v>
      </c>
      <c r="U2030" s="224">
        <f t="shared" si="107"/>
        <v>1</v>
      </c>
      <c r="V2030" s="225">
        <f t="shared" si="108"/>
        <v>0</v>
      </c>
      <c r="W2030" s="217"/>
      <c r="X2030" s="217"/>
      <c r="Y2030" s="217"/>
      <c r="Z2030" s="214"/>
      <c r="AA2030" s="214"/>
      <c r="AB2030" s="214"/>
      <c r="AC2030" s="214"/>
    </row>
    <row r="2031" spans="19:29" ht="8.4" customHeight="1">
      <c r="S2031" s="307">
        <f>INT((T2031-0)/6)+1</f>
        <v>339</v>
      </c>
      <c r="T2031" s="226">
        <f t="shared" si="109"/>
        <v>2028</v>
      </c>
      <c r="U2031" s="224">
        <f t="shared" si="107"/>
        <v>0</v>
      </c>
      <c r="V2031" s="225">
        <f t="shared" si="108"/>
        <v>1</v>
      </c>
      <c r="W2031" s="233">
        <f ca="1">$U2031*EWSpacingFt+XOffset+(PanArrayWidthHighEndFt-PanArrayWidthLowEndFt)/2</f>
        <v>0</v>
      </c>
      <c r="X2031" s="234">
        <f ca="1">$V2031*NSSpacingFt+YOffset+0</f>
        <v>17.999999999999989</v>
      </c>
      <c r="Y2031" s="235">
        <f ca="1">+$V2031*NSGradeFt+PedHeight+0</f>
        <v>7.401410761154855</v>
      </c>
      <c r="Z2031" s="214">
        <f ca="1">+$W2031</f>
        <v>0</v>
      </c>
      <c r="AA2031" s="214">
        <f ca="1">+$Y2031</f>
        <v>7.401410761154855</v>
      </c>
      <c r="AB2031" s="214">
        <f ca="1">+$X2031</f>
        <v>17.999999999999989</v>
      </c>
      <c r="AC2031" s="214">
        <f ca="1">+$W2031-XOffset</f>
        <v>0</v>
      </c>
    </row>
    <row r="2032" spans="19:29" ht="8.4" customHeight="1">
      <c r="S2032" s="307"/>
      <c r="T2032" s="226">
        <f t="shared" si="109"/>
        <v>2029</v>
      </c>
      <c r="U2032" s="224">
        <f t="shared" si="107"/>
        <v>0</v>
      </c>
      <c r="V2032" s="225">
        <f t="shared" si="108"/>
        <v>1</v>
      </c>
      <c r="W2032" s="236">
        <f ca="1">+$U2032*EWSpacingFt+XOffset+PanArrayWidthHighEndFt-(PanArrayWidthHighEndFt-PanArrayWidthLowEndFt)/2</f>
        <v>10.80282152230971</v>
      </c>
      <c r="X2032" s="240">
        <f ca="1">$V2032*NSSpacingFt+YOffset+0</f>
        <v>17.999999999999989</v>
      </c>
      <c r="Y2032" s="244">
        <f ca="1">+$V2032*NSGradeFt+PedHeight+0</f>
        <v>7.401410761154855</v>
      </c>
      <c r="Z2032" s="214">
        <f ca="1">+$W2032</f>
        <v>10.80282152230971</v>
      </c>
      <c r="AA2032" s="214">
        <f ca="1">+$Y2032</f>
        <v>7.401410761154855</v>
      </c>
      <c r="AB2032" s="214">
        <f ca="1">+$X2032</f>
        <v>17.999999999999989</v>
      </c>
      <c r="AC2032" s="214">
        <f ca="1">+$W2032-XOffset</f>
        <v>10.80282152230971</v>
      </c>
    </row>
    <row r="2033" spans="19:29" ht="8.4" customHeight="1">
      <c r="S2033" s="307"/>
      <c r="T2033" s="226">
        <f t="shared" si="109"/>
        <v>2030</v>
      </c>
      <c r="U2033" s="224">
        <f t="shared" si="107"/>
        <v>0</v>
      </c>
      <c r="V2033" s="225">
        <f t="shared" si="108"/>
        <v>1</v>
      </c>
      <c r="W2033" s="237">
        <f ca="1">$U2033*EWSpacingFt+XOffset+PanArrayWidthHighEndFt</f>
        <v>10.80282152230971</v>
      </c>
      <c r="X2033" s="241">
        <f ca="1">$V2033*NSSpacingFt+YOffset+PanArrayLenFt*COS(RADIANS(Latitude+DecAng))</f>
        <v>34.439632545931751</v>
      </c>
      <c r="Y2033" s="245">
        <f ca="1">+$V2033*NSGradeFt+PedHeight+PanArrayLenFt*SIN(RADIANS(Latitude+DecAng))</f>
        <v>7.401410761154855</v>
      </c>
      <c r="Z2033" s="214">
        <f ca="1">+$W2033</f>
        <v>10.80282152230971</v>
      </c>
      <c r="AA2033" s="214">
        <f ca="1">+$Y2033</f>
        <v>7.401410761154855</v>
      </c>
      <c r="AB2033" s="214">
        <f ca="1">+$X2033</f>
        <v>34.439632545931751</v>
      </c>
      <c r="AC2033" s="214">
        <f ca="1">+$W2033-XOffset</f>
        <v>10.80282152230971</v>
      </c>
    </row>
    <row r="2034" spans="19:29" ht="8.4" customHeight="1">
      <c r="S2034" s="307"/>
      <c r="T2034" s="226">
        <f t="shared" si="109"/>
        <v>2031</v>
      </c>
      <c r="U2034" s="224">
        <f t="shared" si="107"/>
        <v>0</v>
      </c>
      <c r="V2034" s="225">
        <f t="shared" si="108"/>
        <v>1</v>
      </c>
      <c r="W2034" s="238">
        <f ca="1">$U2034*EWSpacingFt+XOffset+0</f>
        <v>0</v>
      </c>
      <c r="X2034" s="242">
        <f ca="1">$V2034*NSSpacingFt+YOffset+PanArrayLenFt*COS(RADIANS(Latitude+DecAng))</f>
        <v>34.439632545931751</v>
      </c>
      <c r="Y2034" s="246">
        <f ca="1">+$V2034*NSGradeFt+PedHeight+PanArrayLenFt*SIN(RADIANS(Latitude+DecAng))</f>
        <v>7.401410761154855</v>
      </c>
      <c r="Z2034" s="214">
        <f ca="1">+$W2034</f>
        <v>0</v>
      </c>
      <c r="AA2034" s="214">
        <f ca="1">+$Y2034</f>
        <v>7.401410761154855</v>
      </c>
      <c r="AB2034" s="214">
        <f ca="1">+$X2034</f>
        <v>34.439632545931751</v>
      </c>
      <c r="AC2034" s="214">
        <f ca="1">+$W2034-XOffset</f>
        <v>0</v>
      </c>
    </row>
    <row r="2035" spans="19:29" ht="8.4" customHeight="1">
      <c r="S2035" s="307"/>
      <c r="T2035" s="226">
        <f t="shared" si="109"/>
        <v>2032</v>
      </c>
      <c r="U2035" s="224">
        <f t="shared" si="107"/>
        <v>0</v>
      </c>
      <c r="V2035" s="225">
        <f t="shared" si="108"/>
        <v>1</v>
      </c>
      <c r="W2035" s="239">
        <f ca="1">$U2035*EWSpacingFt+XOffset+(PanArrayWidthHighEndFt-PanArrayWidthLowEndFt)/2</f>
        <v>0</v>
      </c>
      <c r="X2035" s="243">
        <f ca="1">$V2035*NSSpacingFt+YOffset+0</f>
        <v>17.999999999999989</v>
      </c>
      <c r="Y2035" s="247">
        <f ca="1">+$V2035*NSGradeFt+PedHeight+0</f>
        <v>7.401410761154855</v>
      </c>
      <c r="Z2035" s="214">
        <f ca="1">+$W2035</f>
        <v>0</v>
      </c>
      <c r="AA2035" s="214">
        <f ca="1">+$Y2035</f>
        <v>7.401410761154855</v>
      </c>
      <c r="AB2035" s="214">
        <f ca="1">+$X2035</f>
        <v>17.999999999999989</v>
      </c>
      <c r="AC2035" s="214">
        <f ca="1">+$W2035-XOffset</f>
        <v>0</v>
      </c>
    </row>
    <row r="2036" spans="19:29" ht="8.4" customHeight="1">
      <c r="S2036" s="307"/>
      <c r="T2036" s="226">
        <f t="shared" si="109"/>
        <v>2033</v>
      </c>
      <c r="U2036" s="224">
        <f t="shared" si="107"/>
        <v>0</v>
      </c>
      <c r="V2036" s="225">
        <f t="shared" si="108"/>
        <v>1</v>
      </c>
      <c r="W2036" s="217"/>
      <c r="X2036" s="217"/>
      <c r="Y2036" s="217"/>
      <c r="Z2036" s="214"/>
      <c r="AA2036" s="214"/>
      <c r="AB2036" s="214"/>
      <c r="AC2036" s="214"/>
    </row>
    <row r="2037" spans="19:29" ht="8.4" customHeight="1">
      <c r="S2037" s="307">
        <f>INT((T2037-0)/6)+1</f>
        <v>340</v>
      </c>
      <c r="T2037" s="226">
        <f t="shared" si="109"/>
        <v>2034</v>
      </c>
      <c r="U2037" s="224">
        <f t="shared" si="107"/>
        <v>1</v>
      </c>
      <c r="V2037" s="225">
        <f t="shared" si="108"/>
        <v>1</v>
      </c>
      <c r="W2037" s="233">
        <f ca="1">$U2037*EWSpacingFt+XOffset+(PanArrayWidthHighEndFt-PanArrayWidthLowEndFt)/2</f>
        <v>30.000006832286932</v>
      </c>
      <c r="X2037" s="234">
        <f ca="1">$V2037*NSSpacingFt+YOffset+0</f>
        <v>17.999999999999989</v>
      </c>
      <c r="Y2037" s="235">
        <f ca="1">+$V2037*NSGradeFt+PedHeight+0</f>
        <v>7.401410761154855</v>
      </c>
      <c r="Z2037" s="214">
        <f ca="1">+$W2037</f>
        <v>30.000006832286932</v>
      </c>
      <c r="AA2037" s="214">
        <f ca="1">+$Y2037</f>
        <v>7.401410761154855</v>
      </c>
      <c r="AB2037" s="214">
        <f ca="1">+$X2037</f>
        <v>17.999999999999989</v>
      </c>
      <c r="AC2037" s="214">
        <f ca="1">+$W2037-XOffset</f>
        <v>30.000006832286932</v>
      </c>
    </row>
    <row r="2038" spans="19:29" ht="8.4" customHeight="1">
      <c r="S2038" s="307"/>
      <c r="T2038" s="226">
        <f t="shared" si="109"/>
        <v>2035</v>
      </c>
      <c r="U2038" s="224">
        <f t="shared" si="107"/>
        <v>1</v>
      </c>
      <c r="V2038" s="225">
        <f t="shared" si="108"/>
        <v>1</v>
      </c>
      <c r="W2038" s="236">
        <f ca="1">+$U2038*EWSpacingFt+XOffset+PanArrayWidthHighEndFt-(PanArrayWidthHighEndFt-PanArrayWidthLowEndFt)/2</f>
        <v>40.802828354596642</v>
      </c>
      <c r="X2038" s="240">
        <f ca="1">$V2038*NSSpacingFt+YOffset+0</f>
        <v>17.999999999999989</v>
      </c>
      <c r="Y2038" s="244">
        <f ca="1">+$V2038*NSGradeFt+PedHeight+0</f>
        <v>7.401410761154855</v>
      </c>
      <c r="Z2038" s="214">
        <f ca="1">+$W2038</f>
        <v>40.802828354596642</v>
      </c>
      <c r="AA2038" s="214">
        <f ca="1">+$Y2038</f>
        <v>7.401410761154855</v>
      </c>
      <c r="AB2038" s="214">
        <f ca="1">+$X2038</f>
        <v>17.999999999999989</v>
      </c>
      <c r="AC2038" s="214">
        <f ca="1">+$W2038-XOffset</f>
        <v>40.802828354596642</v>
      </c>
    </row>
    <row r="2039" spans="19:29" ht="8.4" customHeight="1">
      <c r="S2039" s="307"/>
      <c r="T2039" s="226">
        <f t="shared" si="109"/>
        <v>2036</v>
      </c>
      <c r="U2039" s="224">
        <f t="shared" si="107"/>
        <v>1</v>
      </c>
      <c r="V2039" s="225">
        <f t="shared" si="108"/>
        <v>1</v>
      </c>
      <c r="W2039" s="237">
        <f ca="1">$U2039*EWSpacingFt+XOffset+PanArrayWidthHighEndFt</f>
        <v>40.802828354596642</v>
      </c>
      <c r="X2039" s="241">
        <f ca="1">$V2039*NSSpacingFt+YOffset+PanArrayLenFt*COS(RADIANS(Latitude+DecAng))</f>
        <v>34.439632545931751</v>
      </c>
      <c r="Y2039" s="245">
        <f ca="1">+$V2039*NSGradeFt+PedHeight+PanArrayLenFt*SIN(RADIANS(Latitude+DecAng))</f>
        <v>7.401410761154855</v>
      </c>
      <c r="Z2039" s="214">
        <f ca="1">+$W2039</f>
        <v>40.802828354596642</v>
      </c>
      <c r="AA2039" s="214">
        <f ca="1">+$Y2039</f>
        <v>7.401410761154855</v>
      </c>
      <c r="AB2039" s="214">
        <f ca="1">+$X2039</f>
        <v>34.439632545931751</v>
      </c>
      <c r="AC2039" s="214">
        <f ca="1">+$W2039-XOffset</f>
        <v>40.802828354596642</v>
      </c>
    </row>
    <row r="2040" spans="19:29" ht="8.4" customHeight="1">
      <c r="S2040" s="307"/>
      <c r="T2040" s="226">
        <f t="shared" si="109"/>
        <v>2037</v>
      </c>
      <c r="U2040" s="224">
        <f t="shared" si="107"/>
        <v>1</v>
      </c>
      <c r="V2040" s="225">
        <f t="shared" si="108"/>
        <v>1</v>
      </c>
      <c r="W2040" s="238">
        <f ca="1">$U2040*EWSpacingFt+XOffset+0</f>
        <v>30.000006832286932</v>
      </c>
      <c r="X2040" s="242">
        <f ca="1">$V2040*NSSpacingFt+YOffset+PanArrayLenFt*COS(RADIANS(Latitude+DecAng))</f>
        <v>34.439632545931751</v>
      </c>
      <c r="Y2040" s="246">
        <f ca="1">+$V2040*NSGradeFt+PedHeight+PanArrayLenFt*SIN(RADIANS(Latitude+DecAng))</f>
        <v>7.401410761154855</v>
      </c>
      <c r="Z2040" s="214">
        <f ca="1">+$W2040</f>
        <v>30.000006832286932</v>
      </c>
      <c r="AA2040" s="214">
        <f ca="1">+$Y2040</f>
        <v>7.401410761154855</v>
      </c>
      <c r="AB2040" s="214">
        <f ca="1">+$X2040</f>
        <v>34.439632545931751</v>
      </c>
      <c r="AC2040" s="214">
        <f ca="1">+$W2040-XOffset</f>
        <v>30.000006832286932</v>
      </c>
    </row>
    <row r="2041" spans="19:29" ht="8.4" customHeight="1">
      <c r="S2041" s="307"/>
      <c r="T2041" s="226">
        <f t="shared" si="109"/>
        <v>2038</v>
      </c>
      <c r="U2041" s="224">
        <f t="shared" si="107"/>
        <v>1</v>
      </c>
      <c r="V2041" s="225">
        <f t="shared" si="108"/>
        <v>1</v>
      </c>
      <c r="W2041" s="239">
        <f ca="1">$U2041*EWSpacingFt+XOffset+(PanArrayWidthHighEndFt-PanArrayWidthLowEndFt)/2</f>
        <v>30.000006832286932</v>
      </c>
      <c r="X2041" s="243">
        <f ca="1">$V2041*NSSpacingFt+YOffset+0</f>
        <v>17.999999999999989</v>
      </c>
      <c r="Y2041" s="247">
        <f ca="1">+$V2041*NSGradeFt+PedHeight+0</f>
        <v>7.401410761154855</v>
      </c>
      <c r="Z2041" s="214">
        <f ca="1">+$W2041</f>
        <v>30.000006832286932</v>
      </c>
      <c r="AA2041" s="214">
        <f ca="1">+$Y2041</f>
        <v>7.401410761154855</v>
      </c>
      <c r="AB2041" s="214">
        <f ca="1">+$X2041</f>
        <v>17.999999999999989</v>
      </c>
      <c r="AC2041" s="214">
        <f ca="1">+$W2041-XOffset</f>
        <v>30.000006832286932</v>
      </c>
    </row>
    <row r="2042" spans="19:29" ht="8.4" customHeight="1">
      <c r="S2042" s="307"/>
      <c r="T2042" s="226">
        <f t="shared" si="109"/>
        <v>2039</v>
      </c>
      <c r="U2042" s="224">
        <f t="shared" si="107"/>
        <v>1</v>
      </c>
      <c r="V2042" s="225">
        <f t="shared" si="108"/>
        <v>1</v>
      </c>
      <c r="W2042" s="217"/>
      <c r="X2042" s="217"/>
      <c r="Y2042" s="217"/>
      <c r="Z2042" s="214"/>
      <c r="AA2042" s="214"/>
      <c r="AB2042" s="214"/>
      <c r="AC2042" s="214"/>
    </row>
    <row r="2043" spans="19:29" ht="8.4" customHeight="1">
      <c r="S2043" s="307">
        <f>INT((T2043-0)/6)+1</f>
        <v>341</v>
      </c>
      <c r="T2043" s="226">
        <f t="shared" si="109"/>
        <v>2040</v>
      </c>
      <c r="U2043" s="224">
        <f t="shared" si="107"/>
        <v>0</v>
      </c>
      <c r="V2043" s="225">
        <f t="shared" si="108"/>
        <v>2</v>
      </c>
      <c r="W2043" s="233">
        <f ca="1">$U2043*EWSpacingFt+XOffset+(PanArrayWidthHighEndFt-PanArrayWidthLowEndFt)/2</f>
        <v>0</v>
      </c>
      <c r="X2043" s="234">
        <f ca="1">$V2043*NSSpacingFt+YOffset+0</f>
        <v>35.999999999999979</v>
      </c>
      <c r="Y2043" s="235">
        <f ca="1">+$V2043*NSGradeFt+PedHeight+0</f>
        <v>7.401410761154855</v>
      </c>
      <c r="Z2043" s="214">
        <f ca="1">+$W2043</f>
        <v>0</v>
      </c>
      <c r="AA2043" s="214">
        <f ca="1">+$Y2043</f>
        <v>7.401410761154855</v>
      </c>
      <c r="AB2043" s="214">
        <f ca="1">+$X2043</f>
        <v>35.999999999999979</v>
      </c>
      <c r="AC2043" s="214">
        <f ca="1">+$W2043-XOffset</f>
        <v>0</v>
      </c>
    </row>
    <row r="2044" spans="19:29" ht="8.4" customHeight="1">
      <c r="S2044" s="307"/>
      <c r="T2044" s="226">
        <f t="shared" si="109"/>
        <v>2041</v>
      </c>
      <c r="U2044" s="224">
        <f t="shared" si="107"/>
        <v>0</v>
      </c>
      <c r="V2044" s="225">
        <f t="shared" si="108"/>
        <v>2</v>
      </c>
      <c r="W2044" s="236">
        <f ca="1">+$U2044*EWSpacingFt+XOffset+PanArrayWidthHighEndFt-(PanArrayWidthHighEndFt-PanArrayWidthLowEndFt)/2</f>
        <v>10.80282152230971</v>
      </c>
      <c r="X2044" s="240">
        <f ca="1">$V2044*NSSpacingFt+YOffset+0</f>
        <v>35.999999999999979</v>
      </c>
      <c r="Y2044" s="244">
        <f ca="1">+$V2044*NSGradeFt+PedHeight+0</f>
        <v>7.401410761154855</v>
      </c>
      <c r="Z2044" s="214">
        <f ca="1">+$W2044</f>
        <v>10.80282152230971</v>
      </c>
      <c r="AA2044" s="214">
        <f ca="1">+$Y2044</f>
        <v>7.401410761154855</v>
      </c>
      <c r="AB2044" s="214">
        <f ca="1">+$X2044</f>
        <v>35.999999999999979</v>
      </c>
      <c r="AC2044" s="214">
        <f ca="1">+$W2044-XOffset</f>
        <v>10.80282152230971</v>
      </c>
    </row>
    <row r="2045" spans="19:29" ht="8.4" customHeight="1">
      <c r="S2045" s="307"/>
      <c r="T2045" s="226">
        <f t="shared" si="109"/>
        <v>2042</v>
      </c>
      <c r="U2045" s="224">
        <f t="shared" si="107"/>
        <v>0</v>
      </c>
      <c r="V2045" s="225">
        <f t="shared" si="108"/>
        <v>2</v>
      </c>
      <c r="W2045" s="237">
        <f ca="1">$U2045*EWSpacingFt+XOffset+PanArrayWidthHighEndFt</f>
        <v>10.80282152230971</v>
      </c>
      <c r="X2045" s="241">
        <f ca="1">$V2045*NSSpacingFt+YOffset+PanArrayLenFt*COS(RADIANS(Latitude+DecAng))</f>
        <v>52.439632545931744</v>
      </c>
      <c r="Y2045" s="245">
        <f ca="1">+$V2045*NSGradeFt+PedHeight+PanArrayLenFt*SIN(RADIANS(Latitude+DecAng))</f>
        <v>7.401410761154855</v>
      </c>
      <c r="Z2045" s="214">
        <f ca="1">+$W2045</f>
        <v>10.80282152230971</v>
      </c>
      <c r="AA2045" s="214">
        <f ca="1">+$Y2045</f>
        <v>7.401410761154855</v>
      </c>
      <c r="AB2045" s="214">
        <f ca="1">+$X2045</f>
        <v>52.439632545931744</v>
      </c>
      <c r="AC2045" s="214">
        <f ca="1">+$W2045-XOffset</f>
        <v>10.80282152230971</v>
      </c>
    </row>
    <row r="2046" spans="19:29" ht="8.4" customHeight="1">
      <c r="S2046" s="307"/>
      <c r="T2046" s="226">
        <f t="shared" si="109"/>
        <v>2043</v>
      </c>
      <c r="U2046" s="224">
        <f t="shared" si="107"/>
        <v>0</v>
      </c>
      <c r="V2046" s="225">
        <f t="shared" si="108"/>
        <v>2</v>
      </c>
      <c r="W2046" s="238">
        <f ca="1">$U2046*EWSpacingFt+XOffset+0</f>
        <v>0</v>
      </c>
      <c r="X2046" s="242">
        <f ca="1">$V2046*NSSpacingFt+YOffset+PanArrayLenFt*COS(RADIANS(Latitude+DecAng))</f>
        <v>52.439632545931744</v>
      </c>
      <c r="Y2046" s="246">
        <f ca="1">+$V2046*NSGradeFt+PedHeight+PanArrayLenFt*SIN(RADIANS(Latitude+DecAng))</f>
        <v>7.401410761154855</v>
      </c>
      <c r="Z2046" s="214">
        <f ca="1">+$W2046</f>
        <v>0</v>
      </c>
      <c r="AA2046" s="214">
        <f ca="1">+$Y2046</f>
        <v>7.401410761154855</v>
      </c>
      <c r="AB2046" s="214">
        <f ca="1">+$X2046</f>
        <v>52.439632545931744</v>
      </c>
      <c r="AC2046" s="214">
        <f ca="1">+$W2046-XOffset</f>
        <v>0</v>
      </c>
    </row>
    <row r="2047" spans="19:29" ht="8.4" customHeight="1">
      <c r="S2047" s="307"/>
      <c r="T2047" s="226">
        <f t="shared" si="109"/>
        <v>2044</v>
      </c>
      <c r="U2047" s="224">
        <f t="shared" si="107"/>
        <v>0</v>
      </c>
      <c r="V2047" s="225">
        <f t="shared" si="108"/>
        <v>2</v>
      </c>
      <c r="W2047" s="239">
        <f ca="1">$U2047*EWSpacingFt+XOffset+(PanArrayWidthHighEndFt-PanArrayWidthLowEndFt)/2</f>
        <v>0</v>
      </c>
      <c r="X2047" s="243">
        <f ca="1">$V2047*NSSpacingFt+YOffset+0</f>
        <v>35.999999999999979</v>
      </c>
      <c r="Y2047" s="247">
        <f ca="1">+$V2047*NSGradeFt+PedHeight+0</f>
        <v>7.401410761154855</v>
      </c>
      <c r="Z2047" s="214">
        <f ca="1">+$W2047</f>
        <v>0</v>
      </c>
      <c r="AA2047" s="214">
        <f ca="1">+$Y2047</f>
        <v>7.401410761154855</v>
      </c>
      <c r="AB2047" s="214">
        <f ca="1">+$X2047</f>
        <v>35.999999999999979</v>
      </c>
      <c r="AC2047" s="214">
        <f ca="1">+$W2047-XOffset</f>
        <v>0</v>
      </c>
    </row>
    <row r="2048" spans="19:29" ht="8.4" customHeight="1">
      <c r="S2048" s="307"/>
      <c r="T2048" s="226">
        <f t="shared" si="109"/>
        <v>2045</v>
      </c>
      <c r="U2048" s="224">
        <f t="shared" si="107"/>
        <v>0</v>
      </c>
      <c r="V2048" s="225">
        <f t="shared" si="108"/>
        <v>2</v>
      </c>
      <c r="W2048" s="217"/>
      <c r="X2048" s="217"/>
      <c r="Y2048" s="217"/>
      <c r="Z2048" s="214"/>
      <c r="AA2048" s="214"/>
      <c r="AB2048" s="214"/>
      <c r="AC2048" s="214"/>
    </row>
    <row r="2049" spans="19:29" ht="8.4" customHeight="1">
      <c r="S2049" s="307">
        <f>INT((T2049-0)/6)+1</f>
        <v>342</v>
      </c>
      <c r="T2049" s="226">
        <f t="shared" si="109"/>
        <v>2046</v>
      </c>
      <c r="U2049" s="224">
        <f t="shared" si="107"/>
        <v>1</v>
      </c>
      <c r="V2049" s="225">
        <f t="shared" si="108"/>
        <v>2</v>
      </c>
      <c r="W2049" s="233">
        <f ca="1">$U2049*EWSpacingFt+XOffset+(PanArrayWidthHighEndFt-PanArrayWidthLowEndFt)/2</f>
        <v>30.000006832286932</v>
      </c>
      <c r="X2049" s="234">
        <f ca="1">$V2049*NSSpacingFt+YOffset+0</f>
        <v>35.999999999999979</v>
      </c>
      <c r="Y2049" s="235">
        <f ca="1">+$V2049*NSGradeFt+PedHeight+0</f>
        <v>7.401410761154855</v>
      </c>
      <c r="Z2049" s="214">
        <f ca="1">+$W2049</f>
        <v>30.000006832286932</v>
      </c>
      <c r="AA2049" s="214">
        <f ca="1">+$Y2049</f>
        <v>7.401410761154855</v>
      </c>
      <c r="AB2049" s="214">
        <f ca="1">+$X2049</f>
        <v>35.999999999999979</v>
      </c>
      <c r="AC2049" s="214">
        <f ca="1">+$W2049-XOffset</f>
        <v>30.000006832286932</v>
      </c>
    </row>
    <row r="2050" spans="19:29" ht="8.4" customHeight="1">
      <c r="S2050" s="307"/>
      <c r="T2050" s="226">
        <f t="shared" si="109"/>
        <v>2047</v>
      </c>
      <c r="U2050" s="224">
        <f t="shared" si="107"/>
        <v>1</v>
      </c>
      <c r="V2050" s="225">
        <f t="shared" si="108"/>
        <v>2</v>
      </c>
      <c r="W2050" s="236">
        <f ca="1">+$U2050*EWSpacingFt+XOffset+PanArrayWidthHighEndFt-(PanArrayWidthHighEndFt-PanArrayWidthLowEndFt)/2</f>
        <v>40.802828354596642</v>
      </c>
      <c r="X2050" s="240">
        <f ca="1">$V2050*NSSpacingFt+YOffset+0</f>
        <v>35.999999999999979</v>
      </c>
      <c r="Y2050" s="244">
        <f ca="1">+$V2050*NSGradeFt+PedHeight+0</f>
        <v>7.401410761154855</v>
      </c>
      <c r="Z2050" s="214">
        <f ca="1">+$W2050</f>
        <v>40.802828354596642</v>
      </c>
      <c r="AA2050" s="214">
        <f ca="1">+$Y2050</f>
        <v>7.401410761154855</v>
      </c>
      <c r="AB2050" s="214">
        <f ca="1">+$X2050</f>
        <v>35.999999999999979</v>
      </c>
      <c r="AC2050" s="214">
        <f ca="1">+$W2050-XOffset</f>
        <v>40.802828354596642</v>
      </c>
    </row>
    <row r="2051" spans="19:29" ht="8.4" customHeight="1">
      <c r="S2051" s="307"/>
      <c r="T2051" s="226">
        <f t="shared" si="109"/>
        <v>2048</v>
      </c>
      <c r="U2051" s="224">
        <f t="shared" ref="U2051:U2114" si="110">+MOD(INT(T2051/6),ColumnsOfMounts)</f>
        <v>1</v>
      </c>
      <c r="V2051" s="225">
        <f t="shared" ref="V2051:V2114" si="111">+MOD(INT(T2051/6/ColumnsOfMounts),RowsOfMounts)</f>
        <v>2</v>
      </c>
      <c r="W2051" s="237">
        <f ca="1">$U2051*EWSpacingFt+XOffset+PanArrayWidthHighEndFt</f>
        <v>40.802828354596642</v>
      </c>
      <c r="X2051" s="241">
        <f ca="1">$V2051*NSSpacingFt+YOffset+PanArrayLenFt*COS(RADIANS(Latitude+DecAng))</f>
        <v>52.439632545931744</v>
      </c>
      <c r="Y2051" s="245">
        <f ca="1">+$V2051*NSGradeFt+PedHeight+PanArrayLenFt*SIN(RADIANS(Latitude+DecAng))</f>
        <v>7.401410761154855</v>
      </c>
      <c r="Z2051" s="214">
        <f ca="1">+$W2051</f>
        <v>40.802828354596642</v>
      </c>
      <c r="AA2051" s="214">
        <f ca="1">+$Y2051</f>
        <v>7.401410761154855</v>
      </c>
      <c r="AB2051" s="214">
        <f ca="1">+$X2051</f>
        <v>52.439632545931744</v>
      </c>
      <c r="AC2051" s="214">
        <f ca="1">+$W2051-XOffset</f>
        <v>40.802828354596642</v>
      </c>
    </row>
    <row r="2052" spans="19:29" ht="8.4" customHeight="1">
      <c r="S2052" s="307"/>
      <c r="T2052" s="226">
        <f t="shared" si="109"/>
        <v>2049</v>
      </c>
      <c r="U2052" s="224">
        <f t="shared" si="110"/>
        <v>1</v>
      </c>
      <c r="V2052" s="225">
        <f t="shared" si="111"/>
        <v>2</v>
      </c>
      <c r="W2052" s="238">
        <f ca="1">$U2052*EWSpacingFt+XOffset+0</f>
        <v>30.000006832286932</v>
      </c>
      <c r="X2052" s="242">
        <f ca="1">$V2052*NSSpacingFt+YOffset+PanArrayLenFt*COS(RADIANS(Latitude+DecAng))</f>
        <v>52.439632545931744</v>
      </c>
      <c r="Y2052" s="246">
        <f ca="1">+$V2052*NSGradeFt+PedHeight+PanArrayLenFt*SIN(RADIANS(Latitude+DecAng))</f>
        <v>7.401410761154855</v>
      </c>
      <c r="Z2052" s="214">
        <f ca="1">+$W2052</f>
        <v>30.000006832286932</v>
      </c>
      <c r="AA2052" s="214">
        <f ca="1">+$Y2052</f>
        <v>7.401410761154855</v>
      </c>
      <c r="AB2052" s="214">
        <f ca="1">+$X2052</f>
        <v>52.439632545931744</v>
      </c>
      <c r="AC2052" s="214">
        <f ca="1">+$W2052-XOffset</f>
        <v>30.000006832286932</v>
      </c>
    </row>
    <row r="2053" spans="19:29" ht="8.4" customHeight="1">
      <c r="S2053" s="307"/>
      <c r="T2053" s="226">
        <f t="shared" si="109"/>
        <v>2050</v>
      </c>
      <c r="U2053" s="224">
        <f t="shared" si="110"/>
        <v>1</v>
      </c>
      <c r="V2053" s="225">
        <f t="shared" si="111"/>
        <v>2</v>
      </c>
      <c r="W2053" s="239">
        <f ca="1">$U2053*EWSpacingFt+XOffset+(PanArrayWidthHighEndFt-PanArrayWidthLowEndFt)/2</f>
        <v>30.000006832286932</v>
      </c>
      <c r="X2053" s="243">
        <f ca="1">$V2053*NSSpacingFt+YOffset+0</f>
        <v>35.999999999999979</v>
      </c>
      <c r="Y2053" s="247">
        <f ca="1">+$V2053*NSGradeFt+PedHeight+0</f>
        <v>7.401410761154855</v>
      </c>
      <c r="Z2053" s="214">
        <f ca="1">+$W2053</f>
        <v>30.000006832286932</v>
      </c>
      <c r="AA2053" s="214">
        <f ca="1">+$Y2053</f>
        <v>7.401410761154855</v>
      </c>
      <c r="AB2053" s="214">
        <f ca="1">+$X2053</f>
        <v>35.999999999999979</v>
      </c>
      <c r="AC2053" s="214">
        <f ca="1">+$W2053-XOffset</f>
        <v>30.000006832286932</v>
      </c>
    </row>
    <row r="2054" spans="19:29" ht="8.4" customHeight="1">
      <c r="S2054" s="307"/>
      <c r="T2054" s="226">
        <f t="shared" si="109"/>
        <v>2051</v>
      </c>
      <c r="U2054" s="224">
        <f t="shared" si="110"/>
        <v>1</v>
      </c>
      <c r="V2054" s="225">
        <f t="shared" si="111"/>
        <v>2</v>
      </c>
      <c r="W2054" s="217"/>
      <c r="X2054" s="217"/>
      <c r="Y2054" s="217"/>
      <c r="Z2054" s="214"/>
      <c r="AA2054" s="214"/>
      <c r="AB2054" s="214"/>
      <c r="AC2054" s="214"/>
    </row>
    <row r="2055" spans="19:29" ht="8.4" customHeight="1">
      <c r="S2055" s="307">
        <f>INT((T2055-0)/6)+1</f>
        <v>343</v>
      </c>
      <c r="T2055" s="226">
        <f t="shared" si="109"/>
        <v>2052</v>
      </c>
      <c r="U2055" s="224">
        <f t="shared" si="110"/>
        <v>0</v>
      </c>
      <c r="V2055" s="225">
        <f t="shared" si="111"/>
        <v>3</v>
      </c>
      <c r="W2055" s="233">
        <f ca="1">$U2055*EWSpacingFt+XOffset+(PanArrayWidthHighEndFt-PanArrayWidthLowEndFt)/2</f>
        <v>0</v>
      </c>
      <c r="X2055" s="234">
        <f ca="1">$V2055*NSSpacingFt+YOffset+0</f>
        <v>53.999999999999972</v>
      </c>
      <c r="Y2055" s="235">
        <f ca="1">+$V2055*NSGradeFt+PedHeight+0</f>
        <v>7.401410761154855</v>
      </c>
      <c r="Z2055" s="214">
        <f ca="1">+$W2055</f>
        <v>0</v>
      </c>
      <c r="AA2055" s="214">
        <f ca="1">+$Y2055</f>
        <v>7.401410761154855</v>
      </c>
      <c r="AB2055" s="214">
        <f ca="1">+$X2055</f>
        <v>53.999999999999972</v>
      </c>
      <c r="AC2055" s="214">
        <f ca="1">+$W2055-XOffset</f>
        <v>0</v>
      </c>
    </row>
    <row r="2056" spans="19:29" ht="8.4" customHeight="1">
      <c r="S2056" s="307"/>
      <c r="T2056" s="226">
        <f t="shared" si="109"/>
        <v>2053</v>
      </c>
      <c r="U2056" s="224">
        <f t="shared" si="110"/>
        <v>0</v>
      </c>
      <c r="V2056" s="225">
        <f t="shared" si="111"/>
        <v>3</v>
      </c>
      <c r="W2056" s="236">
        <f ca="1">+$U2056*EWSpacingFt+XOffset+PanArrayWidthHighEndFt-(PanArrayWidthHighEndFt-PanArrayWidthLowEndFt)/2</f>
        <v>10.80282152230971</v>
      </c>
      <c r="X2056" s="240">
        <f ca="1">$V2056*NSSpacingFt+YOffset+0</f>
        <v>53.999999999999972</v>
      </c>
      <c r="Y2056" s="244">
        <f ca="1">+$V2056*NSGradeFt+PedHeight+0</f>
        <v>7.401410761154855</v>
      </c>
      <c r="Z2056" s="214">
        <f ca="1">+$W2056</f>
        <v>10.80282152230971</v>
      </c>
      <c r="AA2056" s="214">
        <f ca="1">+$Y2056</f>
        <v>7.401410761154855</v>
      </c>
      <c r="AB2056" s="214">
        <f ca="1">+$X2056</f>
        <v>53.999999999999972</v>
      </c>
      <c r="AC2056" s="214">
        <f ca="1">+$W2056-XOffset</f>
        <v>10.80282152230971</v>
      </c>
    </row>
    <row r="2057" spans="19:29" ht="8.4" customHeight="1">
      <c r="S2057" s="307"/>
      <c r="T2057" s="226">
        <f t="shared" si="109"/>
        <v>2054</v>
      </c>
      <c r="U2057" s="224">
        <f t="shared" si="110"/>
        <v>0</v>
      </c>
      <c r="V2057" s="225">
        <f t="shared" si="111"/>
        <v>3</v>
      </c>
      <c r="W2057" s="237">
        <f ca="1">$U2057*EWSpacingFt+XOffset+PanArrayWidthHighEndFt</f>
        <v>10.80282152230971</v>
      </c>
      <c r="X2057" s="241">
        <f ca="1">$V2057*NSSpacingFt+YOffset+PanArrayLenFt*COS(RADIANS(Latitude+DecAng))</f>
        <v>70.43963254593173</v>
      </c>
      <c r="Y2057" s="245">
        <f ca="1">+$V2057*NSGradeFt+PedHeight+PanArrayLenFt*SIN(RADIANS(Latitude+DecAng))</f>
        <v>7.401410761154855</v>
      </c>
      <c r="Z2057" s="214">
        <f ca="1">+$W2057</f>
        <v>10.80282152230971</v>
      </c>
      <c r="AA2057" s="214">
        <f ca="1">+$Y2057</f>
        <v>7.401410761154855</v>
      </c>
      <c r="AB2057" s="214">
        <f ca="1">+$X2057</f>
        <v>70.43963254593173</v>
      </c>
      <c r="AC2057" s="214">
        <f ca="1">+$W2057-XOffset</f>
        <v>10.80282152230971</v>
      </c>
    </row>
    <row r="2058" spans="19:29" ht="8.4" customHeight="1">
      <c r="S2058" s="307"/>
      <c r="T2058" s="226">
        <f t="shared" si="109"/>
        <v>2055</v>
      </c>
      <c r="U2058" s="224">
        <f t="shared" si="110"/>
        <v>0</v>
      </c>
      <c r="V2058" s="225">
        <f t="shared" si="111"/>
        <v>3</v>
      </c>
      <c r="W2058" s="238">
        <f ca="1">$U2058*EWSpacingFt+XOffset+0</f>
        <v>0</v>
      </c>
      <c r="X2058" s="242">
        <f ca="1">$V2058*NSSpacingFt+YOffset+PanArrayLenFt*COS(RADIANS(Latitude+DecAng))</f>
        <v>70.43963254593173</v>
      </c>
      <c r="Y2058" s="246">
        <f ca="1">+$V2058*NSGradeFt+PedHeight+PanArrayLenFt*SIN(RADIANS(Latitude+DecAng))</f>
        <v>7.401410761154855</v>
      </c>
      <c r="Z2058" s="214">
        <f ca="1">+$W2058</f>
        <v>0</v>
      </c>
      <c r="AA2058" s="214">
        <f ca="1">+$Y2058</f>
        <v>7.401410761154855</v>
      </c>
      <c r="AB2058" s="214">
        <f ca="1">+$X2058</f>
        <v>70.43963254593173</v>
      </c>
      <c r="AC2058" s="214">
        <f ca="1">+$W2058-XOffset</f>
        <v>0</v>
      </c>
    </row>
    <row r="2059" spans="19:29" ht="8.4" customHeight="1">
      <c r="S2059" s="307"/>
      <c r="T2059" s="226">
        <f t="shared" si="109"/>
        <v>2056</v>
      </c>
      <c r="U2059" s="224">
        <f t="shared" si="110"/>
        <v>0</v>
      </c>
      <c r="V2059" s="225">
        <f t="shared" si="111"/>
        <v>3</v>
      </c>
      <c r="W2059" s="239">
        <f ca="1">$U2059*EWSpacingFt+XOffset+(PanArrayWidthHighEndFt-PanArrayWidthLowEndFt)/2</f>
        <v>0</v>
      </c>
      <c r="X2059" s="243">
        <f ca="1">$V2059*NSSpacingFt+YOffset+0</f>
        <v>53.999999999999972</v>
      </c>
      <c r="Y2059" s="247">
        <f ca="1">+$V2059*NSGradeFt+PedHeight+0</f>
        <v>7.401410761154855</v>
      </c>
      <c r="Z2059" s="214">
        <f ca="1">+$W2059</f>
        <v>0</v>
      </c>
      <c r="AA2059" s="214">
        <f ca="1">+$Y2059</f>
        <v>7.401410761154855</v>
      </c>
      <c r="AB2059" s="214">
        <f ca="1">+$X2059</f>
        <v>53.999999999999972</v>
      </c>
      <c r="AC2059" s="214">
        <f ca="1">+$W2059-XOffset</f>
        <v>0</v>
      </c>
    </row>
    <row r="2060" spans="19:29" ht="8.4" customHeight="1">
      <c r="S2060" s="307"/>
      <c r="T2060" s="226">
        <f t="shared" si="109"/>
        <v>2057</v>
      </c>
      <c r="U2060" s="224">
        <f t="shared" si="110"/>
        <v>0</v>
      </c>
      <c r="V2060" s="225">
        <f t="shared" si="111"/>
        <v>3</v>
      </c>
      <c r="W2060" s="217"/>
      <c r="X2060" s="217"/>
      <c r="Y2060" s="217"/>
      <c r="Z2060" s="214"/>
      <c r="AA2060" s="214"/>
      <c r="AB2060" s="214"/>
      <c r="AC2060" s="214"/>
    </row>
    <row r="2061" spans="19:29" ht="8.4" customHeight="1">
      <c r="S2061" s="307">
        <f>INT((T2061-0)/6)+1</f>
        <v>344</v>
      </c>
      <c r="T2061" s="226">
        <f t="shared" si="109"/>
        <v>2058</v>
      </c>
      <c r="U2061" s="224">
        <f t="shared" si="110"/>
        <v>1</v>
      </c>
      <c r="V2061" s="225">
        <f t="shared" si="111"/>
        <v>3</v>
      </c>
      <c r="W2061" s="233">
        <f ca="1">$U2061*EWSpacingFt+XOffset+(PanArrayWidthHighEndFt-PanArrayWidthLowEndFt)/2</f>
        <v>30.000006832286932</v>
      </c>
      <c r="X2061" s="234">
        <f ca="1">$V2061*NSSpacingFt+YOffset+0</f>
        <v>53.999999999999972</v>
      </c>
      <c r="Y2061" s="235">
        <f ca="1">+$V2061*NSGradeFt+PedHeight+0</f>
        <v>7.401410761154855</v>
      </c>
      <c r="Z2061" s="214">
        <f ca="1">+$W2061</f>
        <v>30.000006832286932</v>
      </c>
      <c r="AA2061" s="214">
        <f ca="1">+$Y2061</f>
        <v>7.401410761154855</v>
      </c>
      <c r="AB2061" s="214">
        <f ca="1">+$X2061</f>
        <v>53.999999999999972</v>
      </c>
      <c r="AC2061" s="214">
        <f ca="1">+$W2061-XOffset</f>
        <v>30.000006832286932</v>
      </c>
    </row>
    <row r="2062" spans="19:29" ht="8.4" customHeight="1">
      <c r="S2062" s="307"/>
      <c r="T2062" s="226">
        <f t="shared" si="109"/>
        <v>2059</v>
      </c>
      <c r="U2062" s="224">
        <f t="shared" si="110"/>
        <v>1</v>
      </c>
      <c r="V2062" s="225">
        <f t="shared" si="111"/>
        <v>3</v>
      </c>
      <c r="W2062" s="236">
        <f ca="1">+$U2062*EWSpacingFt+XOffset+PanArrayWidthHighEndFt-(PanArrayWidthHighEndFt-PanArrayWidthLowEndFt)/2</f>
        <v>40.802828354596642</v>
      </c>
      <c r="X2062" s="240">
        <f ca="1">$V2062*NSSpacingFt+YOffset+0</f>
        <v>53.999999999999972</v>
      </c>
      <c r="Y2062" s="244">
        <f ca="1">+$V2062*NSGradeFt+PedHeight+0</f>
        <v>7.401410761154855</v>
      </c>
      <c r="Z2062" s="214">
        <f ca="1">+$W2062</f>
        <v>40.802828354596642</v>
      </c>
      <c r="AA2062" s="214">
        <f ca="1">+$Y2062</f>
        <v>7.401410761154855</v>
      </c>
      <c r="AB2062" s="214">
        <f ca="1">+$X2062</f>
        <v>53.999999999999972</v>
      </c>
      <c r="AC2062" s="214">
        <f ca="1">+$W2062-XOffset</f>
        <v>40.802828354596642</v>
      </c>
    </row>
    <row r="2063" spans="19:29" ht="8.4" customHeight="1">
      <c r="S2063" s="307"/>
      <c r="T2063" s="226">
        <f t="shared" si="109"/>
        <v>2060</v>
      </c>
      <c r="U2063" s="224">
        <f t="shared" si="110"/>
        <v>1</v>
      </c>
      <c r="V2063" s="225">
        <f t="shared" si="111"/>
        <v>3</v>
      </c>
      <c r="W2063" s="237">
        <f ca="1">$U2063*EWSpacingFt+XOffset+PanArrayWidthHighEndFt</f>
        <v>40.802828354596642</v>
      </c>
      <c r="X2063" s="241">
        <f ca="1">$V2063*NSSpacingFt+YOffset+PanArrayLenFt*COS(RADIANS(Latitude+DecAng))</f>
        <v>70.43963254593173</v>
      </c>
      <c r="Y2063" s="245">
        <f ca="1">+$V2063*NSGradeFt+PedHeight+PanArrayLenFt*SIN(RADIANS(Latitude+DecAng))</f>
        <v>7.401410761154855</v>
      </c>
      <c r="Z2063" s="214">
        <f ca="1">+$W2063</f>
        <v>40.802828354596642</v>
      </c>
      <c r="AA2063" s="214">
        <f ca="1">+$Y2063</f>
        <v>7.401410761154855</v>
      </c>
      <c r="AB2063" s="214">
        <f ca="1">+$X2063</f>
        <v>70.43963254593173</v>
      </c>
      <c r="AC2063" s="214">
        <f ca="1">+$W2063-XOffset</f>
        <v>40.802828354596642</v>
      </c>
    </row>
    <row r="2064" spans="19:29" ht="8.4" customHeight="1">
      <c r="S2064" s="307"/>
      <c r="T2064" s="226">
        <f t="shared" si="109"/>
        <v>2061</v>
      </c>
      <c r="U2064" s="224">
        <f t="shared" si="110"/>
        <v>1</v>
      </c>
      <c r="V2064" s="225">
        <f t="shared" si="111"/>
        <v>3</v>
      </c>
      <c r="W2064" s="238">
        <f ca="1">$U2064*EWSpacingFt+XOffset+0</f>
        <v>30.000006832286932</v>
      </c>
      <c r="X2064" s="242">
        <f ca="1">$V2064*NSSpacingFt+YOffset+PanArrayLenFt*COS(RADIANS(Latitude+DecAng))</f>
        <v>70.43963254593173</v>
      </c>
      <c r="Y2064" s="246">
        <f ca="1">+$V2064*NSGradeFt+PedHeight+PanArrayLenFt*SIN(RADIANS(Latitude+DecAng))</f>
        <v>7.401410761154855</v>
      </c>
      <c r="Z2064" s="214">
        <f ca="1">+$W2064</f>
        <v>30.000006832286932</v>
      </c>
      <c r="AA2064" s="214">
        <f ca="1">+$Y2064</f>
        <v>7.401410761154855</v>
      </c>
      <c r="AB2064" s="214">
        <f ca="1">+$X2064</f>
        <v>70.43963254593173</v>
      </c>
      <c r="AC2064" s="214">
        <f ca="1">+$W2064-XOffset</f>
        <v>30.000006832286932</v>
      </c>
    </row>
    <row r="2065" spans="19:29" ht="8.4" customHeight="1">
      <c r="S2065" s="307"/>
      <c r="T2065" s="226">
        <f t="shared" si="109"/>
        <v>2062</v>
      </c>
      <c r="U2065" s="224">
        <f t="shared" si="110"/>
        <v>1</v>
      </c>
      <c r="V2065" s="225">
        <f t="shared" si="111"/>
        <v>3</v>
      </c>
      <c r="W2065" s="239">
        <f ca="1">$U2065*EWSpacingFt+XOffset+(PanArrayWidthHighEndFt-PanArrayWidthLowEndFt)/2</f>
        <v>30.000006832286932</v>
      </c>
      <c r="X2065" s="243">
        <f ca="1">$V2065*NSSpacingFt+YOffset+0</f>
        <v>53.999999999999972</v>
      </c>
      <c r="Y2065" s="247">
        <f ca="1">+$V2065*NSGradeFt+PedHeight+0</f>
        <v>7.401410761154855</v>
      </c>
      <c r="Z2065" s="214">
        <f ca="1">+$W2065</f>
        <v>30.000006832286932</v>
      </c>
      <c r="AA2065" s="214">
        <f ca="1">+$Y2065</f>
        <v>7.401410761154855</v>
      </c>
      <c r="AB2065" s="214">
        <f ca="1">+$X2065</f>
        <v>53.999999999999972</v>
      </c>
      <c r="AC2065" s="214">
        <f ca="1">+$W2065-XOffset</f>
        <v>30.000006832286932</v>
      </c>
    </row>
    <row r="2066" spans="19:29" ht="8.4" customHeight="1">
      <c r="S2066" s="307"/>
      <c r="T2066" s="226">
        <f t="shared" si="109"/>
        <v>2063</v>
      </c>
      <c r="U2066" s="224">
        <f t="shared" si="110"/>
        <v>1</v>
      </c>
      <c r="V2066" s="225">
        <f t="shared" si="111"/>
        <v>3</v>
      </c>
      <c r="W2066" s="217"/>
      <c r="X2066" s="217"/>
      <c r="Y2066" s="217"/>
      <c r="Z2066" s="214"/>
      <c r="AA2066" s="214"/>
      <c r="AB2066" s="214"/>
      <c r="AC2066" s="214"/>
    </row>
    <row r="2067" spans="19:29" ht="8.4" customHeight="1">
      <c r="S2067" s="307">
        <f>INT((T2067-0)/6)+1</f>
        <v>345</v>
      </c>
      <c r="T2067" s="226">
        <f t="shared" si="109"/>
        <v>2064</v>
      </c>
      <c r="U2067" s="224">
        <f t="shared" si="110"/>
        <v>0</v>
      </c>
      <c r="V2067" s="225">
        <f t="shared" si="111"/>
        <v>0</v>
      </c>
      <c r="W2067" s="233">
        <f ca="1">$U2067*EWSpacingFt+XOffset+(PanArrayWidthHighEndFt-PanArrayWidthLowEndFt)/2</f>
        <v>0</v>
      </c>
      <c r="X2067" s="234">
        <f ca="1">$V2067*NSSpacingFt+YOffset+0</f>
        <v>0</v>
      </c>
      <c r="Y2067" s="235">
        <f ca="1">+$V2067*NSGradeFt+PedHeight+0</f>
        <v>7.401410761154855</v>
      </c>
      <c r="Z2067" s="214">
        <f ca="1">+$W2067</f>
        <v>0</v>
      </c>
      <c r="AA2067" s="214">
        <f ca="1">+$Y2067</f>
        <v>7.401410761154855</v>
      </c>
      <c r="AB2067" s="214">
        <f ca="1">+$X2067</f>
        <v>0</v>
      </c>
      <c r="AC2067" s="214">
        <f ca="1">+$W2067-XOffset</f>
        <v>0</v>
      </c>
    </row>
    <row r="2068" spans="19:29" ht="8.4" customHeight="1">
      <c r="S2068" s="307"/>
      <c r="T2068" s="226">
        <f t="shared" si="109"/>
        <v>2065</v>
      </c>
      <c r="U2068" s="224">
        <f t="shared" si="110"/>
        <v>0</v>
      </c>
      <c r="V2068" s="225">
        <f t="shared" si="111"/>
        <v>0</v>
      </c>
      <c r="W2068" s="236">
        <f ca="1">+$U2068*EWSpacingFt+XOffset+PanArrayWidthHighEndFt-(PanArrayWidthHighEndFt-PanArrayWidthLowEndFt)/2</f>
        <v>10.80282152230971</v>
      </c>
      <c r="X2068" s="240">
        <f ca="1">$V2068*NSSpacingFt+YOffset+0</f>
        <v>0</v>
      </c>
      <c r="Y2068" s="244">
        <f ca="1">+$V2068*NSGradeFt+PedHeight+0</f>
        <v>7.401410761154855</v>
      </c>
      <c r="Z2068" s="214">
        <f ca="1">+$W2068</f>
        <v>10.80282152230971</v>
      </c>
      <c r="AA2068" s="214">
        <f ca="1">+$Y2068</f>
        <v>7.401410761154855</v>
      </c>
      <c r="AB2068" s="214">
        <f ca="1">+$X2068</f>
        <v>0</v>
      </c>
      <c r="AC2068" s="214">
        <f ca="1">+$W2068-XOffset</f>
        <v>10.80282152230971</v>
      </c>
    </row>
    <row r="2069" spans="19:29" ht="8.4" customHeight="1">
      <c r="S2069" s="307"/>
      <c r="T2069" s="226">
        <f t="shared" si="109"/>
        <v>2066</v>
      </c>
      <c r="U2069" s="224">
        <f t="shared" si="110"/>
        <v>0</v>
      </c>
      <c r="V2069" s="225">
        <f t="shared" si="111"/>
        <v>0</v>
      </c>
      <c r="W2069" s="237">
        <f ca="1">$U2069*EWSpacingFt+XOffset+PanArrayWidthHighEndFt</f>
        <v>10.80282152230971</v>
      </c>
      <c r="X2069" s="241">
        <f ca="1">$V2069*NSSpacingFt+YOffset+PanArrayLenFt*COS(RADIANS(Latitude+DecAng))</f>
        <v>16.439632545931762</v>
      </c>
      <c r="Y2069" s="245">
        <f ca="1">+$V2069*NSGradeFt+PedHeight+PanArrayLenFt*SIN(RADIANS(Latitude+DecAng))</f>
        <v>7.401410761154855</v>
      </c>
      <c r="Z2069" s="214">
        <f ca="1">+$W2069</f>
        <v>10.80282152230971</v>
      </c>
      <c r="AA2069" s="214">
        <f ca="1">+$Y2069</f>
        <v>7.401410761154855</v>
      </c>
      <c r="AB2069" s="214">
        <f ca="1">+$X2069</f>
        <v>16.439632545931762</v>
      </c>
      <c r="AC2069" s="214">
        <f ca="1">+$W2069-XOffset</f>
        <v>10.80282152230971</v>
      </c>
    </row>
    <row r="2070" spans="19:29" ht="8.4" customHeight="1">
      <c r="S2070" s="307"/>
      <c r="T2070" s="226">
        <f t="shared" si="109"/>
        <v>2067</v>
      </c>
      <c r="U2070" s="224">
        <f t="shared" si="110"/>
        <v>0</v>
      </c>
      <c r="V2070" s="225">
        <f t="shared" si="111"/>
        <v>0</v>
      </c>
      <c r="W2070" s="238">
        <f ca="1">$U2070*EWSpacingFt+XOffset+0</f>
        <v>0</v>
      </c>
      <c r="X2070" s="242">
        <f ca="1">$V2070*NSSpacingFt+YOffset+PanArrayLenFt*COS(RADIANS(Latitude+DecAng))</f>
        <v>16.439632545931762</v>
      </c>
      <c r="Y2070" s="246">
        <f ca="1">+$V2070*NSGradeFt+PedHeight+PanArrayLenFt*SIN(RADIANS(Latitude+DecAng))</f>
        <v>7.401410761154855</v>
      </c>
      <c r="Z2070" s="214">
        <f ca="1">+$W2070</f>
        <v>0</v>
      </c>
      <c r="AA2070" s="214">
        <f ca="1">+$Y2070</f>
        <v>7.401410761154855</v>
      </c>
      <c r="AB2070" s="214">
        <f ca="1">+$X2070</f>
        <v>16.439632545931762</v>
      </c>
      <c r="AC2070" s="214">
        <f ca="1">+$W2070-XOffset</f>
        <v>0</v>
      </c>
    </row>
    <row r="2071" spans="19:29" ht="8.4" customHeight="1">
      <c r="S2071" s="307"/>
      <c r="T2071" s="226">
        <f t="shared" si="109"/>
        <v>2068</v>
      </c>
      <c r="U2071" s="224">
        <f t="shared" si="110"/>
        <v>0</v>
      </c>
      <c r="V2071" s="225">
        <f t="shared" si="111"/>
        <v>0</v>
      </c>
      <c r="W2071" s="239">
        <f ca="1">$U2071*EWSpacingFt+XOffset+(PanArrayWidthHighEndFt-PanArrayWidthLowEndFt)/2</f>
        <v>0</v>
      </c>
      <c r="X2071" s="243">
        <f ca="1">$V2071*NSSpacingFt+YOffset+0</f>
        <v>0</v>
      </c>
      <c r="Y2071" s="247">
        <f ca="1">+$V2071*NSGradeFt+PedHeight+0</f>
        <v>7.401410761154855</v>
      </c>
      <c r="Z2071" s="214">
        <f ca="1">+$W2071</f>
        <v>0</v>
      </c>
      <c r="AA2071" s="214">
        <f ca="1">+$Y2071</f>
        <v>7.401410761154855</v>
      </c>
      <c r="AB2071" s="214">
        <f ca="1">+$X2071</f>
        <v>0</v>
      </c>
      <c r="AC2071" s="214">
        <f ca="1">+$W2071-XOffset</f>
        <v>0</v>
      </c>
    </row>
    <row r="2072" spans="19:29" ht="8.4" customHeight="1">
      <c r="S2072" s="307"/>
      <c r="T2072" s="226">
        <f t="shared" si="109"/>
        <v>2069</v>
      </c>
      <c r="U2072" s="224">
        <f t="shared" si="110"/>
        <v>0</v>
      </c>
      <c r="V2072" s="225">
        <f t="shared" si="111"/>
        <v>0</v>
      </c>
      <c r="W2072" s="217"/>
      <c r="X2072" s="217"/>
      <c r="Y2072" s="217"/>
      <c r="Z2072" s="214"/>
      <c r="AA2072" s="214"/>
      <c r="AB2072" s="214"/>
      <c r="AC2072" s="214"/>
    </row>
    <row r="2073" spans="19:29" ht="8.4" customHeight="1">
      <c r="S2073" s="307">
        <f>INT((T2073-0)/6)+1</f>
        <v>346</v>
      </c>
      <c r="T2073" s="226">
        <f t="shared" si="109"/>
        <v>2070</v>
      </c>
      <c r="U2073" s="224">
        <f t="shared" si="110"/>
        <v>1</v>
      </c>
      <c r="V2073" s="225">
        <f t="shared" si="111"/>
        <v>0</v>
      </c>
      <c r="W2073" s="233">
        <f ca="1">$U2073*EWSpacingFt+XOffset+(PanArrayWidthHighEndFt-PanArrayWidthLowEndFt)/2</f>
        <v>30.000006832286932</v>
      </c>
      <c r="X2073" s="234">
        <f ca="1">$V2073*NSSpacingFt+YOffset+0</f>
        <v>0</v>
      </c>
      <c r="Y2073" s="235">
        <f ca="1">+$V2073*NSGradeFt+PedHeight+0</f>
        <v>7.401410761154855</v>
      </c>
      <c r="Z2073" s="214">
        <f ca="1">+$W2073</f>
        <v>30.000006832286932</v>
      </c>
      <c r="AA2073" s="214">
        <f ca="1">+$Y2073</f>
        <v>7.401410761154855</v>
      </c>
      <c r="AB2073" s="214">
        <f ca="1">+$X2073</f>
        <v>0</v>
      </c>
      <c r="AC2073" s="214">
        <f ca="1">+$W2073-XOffset</f>
        <v>30.000006832286932</v>
      </c>
    </row>
    <row r="2074" spans="19:29" ht="8.4" customHeight="1">
      <c r="S2074" s="307"/>
      <c r="T2074" s="226">
        <f t="shared" si="109"/>
        <v>2071</v>
      </c>
      <c r="U2074" s="224">
        <f t="shared" si="110"/>
        <v>1</v>
      </c>
      <c r="V2074" s="225">
        <f t="shared" si="111"/>
        <v>0</v>
      </c>
      <c r="W2074" s="236">
        <f ca="1">+$U2074*EWSpacingFt+XOffset+PanArrayWidthHighEndFt-(PanArrayWidthHighEndFt-PanArrayWidthLowEndFt)/2</f>
        <v>40.802828354596642</v>
      </c>
      <c r="X2074" s="240">
        <f ca="1">$V2074*NSSpacingFt+YOffset+0</f>
        <v>0</v>
      </c>
      <c r="Y2074" s="244">
        <f ca="1">+$V2074*NSGradeFt+PedHeight+0</f>
        <v>7.401410761154855</v>
      </c>
      <c r="Z2074" s="214">
        <f ca="1">+$W2074</f>
        <v>40.802828354596642</v>
      </c>
      <c r="AA2074" s="214">
        <f ca="1">+$Y2074</f>
        <v>7.401410761154855</v>
      </c>
      <c r="AB2074" s="214">
        <f ca="1">+$X2074</f>
        <v>0</v>
      </c>
      <c r="AC2074" s="214">
        <f ca="1">+$W2074-XOffset</f>
        <v>40.802828354596642</v>
      </c>
    </row>
    <row r="2075" spans="19:29" ht="8.4" customHeight="1">
      <c r="S2075" s="307"/>
      <c r="T2075" s="226">
        <f t="shared" si="109"/>
        <v>2072</v>
      </c>
      <c r="U2075" s="224">
        <f t="shared" si="110"/>
        <v>1</v>
      </c>
      <c r="V2075" s="225">
        <f t="shared" si="111"/>
        <v>0</v>
      </c>
      <c r="W2075" s="237">
        <f ca="1">$U2075*EWSpacingFt+XOffset+PanArrayWidthHighEndFt</f>
        <v>40.802828354596642</v>
      </c>
      <c r="X2075" s="241">
        <f ca="1">$V2075*NSSpacingFt+YOffset+PanArrayLenFt*COS(RADIANS(Latitude+DecAng))</f>
        <v>16.439632545931762</v>
      </c>
      <c r="Y2075" s="245">
        <f ca="1">+$V2075*NSGradeFt+PedHeight+PanArrayLenFt*SIN(RADIANS(Latitude+DecAng))</f>
        <v>7.401410761154855</v>
      </c>
      <c r="Z2075" s="214">
        <f ca="1">+$W2075</f>
        <v>40.802828354596642</v>
      </c>
      <c r="AA2075" s="214">
        <f ca="1">+$Y2075</f>
        <v>7.401410761154855</v>
      </c>
      <c r="AB2075" s="214">
        <f ca="1">+$X2075</f>
        <v>16.439632545931762</v>
      </c>
      <c r="AC2075" s="214">
        <f ca="1">+$W2075-XOffset</f>
        <v>40.802828354596642</v>
      </c>
    </row>
    <row r="2076" spans="19:29" ht="8.4" customHeight="1">
      <c r="S2076" s="307"/>
      <c r="T2076" s="226">
        <f t="shared" si="109"/>
        <v>2073</v>
      </c>
      <c r="U2076" s="224">
        <f t="shared" si="110"/>
        <v>1</v>
      </c>
      <c r="V2076" s="225">
        <f t="shared" si="111"/>
        <v>0</v>
      </c>
      <c r="W2076" s="238">
        <f ca="1">$U2076*EWSpacingFt+XOffset+0</f>
        <v>30.000006832286932</v>
      </c>
      <c r="X2076" s="242">
        <f ca="1">$V2076*NSSpacingFt+YOffset+PanArrayLenFt*COS(RADIANS(Latitude+DecAng))</f>
        <v>16.439632545931762</v>
      </c>
      <c r="Y2076" s="246">
        <f ca="1">+$V2076*NSGradeFt+PedHeight+PanArrayLenFt*SIN(RADIANS(Latitude+DecAng))</f>
        <v>7.401410761154855</v>
      </c>
      <c r="Z2076" s="214">
        <f ca="1">+$W2076</f>
        <v>30.000006832286932</v>
      </c>
      <c r="AA2076" s="214">
        <f ca="1">+$Y2076</f>
        <v>7.401410761154855</v>
      </c>
      <c r="AB2076" s="214">
        <f ca="1">+$X2076</f>
        <v>16.439632545931762</v>
      </c>
      <c r="AC2076" s="214">
        <f ca="1">+$W2076-XOffset</f>
        <v>30.000006832286932</v>
      </c>
    </row>
    <row r="2077" spans="19:29" ht="8.4" customHeight="1">
      <c r="S2077" s="307"/>
      <c r="T2077" s="226">
        <f t="shared" si="109"/>
        <v>2074</v>
      </c>
      <c r="U2077" s="224">
        <f t="shared" si="110"/>
        <v>1</v>
      </c>
      <c r="V2077" s="225">
        <f t="shared" si="111"/>
        <v>0</v>
      </c>
      <c r="W2077" s="239">
        <f ca="1">$U2077*EWSpacingFt+XOffset+(PanArrayWidthHighEndFt-PanArrayWidthLowEndFt)/2</f>
        <v>30.000006832286932</v>
      </c>
      <c r="X2077" s="243">
        <f ca="1">$V2077*NSSpacingFt+YOffset+0</f>
        <v>0</v>
      </c>
      <c r="Y2077" s="247">
        <f ca="1">+$V2077*NSGradeFt+PedHeight+0</f>
        <v>7.401410761154855</v>
      </c>
      <c r="Z2077" s="214">
        <f ca="1">+$W2077</f>
        <v>30.000006832286932</v>
      </c>
      <c r="AA2077" s="214">
        <f ca="1">+$Y2077</f>
        <v>7.401410761154855</v>
      </c>
      <c r="AB2077" s="214">
        <f ca="1">+$X2077</f>
        <v>0</v>
      </c>
      <c r="AC2077" s="214">
        <f ca="1">+$W2077-XOffset</f>
        <v>30.000006832286932</v>
      </c>
    </row>
    <row r="2078" spans="19:29" ht="8.4" customHeight="1">
      <c r="S2078" s="307"/>
      <c r="T2078" s="226">
        <f t="shared" si="109"/>
        <v>2075</v>
      </c>
      <c r="U2078" s="224">
        <f t="shared" si="110"/>
        <v>1</v>
      </c>
      <c r="V2078" s="225">
        <f t="shared" si="111"/>
        <v>0</v>
      </c>
      <c r="W2078" s="217"/>
      <c r="X2078" s="217"/>
      <c r="Y2078" s="217"/>
      <c r="Z2078" s="214"/>
      <c r="AA2078" s="214"/>
      <c r="AB2078" s="214"/>
      <c r="AC2078" s="214"/>
    </row>
    <row r="2079" spans="19:29" ht="8.4" customHeight="1">
      <c r="S2079" s="307">
        <f>INT((T2079-0)/6)+1</f>
        <v>347</v>
      </c>
      <c r="T2079" s="226">
        <f t="shared" si="109"/>
        <v>2076</v>
      </c>
      <c r="U2079" s="224">
        <f t="shared" si="110"/>
        <v>0</v>
      </c>
      <c r="V2079" s="225">
        <f t="shared" si="111"/>
        <v>1</v>
      </c>
      <c r="W2079" s="233">
        <f ca="1">$U2079*EWSpacingFt+XOffset+(PanArrayWidthHighEndFt-PanArrayWidthLowEndFt)/2</f>
        <v>0</v>
      </c>
      <c r="X2079" s="234">
        <f ca="1">$V2079*NSSpacingFt+YOffset+0</f>
        <v>17.999999999999989</v>
      </c>
      <c r="Y2079" s="235">
        <f ca="1">+$V2079*NSGradeFt+PedHeight+0</f>
        <v>7.401410761154855</v>
      </c>
      <c r="Z2079" s="214">
        <f ca="1">+$W2079</f>
        <v>0</v>
      </c>
      <c r="AA2079" s="214">
        <f ca="1">+$Y2079</f>
        <v>7.401410761154855</v>
      </c>
      <c r="AB2079" s="214">
        <f ca="1">+$X2079</f>
        <v>17.999999999999989</v>
      </c>
      <c r="AC2079" s="214">
        <f ca="1">+$W2079-XOffset</f>
        <v>0</v>
      </c>
    </row>
    <row r="2080" spans="19:29" ht="8.4" customHeight="1">
      <c r="S2080" s="307"/>
      <c r="T2080" s="226">
        <f t="shared" si="109"/>
        <v>2077</v>
      </c>
      <c r="U2080" s="224">
        <f t="shared" si="110"/>
        <v>0</v>
      </c>
      <c r="V2080" s="225">
        <f t="shared" si="111"/>
        <v>1</v>
      </c>
      <c r="W2080" s="236">
        <f ca="1">+$U2080*EWSpacingFt+XOffset+PanArrayWidthHighEndFt-(PanArrayWidthHighEndFt-PanArrayWidthLowEndFt)/2</f>
        <v>10.80282152230971</v>
      </c>
      <c r="X2080" s="240">
        <f ca="1">$V2080*NSSpacingFt+YOffset+0</f>
        <v>17.999999999999989</v>
      </c>
      <c r="Y2080" s="244">
        <f ca="1">+$V2080*NSGradeFt+PedHeight+0</f>
        <v>7.401410761154855</v>
      </c>
      <c r="Z2080" s="214">
        <f ca="1">+$W2080</f>
        <v>10.80282152230971</v>
      </c>
      <c r="AA2080" s="214">
        <f ca="1">+$Y2080</f>
        <v>7.401410761154855</v>
      </c>
      <c r="AB2080" s="214">
        <f ca="1">+$X2080</f>
        <v>17.999999999999989</v>
      </c>
      <c r="AC2080" s="214">
        <f ca="1">+$W2080-XOffset</f>
        <v>10.80282152230971</v>
      </c>
    </row>
    <row r="2081" spans="19:29" ht="8.4" customHeight="1">
      <c r="S2081" s="307"/>
      <c r="T2081" s="226">
        <f t="shared" si="109"/>
        <v>2078</v>
      </c>
      <c r="U2081" s="224">
        <f t="shared" si="110"/>
        <v>0</v>
      </c>
      <c r="V2081" s="225">
        <f t="shared" si="111"/>
        <v>1</v>
      </c>
      <c r="W2081" s="237">
        <f ca="1">$U2081*EWSpacingFt+XOffset+PanArrayWidthHighEndFt</f>
        <v>10.80282152230971</v>
      </c>
      <c r="X2081" s="241">
        <f ca="1">$V2081*NSSpacingFt+YOffset+PanArrayLenFt*COS(RADIANS(Latitude+DecAng))</f>
        <v>34.439632545931751</v>
      </c>
      <c r="Y2081" s="245">
        <f ca="1">+$V2081*NSGradeFt+PedHeight+PanArrayLenFt*SIN(RADIANS(Latitude+DecAng))</f>
        <v>7.401410761154855</v>
      </c>
      <c r="Z2081" s="214">
        <f ca="1">+$W2081</f>
        <v>10.80282152230971</v>
      </c>
      <c r="AA2081" s="214">
        <f ca="1">+$Y2081</f>
        <v>7.401410761154855</v>
      </c>
      <c r="AB2081" s="214">
        <f ca="1">+$X2081</f>
        <v>34.439632545931751</v>
      </c>
      <c r="AC2081" s="214">
        <f ca="1">+$W2081-XOffset</f>
        <v>10.80282152230971</v>
      </c>
    </row>
    <row r="2082" spans="19:29" ht="8.4" customHeight="1">
      <c r="S2082" s="307"/>
      <c r="T2082" s="226">
        <f t="shared" si="109"/>
        <v>2079</v>
      </c>
      <c r="U2082" s="224">
        <f t="shared" si="110"/>
        <v>0</v>
      </c>
      <c r="V2082" s="225">
        <f t="shared" si="111"/>
        <v>1</v>
      </c>
      <c r="W2082" s="238">
        <f ca="1">$U2082*EWSpacingFt+XOffset+0</f>
        <v>0</v>
      </c>
      <c r="X2082" s="242">
        <f ca="1">$V2082*NSSpacingFt+YOffset+PanArrayLenFt*COS(RADIANS(Latitude+DecAng))</f>
        <v>34.439632545931751</v>
      </c>
      <c r="Y2082" s="246">
        <f ca="1">+$V2082*NSGradeFt+PedHeight+PanArrayLenFt*SIN(RADIANS(Latitude+DecAng))</f>
        <v>7.401410761154855</v>
      </c>
      <c r="Z2082" s="214">
        <f ca="1">+$W2082</f>
        <v>0</v>
      </c>
      <c r="AA2082" s="214">
        <f ca="1">+$Y2082</f>
        <v>7.401410761154855</v>
      </c>
      <c r="AB2082" s="214">
        <f ca="1">+$X2082</f>
        <v>34.439632545931751</v>
      </c>
      <c r="AC2082" s="214">
        <f ca="1">+$W2082-XOffset</f>
        <v>0</v>
      </c>
    </row>
    <row r="2083" spans="19:29" ht="8.4" customHeight="1">
      <c r="S2083" s="307"/>
      <c r="T2083" s="226">
        <f t="shared" si="109"/>
        <v>2080</v>
      </c>
      <c r="U2083" s="224">
        <f t="shared" si="110"/>
        <v>0</v>
      </c>
      <c r="V2083" s="225">
        <f t="shared" si="111"/>
        <v>1</v>
      </c>
      <c r="W2083" s="239">
        <f ca="1">$U2083*EWSpacingFt+XOffset+(PanArrayWidthHighEndFt-PanArrayWidthLowEndFt)/2</f>
        <v>0</v>
      </c>
      <c r="X2083" s="243">
        <f ca="1">$V2083*NSSpacingFt+YOffset+0</f>
        <v>17.999999999999989</v>
      </c>
      <c r="Y2083" s="247">
        <f ca="1">+$V2083*NSGradeFt+PedHeight+0</f>
        <v>7.401410761154855</v>
      </c>
      <c r="Z2083" s="214">
        <f ca="1">+$W2083</f>
        <v>0</v>
      </c>
      <c r="AA2083" s="214">
        <f ca="1">+$Y2083</f>
        <v>7.401410761154855</v>
      </c>
      <c r="AB2083" s="214">
        <f ca="1">+$X2083</f>
        <v>17.999999999999989</v>
      </c>
      <c r="AC2083" s="214">
        <f ca="1">+$W2083-XOffset</f>
        <v>0</v>
      </c>
    </row>
    <row r="2084" spans="19:29" ht="8.4" customHeight="1">
      <c r="S2084" s="307"/>
      <c r="T2084" s="226">
        <f t="shared" si="109"/>
        <v>2081</v>
      </c>
      <c r="U2084" s="224">
        <f t="shared" si="110"/>
        <v>0</v>
      </c>
      <c r="V2084" s="225">
        <f t="shared" si="111"/>
        <v>1</v>
      </c>
      <c r="W2084" s="217"/>
      <c r="X2084" s="217"/>
      <c r="Y2084" s="217"/>
      <c r="Z2084" s="214"/>
      <c r="AA2084" s="214"/>
      <c r="AB2084" s="214"/>
      <c r="AC2084" s="214"/>
    </row>
    <row r="2085" spans="19:29" ht="8.4" customHeight="1">
      <c r="S2085" s="307">
        <f>INT((T2085-0)/6)+1</f>
        <v>348</v>
      </c>
      <c r="T2085" s="226">
        <f t="shared" ref="T2085:T2148" si="112">+T2084+1</f>
        <v>2082</v>
      </c>
      <c r="U2085" s="224">
        <f t="shared" si="110"/>
        <v>1</v>
      </c>
      <c r="V2085" s="225">
        <f t="shared" si="111"/>
        <v>1</v>
      </c>
      <c r="W2085" s="233">
        <f ca="1">$U2085*EWSpacingFt+XOffset+(PanArrayWidthHighEndFt-PanArrayWidthLowEndFt)/2</f>
        <v>30.000006832286932</v>
      </c>
      <c r="X2085" s="234">
        <f ca="1">$V2085*NSSpacingFt+YOffset+0</f>
        <v>17.999999999999989</v>
      </c>
      <c r="Y2085" s="235">
        <f ca="1">+$V2085*NSGradeFt+PedHeight+0</f>
        <v>7.401410761154855</v>
      </c>
      <c r="Z2085" s="214">
        <f ca="1">+$W2085</f>
        <v>30.000006832286932</v>
      </c>
      <c r="AA2085" s="214">
        <f ca="1">+$Y2085</f>
        <v>7.401410761154855</v>
      </c>
      <c r="AB2085" s="214">
        <f ca="1">+$X2085</f>
        <v>17.999999999999989</v>
      </c>
      <c r="AC2085" s="214">
        <f ca="1">+$W2085-XOffset</f>
        <v>30.000006832286932</v>
      </c>
    </row>
    <row r="2086" spans="19:29" ht="8.4" customHeight="1">
      <c r="S2086" s="307"/>
      <c r="T2086" s="226">
        <f t="shared" si="112"/>
        <v>2083</v>
      </c>
      <c r="U2086" s="224">
        <f t="shared" si="110"/>
        <v>1</v>
      </c>
      <c r="V2086" s="225">
        <f t="shared" si="111"/>
        <v>1</v>
      </c>
      <c r="W2086" s="236">
        <f ca="1">+$U2086*EWSpacingFt+XOffset+PanArrayWidthHighEndFt-(PanArrayWidthHighEndFt-PanArrayWidthLowEndFt)/2</f>
        <v>40.802828354596642</v>
      </c>
      <c r="X2086" s="240">
        <f ca="1">$V2086*NSSpacingFt+YOffset+0</f>
        <v>17.999999999999989</v>
      </c>
      <c r="Y2086" s="244">
        <f ca="1">+$V2086*NSGradeFt+PedHeight+0</f>
        <v>7.401410761154855</v>
      </c>
      <c r="Z2086" s="214">
        <f ca="1">+$W2086</f>
        <v>40.802828354596642</v>
      </c>
      <c r="AA2086" s="214">
        <f ca="1">+$Y2086</f>
        <v>7.401410761154855</v>
      </c>
      <c r="AB2086" s="214">
        <f ca="1">+$X2086</f>
        <v>17.999999999999989</v>
      </c>
      <c r="AC2086" s="214">
        <f ca="1">+$W2086-XOffset</f>
        <v>40.802828354596642</v>
      </c>
    </row>
    <row r="2087" spans="19:29" ht="8.4" customHeight="1">
      <c r="S2087" s="307"/>
      <c r="T2087" s="226">
        <f t="shared" si="112"/>
        <v>2084</v>
      </c>
      <c r="U2087" s="224">
        <f t="shared" si="110"/>
        <v>1</v>
      </c>
      <c r="V2087" s="225">
        <f t="shared" si="111"/>
        <v>1</v>
      </c>
      <c r="W2087" s="237">
        <f ca="1">$U2087*EWSpacingFt+XOffset+PanArrayWidthHighEndFt</f>
        <v>40.802828354596642</v>
      </c>
      <c r="X2087" s="241">
        <f ca="1">$V2087*NSSpacingFt+YOffset+PanArrayLenFt*COS(RADIANS(Latitude+DecAng))</f>
        <v>34.439632545931751</v>
      </c>
      <c r="Y2087" s="245">
        <f ca="1">+$V2087*NSGradeFt+PedHeight+PanArrayLenFt*SIN(RADIANS(Latitude+DecAng))</f>
        <v>7.401410761154855</v>
      </c>
      <c r="Z2087" s="214">
        <f ca="1">+$W2087</f>
        <v>40.802828354596642</v>
      </c>
      <c r="AA2087" s="214">
        <f ca="1">+$Y2087</f>
        <v>7.401410761154855</v>
      </c>
      <c r="AB2087" s="214">
        <f ca="1">+$X2087</f>
        <v>34.439632545931751</v>
      </c>
      <c r="AC2087" s="214">
        <f ca="1">+$W2087-XOffset</f>
        <v>40.802828354596642</v>
      </c>
    </row>
    <row r="2088" spans="19:29" ht="8.4" customHeight="1">
      <c r="S2088" s="307"/>
      <c r="T2088" s="226">
        <f t="shared" si="112"/>
        <v>2085</v>
      </c>
      <c r="U2088" s="224">
        <f t="shared" si="110"/>
        <v>1</v>
      </c>
      <c r="V2088" s="225">
        <f t="shared" si="111"/>
        <v>1</v>
      </c>
      <c r="W2088" s="238">
        <f ca="1">$U2088*EWSpacingFt+XOffset+0</f>
        <v>30.000006832286932</v>
      </c>
      <c r="X2088" s="242">
        <f ca="1">$V2088*NSSpacingFt+YOffset+PanArrayLenFt*COS(RADIANS(Latitude+DecAng))</f>
        <v>34.439632545931751</v>
      </c>
      <c r="Y2088" s="246">
        <f ca="1">+$V2088*NSGradeFt+PedHeight+PanArrayLenFt*SIN(RADIANS(Latitude+DecAng))</f>
        <v>7.401410761154855</v>
      </c>
      <c r="Z2088" s="214">
        <f ca="1">+$W2088</f>
        <v>30.000006832286932</v>
      </c>
      <c r="AA2088" s="214">
        <f ca="1">+$Y2088</f>
        <v>7.401410761154855</v>
      </c>
      <c r="AB2088" s="214">
        <f ca="1">+$X2088</f>
        <v>34.439632545931751</v>
      </c>
      <c r="AC2088" s="214">
        <f ca="1">+$W2088-XOffset</f>
        <v>30.000006832286932</v>
      </c>
    </row>
    <row r="2089" spans="19:29" ht="8.4" customHeight="1">
      <c r="S2089" s="307"/>
      <c r="T2089" s="226">
        <f t="shared" si="112"/>
        <v>2086</v>
      </c>
      <c r="U2089" s="224">
        <f t="shared" si="110"/>
        <v>1</v>
      </c>
      <c r="V2089" s="225">
        <f t="shared" si="111"/>
        <v>1</v>
      </c>
      <c r="W2089" s="239">
        <f ca="1">$U2089*EWSpacingFt+XOffset+(PanArrayWidthHighEndFt-PanArrayWidthLowEndFt)/2</f>
        <v>30.000006832286932</v>
      </c>
      <c r="X2089" s="243">
        <f ca="1">$V2089*NSSpacingFt+YOffset+0</f>
        <v>17.999999999999989</v>
      </c>
      <c r="Y2089" s="247">
        <f ca="1">+$V2089*NSGradeFt+PedHeight+0</f>
        <v>7.401410761154855</v>
      </c>
      <c r="Z2089" s="214">
        <f ca="1">+$W2089</f>
        <v>30.000006832286932</v>
      </c>
      <c r="AA2089" s="214">
        <f ca="1">+$Y2089</f>
        <v>7.401410761154855</v>
      </c>
      <c r="AB2089" s="214">
        <f ca="1">+$X2089</f>
        <v>17.999999999999989</v>
      </c>
      <c r="AC2089" s="214">
        <f ca="1">+$W2089-XOffset</f>
        <v>30.000006832286932</v>
      </c>
    </row>
    <row r="2090" spans="19:29" ht="8.4" customHeight="1">
      <c r="S2090" s="307"/>
      <c r="T2090" s="226">
        <f t="shared" si="112"/>
        <v>2087</v>
      </c>
      <c r="U2090" s="224">
        <f t="shared" si="110"/>
        <v>1</v>
      </c>
      <c r="V2090" s="225">
        <f t="shared" si="111"/>
        <v>1</v>
      </c>
      <c r="W2090" s="217"/>
      <c r="X2090" s="217"/>
      <c r="Y2090" s="217"/>
      <c r="Z2090" s="214"/>
      <c r="AA2090" s="214"/>
      <c r="AB2090" s="214"/>
      <c r="AC2090" s="214"/>
    </row>
    <row r="2091" spans="19:29" ht="8.4" customHeight="1">
      <c r="S2091" s="307">
        <f>INT((T2091-0)/6)+1</f>
        <v>349</v>
      </c>
      <c r="T2091" s="226">
        <f t="shared" si="112"/>
        <v>2088</v>
      </c>
      <c r="U2091" s="224">
        <f t="shared" si="110"/>
        <v>0</v>
      </c>
      <c r="V2091" s="225">
        <f t="shared" si="111"/>
        <v>2</v>
      </c>
      <c r="W2091" s="233">
        <f ca="1">$U2091*EWSpacingFt+XOffset+(PanArrayWidthHighEndFt-PanArrayWidthLowEndFt)/2</f>
        <v>0</v>
      </c>
      <c r="X2091" s="234">
        <f ca="1">$V2091*NSSpacingFt+YOffset+0</f>
        <v>35.999999999999979</v>
      </c>
      <c r="Y2091" s="235">
        <f ca="1">+$V2091*NSGradeFt+PedHeight+0</f>
        <v>7.401410761154855</v>
      </c>
      <c r="Z2091" s="214">
        <f ca="1">+$W2091</f>
        <v>0</v>
      </c>
      <c r="AA2091" s="214">
        <f ca="1">+$Y2091</f>
        <v>7.401410761154855</v>
      </c>
      <c r="AB2091" s="214">
        <f ca="1">+$X2091</f>
        <v>35.999999999999979</v>
      </c>
      <c r="AC2091" s="214">
        <f ca="1">+$W2091-XOffset</f>
        <v>0</v>
      </c>
    </row>
    <row r="2092" spans="19:29" ht="8.4" customHeight="1">
      <c r="S2092" s="307"/>
      <c r="T2092" s="226">
        <f t="shared" si="112"/>
        <v>2089</v>
      </c>
      <c r="U2092" s="224">
        <f t="shared" si="110"/>
        <v>0</v>
      </c>
      <c r="V2092" s="225">
        <f t="shared" si="111"/>
        <v>2</v>
      </c>
      <c r="W2092" s="236">
        <f ca="1">+$U2092*EWSpacingFt+XOffset+PanArrayWidthHighEndFt-(PanArrayWidthHighEndFt-PanArrayWidthLowEndFt)/2</f>
        <v>10.80282152230971</v>
      </c>
      <c r="X2092" s="240">
        <f ca="1">$V2092*NSSpacingFt+YOffset+0</f>
        <v>35.999999999999979</v>
      </c>
      <c r="Y2092" s="244">
        <f ca="1">+$V2092*NSGradeFt+PedHeight+0</f>
        <v>7.401410761154855</v>
      </c>
      <c r="Z2092" s="214">
        <f ca="1">+$W2092</f>
        <v>10.80282152230971</v>
      </c>
      <c r="AA2092" s="214">
        <f ca="1">+$Y2092</f>
        <v>7.401410761154855</v>
      </c>
      <c r="AB2092" s="214">
        <f ca="1">+$X2092</f>
        <v>35.999999999999979</v>
      </c>
      <c r="AC2092" s="214">
        <f ca="1">+$W2092-XOffset</f>
        <v>10.80282152230971</v>
      </c>
    </row>
    <row r="2093" spans="19:29" ht="8.4" customHeight="1">
      <c r="S2093" s="307"/>
      <c r="T2093" s="226">
        <f t="shared" si="112"/>
        <v>2090</v>
      </c>
      <c r="U2093" s="224">
        <f t="shared" si="110"/>
        <v>0</v>
      </c>
      <c r="V2093" s="225">
        <f t="shared" si="111"/>
        <v>2</v>
      </c>
      <c r="W2093" s="237">
        <f ca="1">$U2093*EWSpacingFt+XOffset+PanArrayWidthHighEndFt</f>
        <v>10.80282152230971</v>
      </c>
      <c r="X2093" s="241">
        <f ca="1">$V2093*NSSpacingFt+YOffset+PanArrayLenFt*COS(RADIANS(Latitude+DecAng))</f>
        <v>52.439632545931744</v>
      </c>
      <c r="Y2093" s="245">
        <f ca="1">+$V2093*NSGradeFt+PedHeight+PanArrayLenFt*SIN(RADIANS(Latitude+DecAng))</f>
        <v>7.401410761154855</v>
      </c>
      <c r="Z2093" s="214">
        <f ca="1">+$W2093</f>
        <v>10.80282152230971</v>
      </c>
      <c r="AA2093" s="214">
        <f ca="1">+$Y2093</f>
        <v>7.401410761154855</v>
      </c>
      <c r="AB2093" s="214">
        <f ca="1">+$X2093</f>
        <v>52.439632545931744</v>
      </c>
      <c r="AC2093" s="214">
        <f ca="1">+$W2093-XOffset</f>
        <v>10.80282152230971</v>
      </c>
    </row>
    <row r="2094" spans="19:29" ht="8.4" customHeight="1">
      <c r="S2094" s="307"/>
      <c r="T2094" s="226">
        <f t="shared" si="112"/>
        <v>2091</v>
      </c>
      <c r="U2094" s="224">
        <f t="shared" si="110"/>
        <v>0</v>
      </c>
      <c r="V2094" s="225">
        <f t="shared" si="111"/>
        <v>2</v>
      </c>
      <c r="W2094" s="238">
        <f ca="1">$U2094*EWSpacingFt+XOffset+0</f>
        <v>0</v>
      </c>
      <c r="X2094" s="242">
        <f ca="1">$V2094*NSSpacingFt+YOffset+PanArrayLenFt*COS(RADIANS(Latitude+DecAng))</f>
        <v>52.439632545931744</v>
      </c>
      <c r="Y2094" s="246">
        <f ca="1">+$V2094*NSGradeFt+PedHeight+PanArrayLenFt*SIN(RADIANS(Latitude+DecAng))</f>
        <v>7.401410761154855</v>
      </c>
      <c r="Z2094" s="214">
        <f ca="1">+$W2094</f>
        <v>0</v>
      </c>
      <c r="AA2094" s="214">
        <f ca="1">+$Y2094</f>
        <v>7.401410761154855</v>
      </c>
      <c r="AB2094" s="214">
        <f ca="1">+$X2094</f>
        <v>52.439632545931744</v>
      </c>
      <c r="AC2094" s="214">
        <f ca="1">+$W2094-XOffset</f>
        <v>0</v>
      </c>
    </row>
    <row r="2095" spans="19:29" ht="8.4" customHeight="1">
      <c r="S2095" s="307"/>
      <c r="T2095" s="226">
        <f t="shared" si="112"/>
        <v>2092</v>
      </c>
      <c r="U2095" s="224">
        <f t="shared" si="110"/>
        <v>0</v>
      </c>
      <c r="V2095" s="225">
        <f t="shared" si="111"/>
        <v>2</v>
      </c>
      <c r="W2095" s="239">
        <f ca="1">$U2095*EWSpacingFt+XOffset+(PanArrayWidthHighEndFt-PanArrayWidthLowEndFt)/2</f>
        <v>0</v>
      </c>
      <c r="X2095" s="243">
        <f ca="1">$V2095*NSSpacingFt+YOffset+0</f>
        <v>35.999999999999979</v>
      </c>
      <c r="Y2095" s="247">
        <f ca="1">+$V2095*NSGradeFt+PedHeight+0</f>
        <v>7.401410761154855</v>
      </c>
      <c r="Z2095" s="214">
        <f ca="1">+$W2095</f>
        <v>0</v>
      </c>
      <c r="AA2095" s="214">
        <f ca="1">+$Y2095</f>
        <v>7.401410761154855</v>
      </c>
      <c r="AB2095" s="214">
        <f ca="1">+$X2095</f>
        <v>35.999999999999979</v>
      </c>
      <c r="AC2095" s="214">
        <f ca="1">+$W2095-XOffset</f>
        <v>0</v>
      </c>
    </row>
    <row r="2096" spans="19:29" ht="8.4" customHeight="1">
      <c r="S2096" s="307"/>
      <c r="T2096" s="226">
        <f t="shared" si="112"/>
        <v>2093</v>
      </c>
      <c r="U2096" s="224">
        <f t="shared" si="110"/>
        <v>0</v>
      </c>
      <c r="V2096" s="225">
        <f t="shared" si="111"/>
        <v>2</v>
      </c>
      <c r="W2096" s="217"/>
      <c r="X2096" s="217"/>
      <c r="Y2096" s="217"/>
      <c r="Z2096" s="214"/>
      <c r="AA2096" s="214"/>
      <c r="AB2096" s="214"/>
      <c r="AC2096" s="214"/>
    </row>
    <row r="2097" spans="19:29" ht="8.4" customHeight="1">
      <c r="S2097" s="307">
        <f>INT((T2097-0)/6)+1</f>
        <v>350</v>
      </c>
      <c r="T2097" s="226">
        <f t="shared" si="112"/>
        <v>2094</v>
      </c>
      <c r="U2097" s="224">
        <f t="shared" si="110"/>
        <v>1</v>
      </c>
      <c r="V2097" s="225">
        <f t="shared" si="111"/>
        <v>2</v>
      </c>
      <c r="W2097" s="233">
        <f ca="1">$U2097*EWSpacingFt+XOffset+(PanArrayWidthHighEndFt-PanArrayWidthLowEndFt)/2</f>
        <v>30.000006832286932</v>
      </c>
      <c r="X2097" s="234">
        <f ca="1">$V2097*NSSpacingFt+YOffset+0</f>
        <v>35.999999999999979</v>
      </c>
      <c r="Y2097" s="235">
        <f ca="1">+$V2097*NSGradeFt+PedHeight+0</f>
        <v>7.401410761154855</v>
      </c>
      <c r="Z2097" s="214">
        <f ca="1">+$W2097</f>
        <v>30.000006832286932</v>
      </c>
      <c r="AA2097" s="214">
        <f ca="1">+$Y2097</f>
        <v>7.401410761154855</v>
      </c>
      <c r="AB2097" s="214">
        <f ca="1">+$X2097</f>
        <v>35.999999999999979</v>
      </c>
      <c r="AC2097" s="214">
        <f ca="1">+$W2097-XOffset</f>
        <v>30.000006832286932</v>
      </c>
    </row>
    <row r="2098" spans="19:29" ht="8.4" customHeight="1">
      <c r="S2098" s="307"/>
      <c r="T2098" s="226">
        <f t="shared" si="112"/>
        <v>2095</v>
      </c>
      <c r="U2098" s="224">
        <f t="shared" si="110"/>
        <v>1</v>
      </c>
      <c r="V2098" s="225">
        <f t="shared" si="111"/>
        <v>2</v>
      </c>
      <c r="W2098" s="236">
        <f ca="1">+$U2098*EWSpacingFt+XOffset+PanArrayWidthHighEndFt-(PanArrayWidthHighEndFt-PanArrayWidthLowEndFt)/2</f>
        <v>40.802828354596642</v>
      </c>
      <c r="X2098" s="240">
        <f ca="1">$V2098*NSSpacingFt+YOffset+0</f>
        <v>35.999999999999979</v>
      </c>
      <c r="Y2098" s="244">
        <f ca="1">+$V2098*NSGradeFt+PedHeight+0</f>
        <v>7.401410761154855</v>
      </c>
      <c r="Z2098" s="214">
        <f ca="1">+$W2098</f>
        <v>40.802828354596642</v>
      </c>
      <c r="AA2098" s="214">
        <f ca="1">+$Y2098</f>
        <v>7.401410761154855</v>
      </c>
      <c r="AB2098" s="214">
        <f ca="1">+$X2098</f>
        <v>35.999999999999979</v>
      </c>
      <c r="AC2098" s="214">
        <f ca="1">+$W2098-XOffset</f>
        <v>40.802828354596642</v>
      </c>
    </row>
    <row r="2099" spans="19:29" ht="8.4" customHeight="1">
      <c r="S2099" s="307"/>
      <c r="T2099" s="226">
        <f t="shared" si="112"/>
        <v>2096</v>
      </c>
      <c r="U2099" s="224">
        <f t="shared" si="110"/>
        <v>1</v>
      </c>
      <c r="V2099" s="225">
        <f t="shared" si="111"/>
        <v>2</v>
      </c>
      <c r="W2099" s="237">
        <f ca="1">$U2099*EWSpacingFt+XOffset+PanArrayWidthHighEndFt</f>
        <v>40.802828354596642</v>
      </c>
      <c r="X2099" s="241">
        <f ca="1">$V2099*NSSpacingFt+YOffset+PanArrayLenFt*COS(RADIANS(Latitude+DecAng))</f>
        <v>52.439632545931744</v>
      </c>
      <c r="Y2099" s="245">
        <f ca="1">+$V2099*NSGradeFt+PedHeight+PanArrayLenFt*SIN(RADIANS(Latitude+DecAng))</f>
        <v>7.401410761154855</v>
      </c>
      <c r="Z2099" s="214">
        <f ca="1">+$W2099</f>
        <v>40.802828354596642</v>
      </c>
      <c r="AA2099" s="214">
        <f ca="1">+$Y2099</f>
        <v>7.401410761154855</v>
      </c>
      <c r="AB2099" s="214">
        <f ca="1">+$X2099</f>
        <v>52.439632545931744</v>
      </c>
      <c r="AC2099" s="214">
        <f ca="1">+$W2099-XOffset</f>
        <v>40.802828354596642</v>
      </c>
    </row>
    <row r="2100" spans="19:29" ht="8.4" customHeight="1">
      <c r="S2100" s="307"/>
      <c r="T2100" s="226">
        <f t="shared" si="112"/>
        <v>2097</v>
      </c>
      <c r="U2100" s="224">
        <f t="shared" si="110"/>
        <v>1</v>
      </c>
      <c r="V2100" s="225">
        <f t="shared" si="111"/>
        <v>2</v>
      </c>
      <c r="W2100" s="238">
        <f ca="1">$U2100*EWSpacingFt+XOffset+0</f>
        <v>30.000006832286932</v>
      </c>
      <c r="X2100" s="242">
        <f ca="1">$V2100*NSSpacingFt+YOffset+PanArrayLenFt*COS(RADIANS(Latitude+DecAng))</f>
        <v>52.439632545931744</v>
      </c>
      <c r="Y2100" s="246">
        <f ca="1">+$V2100*NSGradeFt+PedHeight+PanArrayLenFt*SIN(RADIANS(Latitude+DecAng))</f>
        <v>7.401410761154855</v>
      </c>
      <c r="Z2100" s="214">
        <f ca="1">+$W2100</f>
        <v>30.000006832286932</v>
      </c>
      <c r="AA2100" s="214">
        <f ca="1">+$Y2100</f>
        <v>7.401410761154855</v>
      </c>
      <c r="AB2100" s="214">
        <f ca="1">+$X2100</f>
        <v>52.439632545931744</v>
      </c>
      <c r="AC2100" s="214">
        <f ca="1">+$W2100-XOffset</f>
        <v>30.000006832286932</v>
      </c>
    </row>
    <row r="2101" spans="19:29" ht="8.4" customHeight="1">
      <c r="S2101" s="307"/>
      <c r="T2101" s="226">
        <f t="shared" si="112"/>
        <v>2098</v>
      </c>
      <c r="U2101" s="224">
        <f t="shared" si="110"/>
        <v>1</v>
      </c>
      <c r="V2101" s="225">
        <f t="shared" si="111"/>
        <v>2</v>
      </c>
      <c r="W2101" s="239">
        <f ca="1">$U2101*EWSpacingFt+XOffset+(PanArrayWidthHighEndFt-PanArrayWidthLowEndFt)/2</f>
        <v>30.000006832286932</v>
      </c>
      <c r="X2101" s="243">
        <f ca="1">$V2101*NSSpacingFt+YOffset+0</f>
        <v>35.999999999999979</v>
      </c>
      <c r="Y2101" s="247">
        <f ca="1">+$V2101*NSGradeFt+PedHeight+0</f>
        <v>7.401410761154855</v>
      </c>
      <c r="Z2101" s="214">
        <f ca="1">+$W2101</f>
        <v>30.000006832286932</v>
      </c>
      <c r="AA2101" s="214">
        <f ca="1">+$Y2101</f>
        <v>7.401410761154855</v>
      </c>
      <c r="AB2101" s="214">
        <f ca="1">+$X2101</f>
        <v>35.999999999999979</v>
      </c>
      <c r="AC2101" s="214">
        <f ca="1">+$W2101-XOffset</f>
        <v>30.000006832286932</v>
      </c>
    </row>
    <row r="2102" spans="19:29" ht="8.4" customHeight="1">
      <c r="S2102" s="307"/>
      <c r="T2102" s="226">
        <f t="shared" si="112"/>
        <v>2099</v>
      </c>
      <c r="U2102" s="224">
        <f t="shared" si="110"/>
        <v>1</v>
      </c>
      <c r="V2102" s="225">
        <f t="shared" si="111"/>
        <v>2</v>
      </c>
      <c r="W2102" s="217"/>
      <c r="X2102" s="217"/>
      <c r="Y2102" s="217"/>
      <c r="Z2102" s="214"/>
      <c r="AA2102" s="214"/>
      <c r="AB2102" s="214"/>
      <c r="AC2102" s="214"/>
    </row>
    <row r="2103" spans="19:29" ht="8.4" customHeight="1">
      <c r="S2103" s="307">
        <f>INT((T2103-0)/6)+1</f>
        <v>351</v>
      </c>
      <c r="T2103" s="226">
        <f t="shared" si="112"/>
        <v>2100</v>
      </c>
      <c r="U2103" s="224">
        <f t="shared" si="110"/>
        <v>0</v>
      </c>
      <c r="V2103" s="225">
        <f t="shared" si="111"/>
        <v>3</v>
      </c>
      <c r="W2103" s="233">
        <f ca="1">$U2103*EWSpacingFt+XOffset+(PanArrayWidthHighEndFt-PanArrayWidthLowEndFt)/2</f>
        <v>0</v>
      </c>
      <c r="X2103" s="234">
        <f ca="1">$V2103*NSSpacingFt+YOffset+0</f>
        <v>53.999999999999972</v>
      </c>
      <c r="Y2103" s="235">
        <f ca="1">+$V2103*NSGradeFt+PedHeight+0</f>
        <v>7.401410761154855</v>
      </c>
      <c r="Z2103" s="214">
        <f ca="1">+$W2103</f>
        <v>0</v>
      </c>
      <c r="AA2103" s="214">
        <f ca="1">+$Y2103</f>
        <v>7.401410761154855</v>
      </c>
      <c r="AB2103" s="214">
        <f ca="1">+$X2103</f>
        <v>53.999999999999972</v>
      </c>
      <c r="AC2103" s="214">
        <f ca="1">+$W2103-XOffset</f>
        <v>0</v>
      </c>
    </row>
    <row r="2104" spans="19:29" ht="8.4" customHeight="1">
      <c r="S2104" s="307"/>
      <c r="T2104" s="226">
        <f t="shared" si="112"/>
        <v>2101</v>
      </c>
      <c r="U2104" s="224">
        <f t="shared" si="110"/>
        <v>0</v>
      </c>
      <c r="V2104" s="225">
        <f t="shared" si="111"/>
        <v>3</v>
      </c>
      <c r="W2104" s="236">
        <f ca="1">+$U2104*EWSpacingFt+XOffset+PanArrayWidthHighEndFt-(PanArrayWidthHighEndFt-PanArrayWidthLowEndFt)/2</f>
        <v>10.80282152230971</v>
      </c>
      <c r="X2104" s="240">
        <f ca="1">$V2104*NSSpacingFt+YOffset+0</f>
        <v>53.999999999999972</v>
      </c>
      <c r="Y2104" s="244">
        <f ca="1">+$V2104*NSGradeFt+PedHeight+0</f>
        <v>7.401410761154855</v>
      </c>
      <c r="Z2104" s="214">
        <f ca="1">+$W2104</f>
        <v>10.80282152230971</v>
      </c>
      <c r="AA2104" s="214">
        <f ca="1">+$Y2104</f>
        <v>7.401410761154855</v>
      </c>
      <c r="AB2104" s="214">
        <f ca="1">+$X2104</f>
        <v>53.999999999999972</v>
      </c>
      <c r="AC2104" s="214">
        <f ca="1">+$W2104-XOffset</f>
        <v>10.80282152230971</v>
      </c>
    </row>
    <row r="2105" spans="19:29" ht="8.4" customHeight="1">
      <c r="S2105" s="307"/>
      <c r="T2105" s="226">
        <f t="shared" si="112"/>
        <v>2102</v>
      </c>
      <c r="U2105" s="224">
        <f t="shared" si="110"/>
        <v>0</v>
      </c>
      <c r="V2105" s="225">
        <f t="shared" si="111"/>
        <v>3</v>
      </c>
      <c r="W2105" s="237">
        <f ca="1">$U2105*EWSpacingFt+XOffset+PanArrayWidthHighEndFt</f>
        <v>10.80282152230971</v>
      </c>
      <c r="X2105" s="241">
        <f ca="1">$V2105*NSSpacingFt+YOffset+PanArrayLenFt*COS(RADIANS(Latitude+DecAng))</f>
        <v>70.43963254593173</v>
      </c>
      <c r="Y2105" s="245">
        <f ca="1">+$V2105*NSGradeFt+PedHeight+PanArrayLenFt*SIN(RADIANS(Latitude+DecAng))</f>
        <v>7.401410761154855</v>
      </c>
      <c r="Z2105" s="214">
        <f ca="1">+$W2105</f>
        <v>10.80282152230971</v>
      </c>
      <c r="AA2105" s="214">
        <f ca="1">+$Y2105</f>
        <v>7.401410761154855</v>
      </c>
      <c r="AB2105" s="214">
        <f ca="1">+$X2105</f>
        <v>70.43963254593173</v>
      </c>
      <c r="AC2105" s="214">
        <f ca="1">+$W2105-XOffset</f>
        <v>10.80282152230971</v>
      </c>
    </row>
    <row r="2106" spans="19:29" ht="8.4" customHeight="1">
      <c r="S2106" s="307"/>
      <c r="T2106" s="226">
        <f t="shared" si="112"/>
        <v>2103</v>
      </c>
      <c r="U2106" s="224">
        <f t="shared" si="110"/>
        <v>0</v>
      </c>
      <c r="V2106" s="225">
        <f t="shared" si="111"/>
        <v>3</v>
      </c>
      <c r="W2106" s="238">
        <f ca="1">$U2106*EWSpacingFt+XOffset+0</f>
        <v>0</v>
      </c>
      <c r="X2106" s="242">
        <f ca="1">$V2106*NSSpacingFt+YOffset+PanArrayLenFt*COS(RADIANS(Latitude+DecAng))</f>
        <v>70.43963254593173</v>
      </c>
      <c r="Y2106" s="246">
        <f ca="1">+$V2106*NSGradeFt+PedHeight+PanArrayLenFt*SIN(RADIANS(Latitude+DecAng))</f>
        <v>7.401410761154855</v>
      </c>
      <c r="Z2106" s="214">
        <f ca="1">+$W2106</f>
        <v>0</v>
      </c>
      <c r="AA2106" s="214">
        <f ca="1">+$Y2106</f>
        <v>7.401410761154855</v>
      </c>
      <c r="AB2106" s="214">
        <f ca="1">+$X2106</f>
        <v>70.43963254593173</v>
      </c>
      <c r="AC2106" s="214">
        <f ca="1">+$W2106-XOffset</f>
        <v>0</v>
      </c>
    </row>
    <row r="2107" spans="19:29" ht="8.4" customHeight="1">
      <c r="S2107" s="307"/>
      <c r="T2107" s="226">
        <f t="shared" si="112"/>
        <v>2104</v>
      </c>
      <c r="U2107" s="224">
        <f t="shared" si="110"/>
        <v>0</v>
      </c>
      <c r="V2107" s="225">
        <f t="shared" si="111"/>
        <v>3</v>
      </c>
      <c r="W2107" s="239">
        <f ca="1">$U2107*EWSpacingFt+XOffset+(PanArrayWidthHighEndFt-PanArrayWidthLowEndFt)/2</f>
        <v>0</v>
      </c>
      <c r="X2107" s="243">
        <f ca="1">$V2107*NSSpacingFt+YOffset+0</f>
        <v>53.999999999999972</v>
      </c>
      <c r="Y2107" s="247">
        <f ca="1">+$V2107*NSGradeFt+PedHeight+0</f>
        <v>7.401410761154855</v>
      </c>
      <c r="Z2107" s="214">
        <f ca="1">+$W2107</f>
        <v>0</v>
      </c>
      <c r="AA2107" s="214">
        <f ca="1">+$Y2107</f>
        <v>7.401410761154855</v>
      </c>
      <c r="AB2107" s="214">
        <f ca="1">+$X2107</f>
        <v>53.999999999999972</v>
      </c>
      <c r="AC2107" s="214">
        <f ca="1">+$W2107-XOffset</f>
        <v>0</v>
      </c>
    </row>
    <row r="2108" spans="19:29" ht="8.4" customHeight="1">
      <c r="S2108" s="307"/>
      <c r="T2108" s="226">
        <f t="shared" si="112"/>
        <v>2105</v>
      </c>
      <c r="U2108" s="224">
        <f t="shared" si="110"/>
        <v>0</v>
      </c>
      <c r="V2108" s="225">
        <f t="shared" si="111"/>
        <v>3</v>
      </c>
      <c r="W2108" s="217"/>
      <c r="X2108" s="217"/>
      <c r="Y2108" s="217"/>
      <c r="Z2108" s="214"/>
      <c r="AA2108" s="214"/>
      <c r="AB2108" s="214"/>
      <c r="AC2108" s="214"/>
    </row>
    <row r="2109" spans="19:29" ht="8.4" customHeight="1">
      <c r="S2109" s="307">
        <f>INT((T2109-0)/6)+1</f>
        <v>352</v>
      </c>
      <c r="T2109" s="226">
        <f t="shared" si="112"/>
        <v>2106</v>
      </c>
      <c r="U2109" s="224">
        <f t="shared" si="110"/>
        <v>1</v>
      </c>
      <c r="V2109" s="225">
        <f t="shared" si="111"/>
        <v>3</v>
      </c>
      <c r="W2109" s="233">
        <f ca="1">$U2109*EWSpacingFt+XOffset+(PanArrayWidthHighEndFt-PanArrayWidthLowEndFt)/2</f>
        <v>30.000006832286932</v>
      </c>
      <c r="X2109" s="234">
        <f ca="1">$V2109*NSSpacingFt+YOffset+0</f>
        <v>53.999999999999972</v>
      </c>
      <c r="Y2109" s="235">
        <f ca="1">+$V2109*NSGradeFt+PedHeight+0</f>
        <v>7.401410761154855</v>
      </c>
      <c r="Z2109" s="214">
        <f ca="1">+$W2109</f>
        <v>30.000006832286932</v>
      </c>
      <c r="AA2109" s="214">
        <f ca="1">+$Y2109</f>
        <v>7.401410761154855</v>
      </c>
      <c r="AB2109" s="214">
        <f ca="1">+$X2109</f>
        <v>53.999999999999972</v>
      </c>
      <c r="AC2109" s="214">
        <f ca="1">+$W2109-XOffset</f>
        <v>30.000006832286932</v>
      </c>
    </row>
    <row r="2110" spans="19:29" ht="8.4" customHeight="1">
      <c r="S2110" s="307"/>
      <c r="T2110" s="226">
        <f t="shared" si="112"/>
        <v>2107</v>
      </c>
      <c r="U2110" s="224">
        <f t="shared" si="110"/>
        <v>1</v>
      </c>
      <c r="V2110" s="225">
        <f t="shared" si="111"/>
        <v>3</v>
      </c>
      <c r="W2110" s="236">
        <f ca="1">+$U2110*EWSpacingFt+XOffset+PanArrayWidthHighEndFt-(PanArrayWidthHighEndFt-PanArrayWidthLowEndFt)/2</f>
        <v>40.802828354596642</v>
      </c>
      <c r="X2110" s="240">
        <f ca="1">$V2110*NSSpacingFt+YOffset+0</f>
        <v>53.999999999999972</v>
      </c>
      <c r="Y2110" s="244">
        <f ca="1">+$V2110*NSGradeFt+PedHeight+0</f>
        <v>7.401410761154855</v>
      </c>
      <c r="Z2110" s="214">
        <f ca="1">+$W2110</f>
        <v>40.802828354596642</v>
      </c>
      <c r="AA2110" s="214">
        <f ca="1">+$Y2110</f>
        <v>7.401410761154855</v>
      </c>
      <c r="AB2110" s="214">
        <f ca="1">+$X2110</f>
        <v>53.999999999999972</v>
      </c>
      <c r="AC2110" s="214">
        <f ca="1">+$W2110-XOffset</f>
        <v>40.802828354596642</v>
      </c>
    </row>
    <row r="2111" spans="19:29" ht="8.4" customHeight="1">
      <c r="S2111" s="307"/>
      <c r="T2111" s="226">
        <f t="shared" si="112"/>
        <v>2108</v>
      </c>
      <c r="U2111" s="224">
        <f t="shared" si="110"/>
        <v>1</v>
      </c>
      <c r="V2111" s="225">
        <f t="shared" si="111"/>
        <v>3</v>
      </c>
      <c r="W2111" s="237">
        <f ca="1">$U2111*EWSpacingFt+XOffset+PanArrayWidthHighEndFt</f>
        <v>40.802828354596642</v>
      </c>
      <c r="X2111" s="241">
        <f ca="1">$V2111*NSSpacingFt+YOffset+PanArrayLenFt*COS(RADIANS(Latitude+DecAng))</f>
        <v>70.43963254593173</v>
      </c>
      <c r="Y2111" s="245">
        <f ca="1">+$V2111*NSGradeFt+PedHeight+PanArrayLenFt*SIN(RADIANS(Latitude+DecAng))</f>
        <v>7.401410761154855</v>
      </c>
      <c r="Z2111" s="214">
        <f ca="1">+$W2111</f>
        <v>40.802828354596642</v>
      </c>
      <c r="AA2111" s="214">
        <f ca="1">+$Y2111</f>
        <v>7.401410761154855</v>
      </c>
      <c r="AB2111" s="214">
        <f ca="1">+$X2111</f>
        <v>70.43963254593173</v>
      </c>
      <c r="AC2111" s="214">
        <f ca="1">+$W2111-XOffset</f>
        <v>40.802828354596642</v>
      </c>
    </row>
    <row r="2112" spans="19:29" ht="8.4" customHeight="1">
      <c r="S2112" s="307"/>
      <c r="T2112" s="226">
        <f t="shared" si="112"/>
        <v>2109</v>
      </c>
      <c r="U2112" s="224">
        <f t="shared" si="110"/>
        <v>1</v>
      </c>
      <c r="V2112" s="225">
        <f t="shared" si="111"/>
        <v>3</v>
      </c>
      <c r="W2112" s="238">
        <f ca="1">$U2112*EWSpacingFt+XOffset+0</f>
        <v>30.000006832286932</v>
      </c>
      <c r="X2112" s="242">
        <f ca="1">$V2112*NSSpacingFt+YOffset+PanArrayLenFt*COS(RADIANS(Latitude+DecAng))</f>
        <v>70.43963254593173</v>
      </c>
      <c r="Y2112" s="246">
        <f ca="1">+$V2112*NSGradeFt+PedHeight+PanArrayLenFt*SIN(RADIANS(Latitude+DecAng))</f>
        <v>7.401410761154855</v>
      </c>
      <c r="Z2112" s="214">
        <f ca="1">+$W2112</f>
        <v>30.000006832286932</v>
      </c>
      <c r="AA2112" s="214">
        <f ca="1">+$Y2112</f>
        <v>7.401410761154855</v>
      </c>
      <c r="AB2112" s="214">
        <f ca="1">+$X2112</f>
        <v>70.43963254593173</v>
      </c>
      <c r="AC2112" s="214">
        <f ca="1">+$W2112-XOffset</f>
        <v>30.000006832286932</v>
      </c>
    </row>
    <row r="2113" spans="19:29" ht="8.4" customHeight="1">
      <c r="S2113" s="307"/>
      <c r="T2113" s="226">
        <f t="shared" si="112"/>
        <v>2110</v>
      </c>
      <c r="U2113" s="224">
        <f t="shared" si="110"/>
        <v>1</v>
      </c>
      <c r="V2113" s="225">
        <f t="shared" si="111"/>
        <v>3</v>
      </c>
      <c r="W2113" s="239">
        <f ca="1">$U2113*EWSpacingFt+XOffset+(PanArrayWidthHighEndFt-PanArrayWidthLowEndFt)/2</f>
        <v>30.000006832286932</v>
      </c>
      <c r="X2113" s="243">
        <f ca="1">$V2113*NSSpacingFt+YOffset+0</f>
        <v>53.999999999999972</v>
      </c>
      <c r="Y2113" s="247">
        <f ca="1">+$V2113*NSGradeFt+PedHeight+0</f>
        <v>7.401410761154855</v>
      </c>
      <c r="Z2113" s="214">
        <f ca="1">+$W2113</f>
        <v>30.000006832286932</v>
      </c>
      <c r="AA2113" s="214">
        <f ca="1">+$Y2113</f>
        <v>7.401410761154855</v>
      </c>
      <c r="AB2113" s="214">
        <f ca="1">+$X2113</f>
        <v>53.999999999999972</v>
      </c>
      <c r="AC2113" s="214">
        <f ca="1">+$W2113-XOffset</f>
        <v>30.000006832286932</v>
      </c>
    </row>
    <row r="2114" spans="19:29" ht="8.4" customHeight="1">
      <c r="S2114" s="307"/>
      <c r="T2114" s="226">
        <f t="shared" si="112"/>
        <v>2111</v>
      </c>
      <c r="U2114" s="224">
        <f t="shared" si="110"/>
        <v>1</v>
      </c>
      <c r="V2114" s="225">
        <f t="shared" si="111"/>
        <v>3</v>
      </c>
      <c r="W2114" s="217"/>
      <c r="X2114" s="217"/>
      <c r="Y2114" s="217"/>
      <c r="Z2114" s="214"/>
      <c r="AA2114" s="214"/>
      <c r="AB2114" s="214"/>
      <c r="AC2114" s="214"/>
    </row>
    <row r="2115" spans="19:29" ht="8.4" customHeight="1">
      <c r="S2115" s="307">
        <f>INT((T2115-0)/6)+1</f>
        <v>353</v>
      </c>
      <c r="T2115" s="226">
        <f t="shared" si="112"/>
        <v>2112</v>
      </c>
      <c r="U2115" s="224">
        <f t="shared" ref="U2115:U2162" si="113">+MOD(INT(T2115/6),ColumnsOfMounts)</f>
        <v>0</v>
      </c>
      <c r="V2115" s="225">
        <f t="shared" ref="V2115:V2162" si="114">+MOD(INT(T2115/6/ColumnsOfMounts),RowsOfMounts)</f>
        <v>0</v>
      </c>
      <c r="W2115" s="233">
        <f ca="1">$U2115*EWSpacingFt+XOffset+(PanArrayWidthHighEndFt-PanArrayWidthLowEndFt)/2</f>
        <v>0</v>
      </c>
      <c r="X2115" s="234">
        <f ca="1">$V2115*NSSpacingFt+YOffset+0</f>
        <v>0</v>
      </c>
      <c r="Y2115" s="235">
        <f ca="1">+$V2115*NSGradeFt+PedHeight+0</f>
        <v>7.401410761154855</v>
      </c>
      <c r="Z2115" s="214">
        <f ca="1">+$W2115</f>
        <v>0</v>
      </c>
      <c r="AA2115" s="214">
        <f ca="1">+$Y2115</f>
        <v>7.401410761154855</v>
      </c>
      <c r="AB2115" s="214">
        <f ca="1">+$X2115</f>
        <v>0</v>
      </c>
      <c r="AC2115" s="214">
        <f ca="1">+$W2115-XOffset</f>
        <v>0</v>
      </c>
    </row>
    <row r="2116" spans="19:29" ht="8.4" customHeight="1">
      <c r="S2116" s="307"/>
      <c r="T2116" s="226">
        <f t="shared" si="112"/>
        <v>2113</v>
      </c>
      <c r="U2116" s="224">
        <f t="shared" si="113"/>
        <v>0</v>
      </c>
      <c r="V2116" s="225">
        <f t="shared" si="114"/>
        <v>0</v>
      </c>
      <c r="W2116" s="236">
        <f ca="1">+$U2116*EWSpacingFt+XOffset+PanArrayWidthHighEndFt-(PanArrayWidthHighEndFt-PanArrayWidthLowEndFt)/2</f>
        <v>10.80282152230971</v>
      </c>
      <c r="X2116" s="240">
        <f ca="1">$V2116*NSSpacingFt+YOffset+0</f>
        <v>0</v>
      </c>
      <c r="Y2116" s="244">
        <f ca="1">+$V2116*NSGradeFt+PedHeight+0</f>
        <v>7.401410761154855</v>
      </c>
      <c r="Z2116" s="214">
        <f ca="1">+$W2116</f>
        <v>10.80282152230971</v>
      </c>
      <c r="AA2116" s="214">
        <f ca="1">+$Y2116</f>
        <v>7.401410761154855</v>
      </c>
      <c r="AB2116" s="214">
        <f ca="1">+$X2116</f>
        <v>0</v>
      </c>
      <c r="AC2116" s="214">
        <f ca="1">+$W2116-XOffset</f>
        <v>10.80282152230971</v>
      </c>
    </row>
    <row r="2117" spans="19:29" ht="8.4" customHeight="1">
      <c r="S2117" s="307"/>
      <c r="T2117" s="226">
        <f t="shared" si="112"/>
        <v>2114</v>
      </c>
      <c r="U2117" s="224">
        <f t="shared" si="113"/>
        <v>0</v>
      </c>
      <c r="V2117" s="225">
        <f t="shared" si="114"/>
        <v>0</v>
      </c>
      <c r="W2117" s="237">
        <f ca="1">$U2117*EWSpacingFt+XOffset+PanArrayWidthHighEndFt</f>
        <v>10.80282152230971</v>
      </c>
      <c r="X2117" s="241">
        <f ca="1">$V2117*NSSpacingFt+YOffset+PanArrayLenFt*COS(RADIANS(Latitude+DecAng))</f>
        <v>16.439632545931762</v>
      </c>
      <c r="Y2117" s="245">
        <f ca="1">+$V2117*NSGradeFt+PedHeight+PanArrayLenFt*SIN(RADIANS(Latitude+DecAng))</f>
        <v>7.401410761154855</v>
      </c>
      <c r="Z2117" s="214">
        <f ca="1">+$W2117</f>
        <v>10.80282152230971</v>
      </c>
      <c r="AA2117" s="214">
        <f ca="1">+$Y2117</f>
        <v>7.401410761154855</v>
      </c>
      <c r="AB2117" s="214">
        <f ca="1">+$X2117</f>
        <v>16.439632545931762</v>
      </c>
      <c r="AC2117" s="214">
        <f ca="1">+$W2117-XOffset</f>
        <v>10.80282152230971</v>
      </c>
    </row>
    <row r="2118" spans="19:29" ht="8.4" customHeight="1">
      <c r="S2118" s="307"/>
      <c r="T2118" s="226">
        <f t="shared" si="112"/>
        <v>2115</v>
      </c>
      <c r="U2118" s="224">
        <f t="shared" si="113"/>
        <v>0</v>
      </c>
      <c r="V2118" s="225">
        <f t="shared" si="114"/>
        <v>0</v>
      </c>
      <c r="W2118" s="238">
        <f ca="1">$U2118*EWSpacingFt+XOffset+0</f>
        <v>0</v>
      </c>
      <c r="X2118" s="242">
        <f ca="1">$V2118*NSSpacingFt+YOffset+PanArrayLenFt*COS(RADIANS(Latitude+DecAng))</f>
        <v>16.439632545931762</v>
      </c>
      <c r="Y2118" s="246">
        <f ca="1">+$V2118*NSGradeFt+PedHeight+PanArrayLenFt*SIN(RADIANS(Latitude+DecAng))</f>
        <v>7.401410761154855</v>
      </c>
      <c r="Z2118" s="214">
        <f ca="1">+$W2118</f>
        <v>0</v>
      </c>
      <c r="AA2118" s="214">
        <f ca="1">+$Y2118</f>
        <v>7.401410761154855</v>
      </c>
      <c r="AB2118" s="214">
        <f ca="1">+$X2118</f>
        <v>16.439632545931762</v>
      </c>
      <c r="AC2118" s="214">
        <f ca="1">+$W2118-XOffset</f>
        <v>0</v>
      </c>
    </row>
    <row r="2119" spans="19:29" ht="8.4" customHeight="1">
      <c r="S2119" s="307"/>
      <c r="T2119" s="226">
        <f t="shared" si="112"/>
        <v>2116</v>
      </c>
      <c r="U2119" s="224">
        <f t="shared" si="113"/>
        <v>0</v>
      </c>
      <c r="V2119" s="225">
        <f t="shared" si="114"/>
        <v>0</v>
      </c>
      <c r="W2119" s="239">
        <f ca="1">$U2119*EWSpacingFt+XOffset+(PanArrayWidthHighEndFt-PanArrayWidthLowEndFt)/2</f>
        <v>0</v>
      </c>
      <c r="X2119" s="243">
        <f ca="1">$V2119*NSSpacingFt+YOffset+0</f>
        <v>0</v>
      </c>
      <c r="Y2119" s="247">
        <f ca="1">+$V2119*NSGradeFt+PedHeight+0</f>
        <v>7.401410761154855</v>
      </c>
      <c r="Z2119" s="214">
        <f ca="1">+$W2119</f>
        <v>0</v>
      </c>
      <c r="AA2119" s="214">
        <f ca="1">+$Y2119</f>
        <v>7.401410761154855</v>
      </c>
      <c r="AB2119" s="214">
        <f ca="1">+$X2119</f>
        <v>0</v>
      </c>
      <c r="AC2119" s="214">
        <f ca="1">+$W2119-XOffset</f>
        <v>0</v>
      </c>
    </row>
    <row r="2120" spans="19:29" ht="8.4" customHeight="1">
      <c r="S2120" s="307"/>
      <c r="T2120" s="226">
        <f t="shared" si="112"/>
        <v>2117</v>
      </c>
      <c r="U2120" s="224">
        <f t="shared" si="113"/>
        <v>0</v>
      </c>
      <c r="V2120" s="225">
        <f t="shared" si="114"/>
        <v>0</v>
      </c>
      <c r="W2120" s="217"/>
      <c r="X2120" s="217"/>
      <c r="Y2120" s="217"/>
      <c r="Z2120" s="214"/>
      <c r="AA2120" s="214"/>
      <c r="AB2120" s="214"/>
      <c r="AC2120" s="214"/>
    </row>
    <row r="2121" spans="19:29" ht="8.4" customHeight="1">
      <c r="S2121" s="307">
        <f>INT((T2121-0)/6)+1</f>
        <v>354</v>
      </c>
      <c r="T2121" s="226">
        <f t="shared" si="112"/>
        <v>2118</v>
      </c>
      <c r="U2121" s="224">
        <f t="shared" si="113"/>
        <v>1</v>
      </c>
      <c r="V2121" s="225">
        <f t="shared" si="114"/>
        <v>0</v>
      </c>
      <c r="W2121" s="233">
        <f ca="1">$U2121*EWSpacingFt+XOffset+(PanArrayWidthHighEndFt-PanArrayWidthLowEndFt)/2</f>
        <v>30.000006832286932</v>
      </c>
      <c r="X2121" s="234">
        <f ca="1">$V2121*NSSpacingFt+YOffset+0</f>
        <v>0</v>
      </c>
      <c r="Y2121" s="235">
        <f ca="1">+$V2121*NSGradeFt+PedHeight+0</f>
        <v>7.401410761154855</v>
      </c>
      <c r="Z2121" s="214">
        <f ca="1">+$W2121</f>
        <v>30.000006832286932</v>
      </c>
      <c r="AA2121" s="214">
        <f ca="1">+$Y2121</f>
        <v>7.401410761154855</v>
      </c>
      <c r="AB2121" s="214">
        <f ca="1">+$X2121</f>
        <v>0</v>
      </c>
      <c r="AC2121" s="214">
        <f ca="1">+$W2121-XOffset</f>
        <v>30.000006832286932</v>
      </c>
    </row>
    <row r="2122" spans="19:29" ht="8.4" customHeight="1">
      <c r="S2122" s="307"/>
      <c r="T2122" s="226">
        <f t="shared" si="112"/>
        <v>2119</v>
      </c>
      <c r="U2122" s="224">
        <f t="shared" si="113"/>
        <v>1</v>
      </c>
      <c r="V2122" s="225">
        <f t="shared" si="114"/>
        <v>0</v>
      </c>
      <c r="W2122" s="236">
        <f ca="1">+$U2122*EWSpacingFt+XOffset+PanArrayWidthHighEndFt-(PanArrayWidthHighEndFt-PanArrayWidthLowEndFt)/2</f>
        <v>40.802828354596642</v>
      </c>
      <c r="X2122" s="240">
        <f ca="1">$V2122*NSSpacingFt+YOffset+0</f>
        <v>0</v>
      </c>
      <c r="Y2122" s="244">
        <f ca="1">+$V2122*NSGradeFt+PedHeight+0</f>
        <v>7.401410761154855</v>
      </c>
      <c r="Z2122" s="214">
        <f ca="1">+$W2122</f>
        <v>40.802828354596642</v>
      </c>
      <c r="AA2122" s="214">
        <f ca="1">+$Y2122</f>
        <v>7.401410761154855</v>
      </c>
      <c r="AB2122" s="214">
        <f ca="1">+$X2122</f>
        <v>0</v>
      </c>
      <c r="AC2122" s="214">
        <f ca="1">+$W2122-XOffset</f>
        <v>40.802828354596642</v>
      </c>
    </row>
    <row r="2123" spans="19:29" ht="8.4" customHeight="1">
      <c r="S2123" s="307"/>
      <c r="T2123" s="226">
        <f t="shared" si="112"/>
        <v>2120</v>
      </c>
      <c r="U2123" s="224">
        <f t="shared" si="113"/>
        <v>1</v>
      </c>
      <c r="V2123" s="225">
        <f t="shared" si="114"/>
        <v>0</v>
      </c>
      <c r="W2123" s="237">
        <f ca="1">$U2123*EWSpacingFt+XOffset+PanArrayWidthHighEndFt</f>
        <v>40.802828354596642</v>
      </c>
      <c r="X2123" s="241">
        <f ca="1">$V2123*NSSpacingFt+YOffset+PanArrayLenFt*COS(RADIANS(Latitude+DecAng))</f>
        <v>16.439632545931762</v>
      </c>
      <c r="Y2123" s="245">
        <f ca="1">+$V2123*NSGradeFt+PedHeight+PanArrayLenFt*SIN(RADIANS(Latitude+DecAng))</f>
        <v>7.401410761154855</v>
      </c>
      <c r="Z2123" s="214">
        <f ca="1">+$W2123</f>
        <v>40.802828354596642</v>
      </c>
      <c r="AA2123" s="214">
        <f ca="1">+$Y2123</f>
        <v>7.401410761154855</v>
      </c>
      <c r="AB2123" s="214">
        <f ca="1">+$X2123</f>
        <v>16.439632545931762</v>
      </c>
      <c r="AC2123" s="214">
        <f ca="1">+$W2123-XOffset</f>
        <v>40.802828354596642</v>
      </c>
    </row>
    <row r="2124" spans="19:29" ht="8.4" customHeight="1">
      <c r="S2124" s="307"/>
      <c r="T2124" s="226">
        <f t="shared" si="112"/>
        <v>2121</v>
      </c>
      <c r="U2124" s="224">
        <f t="shared" si="113"/>
        <v>1</v>
      </c>
      <c r="V2124" s="225">
        <f t="shared" si="114"/>
        <v>0</v>
      </c>
      <c r="W2124" s="238">
        <f ca="1">$U2124*EWSpacingFt+XOffset+0</f>
        <v>30.000006832286932</v>
      </c>
      <c r="X2124" s="242">
        <f ca="1">$V2124*NSSpacingFt+YOffset+PanArrayLenFt*COS(RADIANS(Latitude+DecAng))</f>
        <v>16.439632545931762</v>
      </c>
      <c r="Y2124" s="246">
        <f ca="1">+$V2124*NSGradeFt+PedHeight+PanArrayLenFt*SIN(RADIANS(Latitude+DecAng))</f>
        <v>7.401410761154855</v>
      </c>
      <c r="Z2124" s="214">
        <f ca="1">+$W2124</f>
        <v>30.000006832286932</v>
      </c>
      <c r="AA2124" s="214">
        <f ca="1">+$Y2124</f>
        <v>7.401410761154855</v>
      </c>
      <c r="AB2124" s="214">
        <f ca="1">+$X2124</f>
        <v>16.439632545931762</v>
      </c>
      <c r="AC2124" s="214">
        <f ca="1">+$W2124-XOffset</f>
        <v>30.000006832286932</v>
      </c>
    </row>
    <row r="2125" spans="19:29" ht="8.4" customHeight="1">
      <c r="S2125" s="307"/>
      <c r="T2125" s="226">
        <f t="shared" si="112"/>
        <v>2122</v>
      </c>
      <c r="U2125" s="224">
        <f t="shared" si="113"/>
        <v>1</v>
      </c>
      <c r="V2125" s="225">
        <f t="shared" si="114"/>
        <v>0</v>
      </c>
      <c r="W2125" s="239">
        <f ca="1">$U2125*EWSpacingFt+XOffset+(PanArrayWidthHighEndFt-PanArrayWidthLowEndFt)/2</f>
        <v>30.000006832286932</v>
      </c>
      <c r="X2125" s="243">
        <f ca="1">$V2125*NSSpacingFt+YOffset+0</f>
        <v>0</v>
      </c>
      <c r="Y2125" s="247">
        <f ca="1">+$V2125*NSGradeFt+PedHeight+0</f>
        <v>7.401410761154855</v>
      </c>
      <c r="Z2125" s="214">
        <f ca="1">+$W2125</f>
        <v>30.000006832286932</v>
      </c>
      <c r="AA2125" s="214">
        <f ca="1">+$Y2125</f>
        <v>7.401410761154855</v>
      </c>
      <c r="AB2125" s="214">
        <f ca="1">+$X2125</f>
        <v>0</v>
      </c>
      <c r="AC2125" s="214">
        <f ca="1">+$W2125-XOffset</f>
        <v>30.000006832286932</v>
      </c>
    </row>
    <row r="2126" spans="19:29" ht="8.4" customHeight="1">
      <c r="S2126" s="307"/>
      <c r="T2126" s="226">
        <f t="shared" si="112"/>
        <v>2123</v>
      </c>
      <c r="U2126" s="224">
        <f t="shared" si="113"/>
        <v>1</v>
      </c>
      <c r="V2126" s="225">
        <f t="shared" si="114"/>
        <v>0</v>
      </c>
      <c r="W2126" s="217"/>
      <c r="X2126" s="217"/>
      <c r="Y2126" s="217"/>
      <c r="Z2126" s="214"/>
      <c r="AA2126" s="214"/>
      <c r="AB2126" s="214"/>
      <c r="AC2126" s="214"/>
    </row>
    <row r="2127" spans="19:29" ht="8.4" customHeight="1">
      <c r="S2127" s="307">
        <f>INT((T2127-0)/6)+1</f>
        <v>355</v>
      </c>
      <c r="T2127" s="226">
        <f t="shared" si="112"/>
        <v>2124</v>
      </c>
      <c r="U2127" s="224">
        <f t="shared" si="113"/>
        <v>0</v>
      </c>
      <c r="V2127" s="225">
        <f t="shared" si="114"/>
        <v>1</v>
      </c>
      <c r="W2127" s="233">
        <f ca="1">$U2127*EWSpacingFt+XOffset+(PanArrayWidthHighEndFt-PanArrayWidthLowEndFt)/2</f>
        <v>0</v>
      </c>
      <c r="X2127" s="234">
        <f ca="1">$V2127*NSSpacingFt+YOffset+0</f>
        <v>17.999999999999989</v>
      </c>
      <c r="Y2127" s="235">
        <f ca="1">+$V2127*NSGradeFt+PedHeight+0</f>
        <v>7.401410761154855</v>
      </c>
      <c r="Z2127" s="214">
        <f ca="1">+$W2127</f>
        <v>0</v>
      </c>
      <c r="AA2127" s="214">
        <f ca="1">+$Y2127</f>
        <v>7.401410761154855</v>
      </c>
      <c r="AB2127" s="214">
        <f ca="1">+$X2127</f>
        <v>17.999999999999989</v>
      </c>
      <c r="AC2127" s="214">
        <f ca="1">+$W2127-XOffset</f>
        <v>0</v>
      </c>
    </row>
    <row r="2128" spans="19:29" ht="8.4" customHeight="1">
      <c r="S2128" s="307"/>
      <c r="T2128" s="226">
        <f t="shared" si="112"/>
        <v>2125</v>
      </c>
      <c r="U2128" s="224">
        <f t="shared" si="113"/>
        <v>0</v>
      </c>
      <c r="V2128" s="225">
        <f t="shared" si="114"/>
        <v>1</v>
      </c>
      <c r="W2128" s="236">
        <f ca="1">+$U2128*EWSpacingFt+XOffset+PanArrayWidthHighEndFt-(PanArrayWidthHighEndFt-PanArrayWidthLowEndFt)/2</f>
        <v>10.80282152230971</v>
      </c>
      <c r="X2128" s="240">
        <f ca="1">$V2128*NSSpacingFt+YOffset+0</f>
        <v>17.999999999999989</v>
      </c>
      <c r="Y2128" s="244">
        <f ca="1">+$V2128*NSGradeFt+PedHeight+0</f>
        <v>7.401410761154855</v>
      </c>
      <c r="Z2128" s="214">
        <f ca="1">+$W2128</f>
        <v>10.80282152230971</v>
      </c>
      <c r="AA2128" s="214">
        <f ca="1">+$Y2128</f>
        <v>7.401410761154855</v>
      </c>
      <c r="AB2128" s="214">
        <f ca="1">+$X2128</f>
        <v>17.999999999999989</v>
      </c>
      <c r="AC2128" s="214">
        <f ca="1">+$W2128-XOffset</f>
        <v>10.80282152230971</v>
      </c>
    </row>
    <row r="2129" spans="19:29" ht="8.4" customHeight="1">
      <c r="S2129" s="307"/>
      <c r="T2129" s="226">
        <f t="shared" si="112"/>
        <v>2126</v>
      </c>
      <c r="U2129" s="224">
        <f t="shared" si="113"/>
        <v>0</v>
      </c>
      <c r="V2129" s="225">
        <f t="shared" si="114"/>
        <v>1</v>
      </c>
      <c r="W2129" s="237">
        <f ca="1">$U2129*EWSpacingFt+XOffset+PanArrayWidthHighEndFt</f>
        <v>10.80282152230971</v>
      </c>
      <c r="X2129" s="241">
        <f ca="1">$V2129*NSSpacingFt+YOffset+PanArrayLenFt*COS(RADIANS(Latitude+DecAng))</f>
        <v>34.439632545931751</v>
      </c>
      <c r="Y2129" s="245">
        <f ca="1">+$V2129*NSGradeFt+PedHeight+PanArrayLenFt*SIN(RADIANS(Latitude+DecAng))</f>
        <v>7.401410761154855</v>
      </c>
      <c r="Z2129" s="214">
        <f ca="1">+$W2129</f>
        <v>10.80282152230971</v>
      </c>
      <c r="AA2129" s="214">
        <f ca="1">+$Y2129</f>
        <v>7.401410761154855</v>
      </c>
      <c r="AB2129" s="214">
        <f ca="1">+$X2129</f>
        <v>34.439632545931751</v>
      </c>
      <c r="AC2129" s="214">
        <f ca="1">+$W2129-XOffset</f>
        <v>10.80282152230971</v>
      </c>
    </row>
    <row r="2130" spans="19:29" ht="8.4" customHeight="1">
      <c r="S2130" s="307"/>
      <c r="T2130" s="226">
        <f t="shared" si="112"/>
        <v>2127</v>
      </c>
      <c r="U2130" s="224">
        <f t="shared" si="113"/>
        <v>0</v>
      </c>
      <c r="V2130" s="225">
        <f t="shared" si="114"/>
        <v>1</v>
      </c>
      <c r="W2130" s="238">
        <f ca="1">$U2130*EWSpacingFt+XOffset+0</f>
        <v>0</v>
      </c>
      <c r="X2130" s="242">
        <f ca="1">$V2130*NSSpacingFt+YOffset+PanArrayLenFt*COS(RADIANS(Latitude+DecAng))</f>
        <v>34.439632545931751</v>
      </c>
      <c r="Y2130" s="246">
        <f ca="1">+$V2130*NSGradeFt+PedHeight+PanArrayLenFt*SIN(RADIANS(Latitude+DecAng))</f>
        <v>7.401410761154855</v>
      </c>
      <c r="Z2130" s="214">
        <f ca="1">+$W2130</f>
        <v>0</v>
      </c>
      <c r="AA2130" s="214">
        <f ca="1">+$Y2130</f>
        <v>7.401410761154855</v>
      </c>
      <c r="AB2130" s="214">
        <f ca="1">+$X2130</f>
        <v>34.439632545931751</v>
      </c>
      <c r="AC2130" s="214">
        <f ca="1">+$W2130-XOffset</f>
        <v>0</v>
      </c>
    </row>
    <row r="2131" spans="19:29" ht="8.4" customHeight="1">
      <c r="S2131" s="307"/>
      <c r="T2131" s="226">
        <f t="shared" si="112"/>
        <v>2128</v>
      </c>
      <c r="U2131" s="224">
        <f t="shared" si="113"/>
        <v>0</v>
      </c>
      <c r="V2131" s="225">
        <f t="shared" si="114"/>
        <v>1</v>
      </c>
      <c r="W2131" s="239">
        <f ca="1">$U2131*EWSpacingFt+XOffset+(PanArrayWidthHighEndFt-PanArrayWidthLowEndFt)/2</f>
        <v>0</v>
      </c>
      <c r="X2131" s="243">
        <f ca="1">$V2131*NSSpacingFt+YOffset+0</f>
        <v>17.999999999999989</v>
      </c>
      <c r="Y2131" s="247">
        <f ca="1">+$V2131*NSGradeFt+PedHeight+0</f>
        <v>7.401410761154855</v>
      </c>
      <c r="Z2131" s="214">
        <f ca="1">+$W2131</f>
        <v>0</v>
      </c>
      <c r="AA2131" s="214">
        <f ca="1">+$Y2131</f>
        <v>7.401410761154855</v>
      </c>
      <c r="AB2131" s="214">
        <f ca="1">+$X2131</f>
        <v>17.999999999999989</v>
      </c>
      <c r="AC2131" s="214">
        <f ca="1">+$W2131-XOffset</f>
        <v>0</v>
      </c>
    </row>
    <row r="2132" spans="19:29" ht="8.4" customHeight="1">
      <c r="S2132" s="307"/>
      <c r="T2132" s="226">
        <f t="shared" si="112"/>
        <v>2129</v>
      </c>
      <c r="U2132" s="224">
        <f t="shared" si="113"/>
        <v>0</v>
      </c>
      <c r="V2132" s="225">
        <f t="shared" si="114"/>
        <v>1</v>
      </c>
      <c r="W2132" s="217"/>
      <c r="X2132" s="217"/>
      <c r="Y2132" s="217"/>
      <c r="Z2132" s="214"/>
      <c r="AA2132" s="214"/>
      <c r="AB2132" s="214"/>
      <c r="AC2132" s="214"/>
    </row>
    <row r="2133" spans="19:29" ht="8.4" customHeight="1">
      <c r="S2133" s="307">
        <f>INT((T2133-0)/6)+1</f>
        <v>356</v>
      </c>
      <c r="T2133" s="226">
        <f t="shared" si="112"/>
        <v>2130</v>
      </c>
      <c r="U2133" s="224">
        <f t="shared" si="113"/>
        <v>1</v>
      </c>
      <c r="V2133" s="225">
        <f t="shared" si="114"/>
        <v>1</v>
      </c>
      <c r="W2133" s="233">
        <f ca="1">$U2133*EWSpacingFt+XOffset+(PanArrayWidthHighEndFt-PanArrayWidthLowEndFt)/2</f>
        <v>30.000006832286932</v>
      </c>
      <c r="X2133" s="234">
        <f ca="1">$V2133*NSSpacingFt+YOffset+0</f>
        <v>17.999999999999989</v>
      </c>
      <c r="Y2133" s="235">
        <f ca="1">+$V2133*NSGradeFt+PedHeight+0</f>
        <v>7.401410761154855</v>
      </c>
      <c r="Z2133" s="214">
        <f ca="1">+$W2133</f>
        <v>30.000006832286932</v>
      </c>
      <c r="AA2133" s="214">
        <f ca="1">+$Y2133</f>
        <v>7.401410761154855</v>
      </c>
      <c r="AB2133" s="214">
        <f ca="1">+$X2133</f>
        <v>17.999999999999989</v>
      </c>
      <c r="AC2133" s="214">
        <f ca="1">+$W2133-XOffset</f>
        <v>30.000006832286932</v>
      </c>
    </row>
    <row r="2134" spans="19:29" ht="8.4" customHeight="1">
      <c r="S2134" s="307"/>
      <c r="T2134" s="226">
        <f t="shared" si="112"/>
        <v>2131</v>
      </c>
      <c r="U2134" s="224">
        <f t="shared" si="113"/>
        <v>1</v>
      </c>
      <c r="V2134" s="225">
        <f t="shared" si="114"/>
        <v>1</v>
      </c>
      <c r="W2134" s="236">
        <f ca="1">+$U2134*EWSpacingFt+XOffset+PanArrayWidthHighEndFt-(PanArrayWidthHighEndFt-PanArrayWidthLowEndFt)/2</f>
        <v>40.802828354596642</v>
      </c>
      <c r="X2134" s="240">
        <f ca="1">$V2134*NSSpacingFt+YOffset+0</f>
        <v>17.999999999999989</v>
      </c>
      <c r="Y2134" s="244">
        <f ca="1">+$V2134*NSGradeFt+PedHeight+0</f>
        <v>7.401410761154855</v>
      </c>
      <c r="Z2134" s="214">
        <f ca="1">+$W2134</f>
        <v>40.802828354596642</v>
      </c>
      <c r="AA2134" s="214">
        <f ca="1">+$Y2134</f>
        <v>7.401410761154855</v>
      </c>
      <c r="AB2134" s="214">
        <f ca="1">+$X2134</f>
        <v>17.999999999999989</v>
      </c>
      <c r="AC2134" s="214">
        <f ca="1">+$W2134-XOffset</f>
        <v>40.802828354596642</v>
      </c>
    </row>
    <row r="2135" spans="19:29" ht="8.4" customHeight="1">
      <c r="S2135" s="307"/>
      <c r="T2135" s="226">
        <f t="shared" si="112"/>
        <v>2132</v>
      </c>
      <c r="U2135" s="224">
        <f t="shared" si="113"/>
        <v>1</v>
      </c>
      <c r="V2135" s="225">
        <f t="shared" si="114"/>
        <v>1</v>
      </c>
      <c r="W2135" s="237">
        <f ca="1">$U2135*EWSpacingFt+XOffset+PanArrayWidthHighEndFt</f>
        <v>40.802828354596642</v>
      </c>
      <c r="X2135" s="241">
        <f ca="1">$V2135*NSSpacingFt+YOffset+PanArrayLenFt*COS(RADIANS(Latitude+DecAng))</f>
        <v>34.439632545931751</v>
      </c>
      <c r="Y2135" s="245">
        <f ca="1">+$V2135*NSGradeFt+PedHeight+PanArrayLenFt*SIN(RADIANS(Latitude+DecAng))</f>
        <v>7.401410761154855</v>
      </c>
      <c r="Z2135" s="214">
        <f ca="1">+$W2135</f>
        <v>40.802828354596642</v>
      </c>
      <c r="AA2135" s="214">
        <f ca="1">+$Y2135</f>
        <v>7.401410761154855</v>
      </c>
      <c r="AB2135" s="214">
        <f ca="1">+$X2135</f>
        <v>34.439632545931751</v>
      </c>
      <c r="AC2135" s="214">
        <f ca="1">+$W2135-XOffset</f>
        <v>40.802828354596642</v>
      </c>
    </row>
    <row r="2136" spans="19:29" ht="8.4" customHeight="1">
      <c r="S2136" s="307"/>
      <c r="T2136" s="226">
        <f t="shared" si="112"/>
        <v>2133</v>
      </c>
      <c r="U2136" s="224">
        <f t="shared" si="113"/>
        <v>1</v>
      </c>
      <c r="V2136" s="225">
        <f t="shared" si="114"/>
        <v>1</v>
      </c>
      <c r="W2136" s="238">
        <f ca="1">$U2136*EWSpacingFt+XOffset+0</f>
        <v>30.000006832286932</v>
      </c>
      <c r="X2136" s="242">
        <f ca="1">$V2136*NSSpacingFt+YOffset+PanArrayLenFt*COS(RADIANS(Latitude+DecAng))</f>
        <v>34.439632545931751</v>
      </c>
      <c r="Y2136" s="246">
        <f ca="1">+$V2136*NSGradeFt+PedHeight+PanArrayLenFt*SIN(RADIANS(Latitude+DecAng))</f>
        <v>7.401410761154855</v>
      </c>
      <c r="Z2136" s="214">
        <f ca="1">+$W2136</f>
        <v>30.000006832286932</v>
      </c>
      <c r="AA2136" s="214">
        <f ca="1">+$Y2136</f>
        <v>7.401410761154855</v>
      </c>
      <c r="AB2136" s="214">
        <f ca="1">+$X2136</f>
        <v>34.439632545931751</v>
      </c>
      <c r="AC2136" s="214">
        <f ca="1">+$W2136-XOffset</f>
        <v>30.000006832286932</v>
      </c>
    </row>
    <row r="2137" spans="19:29" ht="8.4" customHeight="1">
      <c r="S2137" s="307"/>
      <c r="T2137" s="226">
        <f t="shared" si="112"/>
        <v>2134</v>
      </c>
      <c r="U2137" s="224">
        <f t="shared" si="113"/>
        <v>1</v>
      </c>
      <c r="V2137" s="225">
        <f t="shared" si="114"/>
        <v>1</v>
      </c>
      <c r="W2137" s="239">
        <f ca="1">$U2137*EWSpacingFt+XOffset+(PanArrayWidthHighEndFt-PanArrayWidthLowEndFt)/2</f>
        <v>30.000006832286932</v>
      </c>
      <c r="X2137" s="243">
        <f ca="1">$V2137*NSSpacingFt+YOffset+0</f>
        <v>17.999999999999989</v>
      </c>
      <c r="Y2137" s="247">
        <f ca="1">+$V2137*NSGradeFt+PedHeight+0</f>
        <v>7.401410761154855</v>
      </c>
      <c r="Z2137" s="214">
        <f ca="1">+$W2137</f>
        <v>30.000006832286932</v>
      </c>
      <c r="AA2137" s="214">
        <f ca="1">+$Y2137</f>
        <v>7.401410761154855</v>
      </c>
      <c r="AB2137" s="214">
        <f ca="1">+$X2137</f>
        <v>17.999999999999989</v>
      </c>
      <c r="AC2137" s="214">
        <f ca="1">+$W2137-XOffset</f>
        <v>30.000006832286932</v>
      </c>
    </row>
    <row r="2138" spans="19:29" ht="8.4" customHeight="1">
      <c r="S2138" s="307"/>
      <c r="T2138" s="226">
        <f t="shared" si="112"/>
        <v>2135</v>
      </c>
      <c r="U2138" s="224">
        <f t="shared" si="113"/>
        <v>1</v>
      </c>
      <c r="V2138" s="225">
        <f t="shared" si="114"/>
        <v>1</v>
      </c>
      <c r="W2138" s="217"/>
      <c r="X2138" s="217"/>
      <c r="Y2138" s="217"/>
      <c r="Z2138" s="214"/>
      <c r="AA2138" s="214"/>
      <c r="AB2138" s="214"/>
      <c r="AC2138" s="214"/>
    </row>
    <row r="2139" spans="19:29" ht="8.4" customHeight="1">
      <c r="S2139" s="307">
        <f>INT((T2139-0)/6)+1</f>
        <v>357</v>
      </c>
      <c r="T2139" s="226">
        <f t="shared" si="112"/>
        <v>2136</v>
      </c>
      <c r="U2139" s="224">
        <f t="shared" si="113"/>
        <v>0</v>
      </c>
      <c r="V2139" s="225">
        <f t="shared" si="114"/>
        <v>2</v>
      </c>
      <c r="W2139" s="233">
        <f ca="1">$U2139*EWSpacingFt+XOffset+(PanArrayWidthHighEndFt-PanArrayWidthLowEndFt)/2</f>
        <v>0</v>
      </c>
      <c r="X2139" s="234">
        <f ca="1">$V2139*NSSpacingFt+YOffset+0</f>
        <v>35.999999999999979</v>
      </c>
      <c r="Y2139" s="235">
        <f ca="1">+$V2139*NSGradeFt+PedHeight+0</f>
        <v>7.401410761154855</v>
      </c>
      <c r="Z2139" s="214">
        <f ca="1">+$W2139</f>
        <v>0</v>
      </c>
      <c r="AA2139" s="214">
        <f ca="1">+$Y2139</f>
        <v>7.401410761154855</v>
      </c>
      <c r="AB2139" s="214">
        <f ca="1">+$X2139</f>
        <v>35.999999999999979</v>
      </c>
      <c r="AC2139" s="214">
        <f ca="1">+$W2139-XOffset</f>
        <v>0</v>
      </c>
    </row>
    <row r="2140" spans="19:29" ht="8.4" customHeight="1">
      <c r="S2140" s="307"/>
      <c r="T2140" s="226">
        <f t="shared" si="112"/>
        <v>2137</v>
      </c>
      <c r="U2140" s="224">
        <f t="shared" si="113"/>
        <v>0</v>
      </c>
      <c r="V2140" s="225">
        <f t="shared" si="114"/>
        <v>2</v>
      </c>
      <c r="W2140" s="236">
        <f ca="1">+$U2140*EWSpacingFt+XOffset+PanArrayWidthHighEndFt-(PanArrayWidthHighEndFt-PanArrayWidthLowEndFt)/2</f>
        <v>10.80282152230971</v>
      </c>
      <c r="X2140" s="240">
        <f ca="1">$V2140*NSSpacingFt+YOffset+0</f>
        <v>35.999999999999979</v>
      </c>
      <c r="Y2140" s="244">
        <f ca="1">+$V2140*NSGradeFt+PedHeight+0</f>
        <v>7.401410761154855</v>
      </c>
      <c r="Z2140" s="214">
        <f ca="1">+$W2140</f>
        <v>10.80282152230971</v>
      </c>
      <c r="AA2140" s="214">
        <f ca="1">+$Y2140</f>
        <v>7.401410761154855</v>
      </c>
      <c r="AB2140" s="214">
        <f ca="1">+$X2140</f>
        <v>35.999999999999979</v>
      </c>
      <c r="AC2140" s="214">
        <f ca="1">+$W2140-XOffset</f>
        <v>10.80282152230971</v>
      </c>
    </row>
    <row r="2141" spans="19:29" ht="8.4" customHeight="1">
      <c r="S2141" s="307"/>
      <c r="T2141" s="226">
        <f t="shared" si="112"/>
        <v>2138</v>
      </c>
      <c r="U2141" s="224">
        <f t="shared" si="113"/>
        <v>0</v>
      </c>
      <c r="V2141" s="225">
        <f t="shared" si="114"/>
        <v>2</v>
      </c>
      <c r="W2141" s="237">
        <f ca="1">$U2141*EWSpacingFt+XOffset+PanArrayWidthHighEndFt</f>
        <v>10.80282152230971</v>
      </c>
      <c r="X2141" s="241">
        <f ca="1">$V2141*NSSpacingFt+YOffset+PanArrayLenFt*COS(RADIANS(Latitude+DecAng))</f>
        <v>52.439632545931744</v>
      </c>
      <c r="Y2141" s="245">
        <f ca="1">+$V2141*NSGradeFt+PedHeight+PanArrayLenFt*SIN(RADIANS(Latitude+DecAng))</f>
        <v>7.401410761154855</v>
      </c>
      <c r="Z2141" s="214">
        <f ca="1">+$W2141</f>
        <v>10.80282152230971</v>
      </c>
      <c r="AA2141" s="214">
        <f ca="1">+$Y2141</f>
        <v>7.401410761154855</v>
      </c>
      <c r="AB2141" s="214">
        <f ca="1">+$X2141</f>
        <v>52.439632545931744</v>
      </c>
      <c r="AC2141" s="214">
        <f ca="1">+$W2141-XOffset</f>
        <v>10.80282152230971</v>
      </c>
    </row>
    <row r="2142" spans="19:29" ht="8.4" customHeight="1">
      <c r="S2142" s="307"/>
      <c r="T2142" s="226">
        <f t="shared" si="112"/>
        <v>2139</v>
      </c>
      <c r="U2142" s="224">
        <f t="shared" si="113"/>
        <v>0</v>
      </c>
      <c r="V2142" s="225">
        <f t="shared" si="114"/>
        <v>2</v>
      </c>
      <c r="W2142" s="238">
        <f ca="1">$U2142*EWSpacingFt+XOffset+0</f>
        <v>0</v>
      </c>
      <c r="X2142" s="242">
        <f ca="1">$V2142*NSSpacingFt+YOffset+PanArrayLenFt*COS(RADIANS(Latitude+DecAng))</f>
        <v>52.439632545931744</v>
      </c>
      <c r="Y2142" s="246">
        <f ca="1">+$V2142*NSGradeFt+PedHeight+PanArrayLenFt*SIN(RADIANS(Latitude+DecAng))</f>
        <v>7.401410761154855</v>
      </c>
      <c r="Z2142" s="214">
        <f ca="1">+$W2142</f>
        <v>0</v>
      </c>
      <c r="AA2142" s="214">
        <f ca="1">+$Y2142</f>
        <v>7.401410761154855</v>
      </c>
      <c r="AB2142" s="214">
        <f ca="1">+$X2142</f>
        <v>52.439632545931744</v>
      </c>
      <c r="AC2142" s="214">
        <f ca="1">+$W2142-XOffset</f>
        <v>0</v>
      </c>
    </row>
    <row r="2143" spans="19:29" ht="8.4" customHeight="1">
      <c r="S2143" s="307"/>
      <c r="T2143" s="226">
        <f t="shared" si="112"/>
        <v>2140</v>
      </c>
      <c r="U2143" s="224">
        <f t="shared" si="113"/>
        <v>0</v>
      </c>
      <c r="V2143" s="225">
        <f t="shared" si="114"/>
        <v>2</v>
      </c>
      <c r="W2143" s="239">
        <f ca="1">$U2143*EWSpacingFt+XOffset+(PanArrayWidthHighEndFt-PanArrayWidthLowEndFt)/2</f>
        <v>0</v>
      </c>
      <c r="X2143" s="243">
        <f ca="1">$V2143*NSSpacingFt+YOffset+0</f>
        <v>35.999999999999979</v>
      </c>
      <c r="Y2143" s="247">
        <f ca="1">+$V2143*NSGradeFt+PedHeight+0</f>
        <v>7.401410761154855</v>
      </c>
      <c r="Z2143" s="214">
        <f ca="1">+$W2143</f>
        <v>0</v>
      </c>
      <c r="AA2143" s="214">
        <f ca="1">+$Y2143</f>
        <v>7.401410761154855</v>
      </c>
      <c r="AB2143" s="214">
        <f ca="1">+$X2143</f>
        <v>35.999999999999979</v>
      </c>
      <c r="AC2143" s="214">
        <f ca="1">+$W2143-XOffset</f>
        <v>0</v>
      </c>
    </row>
    <row r="2144" spans="19:29" ht="8.4" customHeight="1">
      <c r="S2144" s="307"/>
      <c r="T2144" s="226">
        <f t="shared" si="112"/>
        <v>2141</v>
      </c>
      <c r="U2144" s="224">
        <f t="shared" si="113"/>
        <v>0</v>
      </c>
      <c r="V2144" s="225">
        <f t="shared" si="114"/>
        <v>2</v>
      </c>
      <c r="W2144" s="217"/>
      <c r="X2144" s="217"/>
      <c r="Y2144" s="217"/>
      <c r="Z2144" s="214"/>
      <c r="AA2144" s="214"/>
      <c r="AB2144" s="214"/>
      <c r="AC2144" s="214"/>
    </row>
    <row r="2145" spans="19:29" ht="8.4" customHeight="1">
      <c r="S2145" s="307">
        <f>INT((T2145-0)/6)+1</f>
        <v>358</v>
      </c>
      <c r="T2145" s="226">
        <f t="shared" si="112"/>
        <v>2142</v>
      </c>
      <c r="U2145" s="224">
        <f t="shared" si="113"/>
        <v>1</v>
      </c>
      <c r="V2145" s="225">
        <f t="shared" si="114"/>
        <v>2</v>
      </c>
      <c r="W2145" s="233">
        <f ca="1">$U2145*EWSpacingFt+XOffset+(PanArrayWidthHighEndFt-PanArrayWidthLowEndFt)/2</f>
        <v>30.000006832286932</v>
      </c>
      <c r="X2145" s="234">
        <f ca="1">$V2145*NSSpacingFt+YOffset+0</f>
        <v>35.999999999999979</v>
      </c>
      <c r="Y2145" s="235">
        <f ca="1">+$V2145*NSGradeFt+PedHeight+0</f>
        <v>7.401410761154855</v>
      </c>
      <c r="Z2145" s="214">
        <f ca="1">+$W2145</f>
        <v>30.000006832286932</v>
      </c>
      <c r="AA2145" s="214">
        <f ca="1">+$Y2145</f>
        <v>7.401410761154855</v>
      </c>
      <c r="AB2145" s="214">
        <f ca="1">+$X2145</f>
        <v>35.999999999999979</v>
      </c>
      <c r="AC2145" s="214">
        <f ca="1">+$W2145-XOffset</f>
        <v>30.000006832286932</v>
      </c>
    </row>
    <row r="2146" spans="19:29" ht="8.4" customHeight="1">
      <c r="S2146" s="307"/>
      <c r="T2146" s="226">
        <f t="shared" si="112"/>
        <v>2143</v>
      </c>
      <c r="U2146" s="224">
        <f t="shared" si="113"/>
        <v>1</v>
      </c>
      <c r="V2146" s="225">
        <f t="shared" si="114"/>
        <v>2</v>
      </c>
      <c r="W2146" s="236">
        <f ca="1">+$U2146*EWSpacingFt+XOffset+PanArrayWidthHighEndFt-(PanArrayWidthHighEndFt-PanArrayWidthLowEndFt)/2</f>
        <v>40.802828354596642</v>
      </c>
      <c r="X2146" s="240">
        <f ca="1">$V2146*NSSpacingFt+YOffset+0</f>
        <v>35.999999999999979</v>
      </c>
      <c r="Y2146" s="244">
        <f ca="1">+$V2146*NSGradeFt+PedHeight+0</f>
        <v>7.401410761154855</v>
      </c>
      <c r="Z2146" s="214">
        <f ca="1">+$W2146</f>
        <v>40.802828354596642</v>
      </c>
      <c r="AA2146" s="214">
        <f ca="1">+$Y2146</f>
        <v>7.401410761154855</v>
      </c>
      <c r="AB2146" s="214">
        <f ca="1">+$X2146</f>
        <v>35.999999999999979</v>
      </c>
      <c r="AC2146" s="214">
        <f ca="1">+$W2146-XOffset</f>
        <v>40.802828354596642</v>
      </c>
    </row>
    <row r="2147" spans="19:29" ht="8.4" customHeight="1">
      <c r="S2147" s="307"/>
      <c r="T2147" s="226">
        <f t="shared" si="112"/>
        <v>2144</v>
      </c>
      <c r="U2147" s="224">
        <f t="shared" si="113"/>
        <v>1</v>
      </c>
      <c r="V2147" s="225">
        <f t="shared" si="114"/>
        <v>2</v>
      </c>
      <c r="W2147" s="237">
        <f ca="1">$U2147*EWSpacingFt+XOffset+PanArrayWidthHighEndFt</f>
        <v>40.802828354596642</v>
      </c>
      <c r="X2147" s="241">
        <f ca="1">$V2147*NSSpacingFt+YOffset+PanArrayLenFt*COS(RADIANS(Latitude+DecAng))</f>
        <v>52.439632545931744</v>
      </c>
      <c r="Y2147" s="245">
        <f ca="1">+$V2147*NSGradeFt+PedHeight+PanArrayLenFt*SIN(RADIANS(Latitude+DecAng))</f>
        <v>7.401410761154855</v>
      </c>
      <c r="Z2147" s="214">
        <f ca="1">+$W2147</f>
        <v>40.802828354596642</v>
      </c>
      <c r="AA2147" s="214">
        <f ca="1">+$Y2147</f>
        <v>7.401410761154855</v>
      </c>
      <c r="AB2147" s="214">
        <f ca="1">+$X2147</f>
        <v>52.439632545931744</v>
      </c>
      <c r="AC2147" s="214">
        <f ca="1">+$W2147-XOffset</f>
        <v>40.802828354596642</v>
      </c>
    </row>
    <row r="2148" spans="19:29" ht="8.4" customHeight="1">
      <c r="S2148" s="307"/>
      <c r="T2148" s="226">
        <f t="shared" si="112"/>
        <v>2145</v>
      </c>
      <c r="U2148" s="224">
        <f t="shared" si="113"/>
        <v>1</v>
      </c>
      <c r="V2148" s="225">
        <f t="shared" si="114"/>
        <v>2</v>
      </c>
      <c r="W2148" s="238">
        <f ca="1">$U2148*EWSpacingFt+XOffset+0</f>
        <v>30.000006832286932</v>
      </c>
      <c r="X2148" s="242">
        <f ca="1">$V2148*NSSpacingFt+YOffset+PanArrayLenFt*COS(RADIANS(Latitude+DecAng))</f>
        <v>52.439632545931744</v>
      </c>
      <c r="Y2148" s="246">
        <f ca="1">+$V2148*NSGradeFt+PedHeight+PanArrayLenFt*SIN(RADIANS(Latitude+DecAng))</f>
        <v>7.401410761154855</v>
      </c>
      <c r="Z2148" s="214">
        <f ca="1">+$W2148</f>
        <v>30.000006832286932</v>
      </c>
      <c r="AA2148" s="214">
        <f ca="1">+$Y2148</f>
        <v>7.401410761154855</v>
      </c>
      <c r="AB2148" s="214">
        <f ca="1">+$X2148</f>
        <v>52.439632545931744</v>
      </c>
      <c r="AC2148" s="214">
        <f ca="1">+$W2148-XOffset</f>
        <v>30.000006832286932</v>
      </c>
    </row>
    <row r="2149" spans="19:29" ht="8.4" customHeight="1">
      <c r="S2149" s="307"/>
      <c r="T2149" s="226">
        <f t="shared" ref="T2149:T2162" si="115">+T2148+1</f>
        <v>2146</v>
      </c>
      <c r="U2149" s="224">
        <f t="shared" si="113"/>
        <v>1</v>
      </c>
      <c r="V2149" s="225">
        <f t="shared" si="114"/>
        <v>2</v>
      </c>
      <c r="W2149" s="239">
        <f ca="1">$U2149*EWSpacingFt+XOffset+(PanArrayWidthHighEndFt-PanArrayWidthLowEndFt)/2</f>
        <v>30.000006832286932</v>
      </c>
      <c r="X2149" s="243">
        <f ca="1">$V2149*NSSpacingFt+YOffset+0</f>
        <v>35.999999999999979</v>
      </c>
      <c r="Y2149" s="247">
        <f ca="1">+$V2149*NSGradeFt+PedHeight+0</f>
        <v>7.401410761154855</v>
      </c>
      <c r="Z2149" s="214">
        <f ca="1">+$W2149</f>
        <v>30.000006832286932</v>
      </c>
      <c r="AA2149" s="214">
        <f ca="1">+$Y2149</f>
        <v>7.401410761154855</v>
      </c>
      <c r="AB2149" s="214">
        <f ca="1">+$X2149</f>
        <v>35.999999999999979</v>
      </c>
      <c r="AC2149" s="214">
        <f ca="1">+$W2149-XOffset</f>
        <v>30.000006832286932</v>
      </c>
    </row>
    <row r="2150" spans="19:29" ht="8.4" customHeight="1">
      <c r="S2150" s="307"/>
      <c r="T2150" s="226">
        <f t="shared" si="115"/>
        <v>2147</v>
      </c>
      <c r="U2150" s="224">
        <f t="shared" si="113"/>
        <v>1</v>
      </c>
      <c r="V2150" s="225">
        <f t="shared" si="114"/>
        <v>2</v>
      </c>
      <c r="W2150" s="217"/>
      <c r="X2150" s="217"/>
      <c r="Y2150" s="217"/>
      <c r="Z2150" s="214"/>
      <c r="AA2150" s="214"/>
      <c r="AB2150" s="214"/>
      <c r="AC2150" s="214"/>
    </row>
    <row r="2151" spans="19:29" ht="8.4" customHeight="1">
      <c r="S2151" s="307">
        <f>INT((T2151-0)/6)+1</f>
        <v>359</v>
      </c>
      <c r="T2151" s="226">
        <f t="shared" si="115"/>
        <v>2148</v>
      </c>
      <c r="U2151" s="224">
        <f t="shared" si="113"/>
        <v>0</v>
      </c>
      <c r="V2151" s="225">
        <f t="shared" si="114"/>
        <v>3</v>
      </c>
      <c r="W2151" s="233">
        <f ca="1">$U2151*EWSpacingFt+XOffset+(PanArrayWidthHighEndFt-PanArrayWidthLowEndFt)/2</f>
        <v>0</v>
      </c>
      <c r="X2151" s="234">
        <f ca="1">$V2151*NSSpacingFt+YOffset+0</f>
        <v>53.999999999999972</v>
      </c>
      <c r="Y2151" s="235">
        <f ca="1">+$V2151*NSGradeFt+PedHeight+0</f>
        <v>7.401410761154855</v>
      </c>
      <c r="Z2151" s="214">
        <f ca="1">+$W2151</f>
        <v>0</v>
      </c>
      <c r="AA2151" s="214">
        <f ca="1">+$Y2151</f>
        <v>7.401410761154855</v>
      </c>
      <c r="AB2151" s="214">
        <f ca="1">+$X2151</f>
        <v>53.999999999999972</v>
      </c>
      <c r="AC2151" s="214">
        <f ca="1">+$W2151-XOffset</f>
        <v>0</v>
      </c>
    </row>
    <row r="2152" spans="19:29" ht="8.4" customHeight="1">
      <c r="S2152" s="307"/>
      <c r="T2152" s="226">
        <f t="shared" si="115"/>
        <v>2149</v>
      </c>
      <c r="U2152" s="224">
        <f t="shared" si="113"/>
        <v>0</v>
      </c>
      <c r="V2152" s="225">
        <f t="shared" si="114"/>
        <v>3</v>
      </c>
      <c r="W2152" s="236">
        <f ca="1">+$U2152*EWSpacingFt+XOffset+PanArrayWidthHighEndFt-(PanArrayWidthHighEndFt-PanArrayWidthLowEndFt)/2</f>
        <v>10.80282152230971</v>
      </c>
      <c r="X2152" s="240">
        <f ca="1">$V2152*NSSpacingFt+YOffset+0</f>
        <v>53.999999999999972</v>
      </c>
      <c r="Y2152" s="244">
        <f ca="1">+$V2152*NSGradeFt+PedHeight+0</f>
        <v>7.401410761154855</v>
      </c>
      <c r="Z2152" s="214">
        <f ca="1">+$W2152</f>
        <v>10.80282152230971</v>
      </c>
      <c r="AA2152" s="214">
        <f ca="1">+$Y2152</f>
        <v>7.401410761154855</v>
      </c>
      <c r="AB2152" s="214">
        <f ca="1">+$X2152</f>
        <v>53.999999999999972</v>
      </c>
      <c r="AC2152" s="214">
        <f ca="1">+$W2152-XOffset</f>
        <v>10.80282152230971</v>
      </c>
    </row>
    <row r="2153" spans="19:29" ht="8.4" customHeight="1">
      <c r="S2153" s="307"/>
      <c r="T2153" s="226">
        <f t="shared" si="115"/>
        <v>2150</v>
      </c>
      <c r="U2153" s="224">
        <f t="shared" si="113"/>
        <v>0</v>
      </c>
      <c r="V2153" s="225">
        <f t="shared" si="114"/>
        <v>3</v>
      </c>
      <c r="W2153" s="237">
        <f ca="1">$U2153*EWSpacingFt+XOffset+PanArrayWidthHighEndFt</f>
        <v>10.80282152230971</v>
      </c>
      <c r="X2153" s="241">
        <f ca="1">$V2153*NSSpacingFt+YOffset+PanArrayLenFt*COS(RADIANS(Latitude+DecAng))</f>
        <v>70.43963254593173</v>
      </c>
      <c r="Y2153" s="245">
        <f ca="1">+$V2153*NSGradeFt+PedHeight+PanArrayLenFt*SIN(RADIANS(Latitude+DecAng))</f>
        <v>7.401410761154855</v>
      </c>
      <c r="Z2153" s="214">
        <f ca="1">+$W2153</f>
        <v>10.80282152230971</v>
      </c>
      <c r="AA2153" s="214">
        <f ca="1">+$Y2153</f>
        <v>7.401410761154855</v>
      </c>
      <c r="AB2153" s="214">
        <f ca="1">+$X2153</f>
        <v>70.43963254593173</v>
      </c>
      <c r="AC2153" s="214">
        <f ca="1">+$W2153-XOffset</f>
        <v>10.80282152230971</v>
      </c>
    </row>
    <row r="2154" spans="19:29" ht="8.4" customHeight="1">
      <c r="S2154" s="307"/>
      <c r="T2154" s="226">
        <f t="shared" si="115"/>
        <v>2151</v>
      </c>
      <c r="U2154" s="224">
        <f t="shared" si="113"/>
        <v>0</v>
      </c>
      <c r="V2154" s="225">
        <f t="shared" si="114"/>
        <v>3</v>
      </c>
      <c r="W2154" s="238">
        <f ca="1">$U2154*EWSpacingFt+XOffset+0</f>
        <v>0</v>
      </c>
      <c r="X2154" s="242">
        <f ca="1">$V2154*NSSpacingFt+YOffset+PanArrayLenFt*COS(RADIANS(Latitude+DecAng))</f>
        <v>70.43963254593173</v>
      </c>
      <c r="Y2154" s="246">
        <f ca="1">+$V2154*NSGradeFt+PedHeight+PanArrayLenFt*SIN(RADIANS(Latitude+DecAng))</f>
        <v>7.401410761154855</v>
      </c>
      <c r="Z2154" s="214">
        <f ca="1">+$W2154</f>
        <v>0</v>
      </c>
      <c r="AA2154" s="214">
        <f ca="1">+$Y2154</f>
        <v>7.401410761154855</v>
      </c>
      <c r="AB2154" s="214">
        <f ca="1">+$X2154</f>
        <v>70.43963254593173</v>
      </c>
      <c r="AC2154" s="214">
        <f ca="1">+$W2154-XOffset</f>
        <v>0</v>
      </c>
    </row>
    <row r="2155" spans="19:29" ht="8.4" customHeight="1">
      <c r="S2155" s="307"/>
      <c r="T2155" s="226">
        <f t="shared" si="115"/>
        <v>2152</v>
      </c>
      <c r="U2155" s="224">
        <f t="shared" si="113"/>
        <v>0</v>
      </c>
      <c r="V2155" s="225">
        <f t="shared" si="114"/>
        <v>3</v>
      </c>
      <c r="W2155" s="239">
        <f ca="1">$U2155*EWSpacingFt+XOffset+(PanArrayWidthHighEndFt-PanArrayWidthLowEndFt)/2</f>
        <v>0</v>
      </c>
      <c r="X2155" s="243">
        <f ca="1">$V2155*NSSpacingFt+YOffset+0</f>
        <v>53.999999999999972</v>
      </c>
      <c r="Y2155" s="247">
        <f ca="1">+$V2155*NSGradeFt+PedHeight+0</f>
        <v>7.401410761154855</v>
      </c>
      <c r="Z2155" s="214">
        <f ca="1">+$W2155</f>
        <v>0</v>
      </c>
      <c r="AA2155" s="214">
        <f ca="1">+$Y2155</f>
        <v>7.401410761154855</v>
      </c>
      <c r="AB2155" s="214">
        <f ca="1">+$X2155</f>
        <v>53.999999999999972</v>
      </c>
      <c r="AC2155" s="214">
        <f ca="1">+$W2155-XOffset</f>
        <v>0</v>
      </c>
    </row>
    <row r="2156" spans="19:29" ht="8.4" customHeight="1">
      <c r="S2156" s="307"/>
      <c r="T2156" s="226">
        <f t="shared" si="115"/>
        <v>2153</v>
      </c>
      <c r="U2156" s="224">
        <f t="shared" si="113"/>
        <v>0</v>
      </c>
      <c r="V2156" s="225">
        <f t="shared" si="114"/>
        <v>3</v>
      </c>
      <c r="W2156" s="217"/>
      <c r="X2156" s="217"/>
      <c r="Y2156" s="217"/>
      <c r="Z2156" s="214"/>
      <c r="AA2156" s="214"/>
      <c r="AB2156" s="214"/>
      <c r="AC2156" s="214"/>
    </row>
    <row r="2157" spans="19:29" ht="8.4" customHeight="1">
      <c r="S2157" s="307">
        <f>INT((T2157-0)/6)+1</f>
        <v>360</v>
      </c>
      <c r="T2157" s="226">
        <f t="shared" si="115"/>
        <v>2154</v>
      </c>
      <c r="U2157" s="224">
        <f t="shared" si="113"/>
        <v>1</v>
      </c>
      <c r="V2157" s="225">
        <f t="shared" si="114"/>
        <v>3</v>
      </c>
      <c r="W2157" s="233">
        <f ca="1">$U2157*EWSpacingFt+XOffset+(PanArrayWidthHighEndFt-PanArrayWidthLowEndFt)/2</f>
        <v>30.000006832286932</v>
      </c>
      <c r="X2157" s="234">
        <f ca="1">$V2157*NSSpacingFt+YOffset+0</f>
        <v>53.999999999999972</v>
      </c>
      <c r="Y2157" s="235">
        <f ca="1">+$V2157*NSGradeFt+PedHeight+0</f>
        <v>7.401410761154855</v>
      </c>
      <c r="Z2157" s="214">
        <f ca="1">+$W2157</f>
        <v>30.000006832286932</v>
      </c>
      <c r="AA2157" s="214">
        <f ca="1">+$Y2157</f>
        <v>7.401410761154855</v>
      </c>
      <c r="AB2157" s="214">
        <f ca="1">+$X2157</f>
        <v>53.999999999999972</v>
      </c>
      <c r="AC2157" s="214">
        <f ca="1">+$W2157-XOffset</f>
        <v>30.000006832286932</v>
      </c>
    </row>
    <row r="2158" spans="19:29" ht="8.4" customHeight="1">
      <c r="S2158" s="307"/>
      <c r="T2158" s="226">
        <f t="shared" si="115"/>
        <v>2155</v>
      </c>
      <c r="U2158" s="224">
        <f t="shared" si="113"/>
        <v>1</v>
      </c>
      <c r="V2158" s="225">
        <f t="shared" si="114"/>
        <v>3</v>
      </c>
      <c r="W2158" s="236">
        <f ca="1">+$U2158*EWSpacingFt+XOffset+PanArrayWidthHighEndFt-(PanArrayWidthHighEndFt-PanArrayWidthLowEndFt)/2</f>
        <v>40.802828354596642</v>
      </c>
      <c r="X2158" s="240">
        <f ca="1">$V2158*NSSpacingFt+YOffset+0</f>
        <v>53.999999999999972</v>
      </c>
      <c r="Y2158" s="244">
        <f ca="1">+$V2158*NSGradeFt+PedHeight+0</f>
        <v>7.401410761154855</v>
      </c>
      <c r="Z2158" s="214">
        <f ca="1">+$W2158</f>
        <v>40.802828354596642</v>
      </c>
      <c r="AA2158" s="214">
        <f ca="1">+$Y2158</f>
        <v>7.401410761154855</v>
      </c>
      <c r="AB2158" s="214">
        <f ca="1">+$X2158</f>
        <v>53.999999999999972</v>
      </c>
      <c r="AC2158" s="214">
        <f ca="1">+$W2158-XOffset</f>
        <v>40.802828354596642</v>
      </c>
    </row>
    <row r="2159" spans="19:29" ht="8.4" customHeight="1">
      <c r="S2159" s="307"/>
      <c r="T2159" s="226">
        <f t="shared" si="115"/>
        <v>2156</v>
      </c>
      <c r="U2159" s="224">
        <f t="shared" si="113"/>
        <v>1</v>
      </c>
      <c r="V2159" s="225">
        <f t="shared" si="114"/>
        <v>3</v>
      </c>
      <c r="W2159" s="237">
        <f ca="1">$U2159*EWSpacingFt+XOffset+PanArrayWidthHighEndFt</f>
        <v>40.802828354596642</v>
      </c>
      <c r="X2159" s="241">
        <f ca="1">$V2159*NSSpacingFt+YOffset+PanArrayLenFt*COS(RADIANS(Latitude+DecAng))</f>
        <v>70.43963254593173</v>
      </c>
      <c r="Y2159" s="245">
        <f ca="1">+$V2159*NSGradeFt+PedHeight+PanArrayLenFt*SIN(RADIANS(Latitude+DecAng))</f>
        <v>7.401410761154855</v>
      </c>
      <c r="Z2159" s="214">
        <f ca="1">+$W2159</f>
        <v>40.802828354596642</v>
      </c>
      <c r="AA2159" s="214">
        <f ca="1">+$Y2159</f>
        <v>7.401410761154855</v>
      </c>
      <c r="AB2159" s="214">
        <f ca="1">+$X2159</f>
        <v>70.43963254593173</v>
      </c>
      <c r="AC2159" s="214">
        <f ca="1">+$W2159-XOffset</f>
        <v>40.802828354596642</v>
      </c>
    </row>
    <row r="2160" spans="19:29" ht="8.4" customHeight="1">
      <c r="S2160" s="307"/>
      <c r="T2160" s="226">
        <f t="shared" si="115"/>
        <v>2157</v>
      </c>
      <c r="U2160" s="224">
        <f t="shared" si="113"/>
        <v>1</v>
      </c>
      <c r="V2160" s="225">
        <f t="shared" si="114"/>
        <v>3</v>
      </c>
      <c r="W2160" s="238">
        <f ca="1">$U2160*EWSpacingFt+XOffset+0</f>
        <v>30.000006832286932</v>
      </c>
      <c r="X2160" s="242">
        <f ca="1">$V2160*NSSpacingFt+YOffset+PanArrayLenFt*COS(RADIANS(Latitude+DecAng))</f>
        <v>70.43963254593173</v>
      </c>
      <c r="Y2160" s="246">
        <f ca="1">+$V2160*NSGradeFt+PedHeight+PanArrayLenFt*SIN(RADIANS(Latitude+DecAng))</f>
        <v>7.401410761154855</v>
      </c>
      <c r="Z2160" s="214">
        <f ca="1">+$W2160</f>
        <v>30.000006832286932</v>
      </c>
      <c r="AA2160" s="214">
        <f ca="1">+$Y2160</f>
        <v>7.401410761154855</v>
      </c>
      <c r="AB2160" s="214">
        <f ca="1">+$X2160</f>
        <v>70.43963254593173</v>
      </c>
      <c r="AC2160" s="214">
        <f ca="1">+$W2160-XOffset</f>
        <v>30.000006832286932</v>
      </c>
    </row>
    <row r="2161" spans="19:29" ht="8.4" customHeight="1">
      <c r="S2161" s="307"/>
      <c r="T2161" s="226">
        <f t="shared" si="115"/>
        <v>2158</v>
      </c>
      <c r="U2161" s="224">
        <f t="shared" si="113"/>
        <v>1</v>
      </c>
      <c r="V2161" s="225">
        <f t="shared" si="114"/>
        <v>3</v>
      </c>
      <c r="W2161" s="239">
        <f ca="1">$U2161*EWSpacingFt+XOffset+(PanArrayWidthHighEndFt-PanArrayWidthLowEndFt)/2</f>
        <v>30.000006832286932</v>
      </c>
      <c r="X2161" s="243">
        <f ca="1">$V2161*NSSpacingFt+YOffset+0</f>
        <v>53.999999999999972</v>
      </c>
      <c r="Y2161" s="247">
        <f ca="1">+$V2161*NSGradeFt+PedHeight+0</f>
        <v>7.401410761154855</v>
      </c>
      <c r="Z2161" s="214">
        <f ca="1">+$W2161</f>
        <v>30.000006832286932</v>
      </c>
      <c r="AA2161" s="214">
        <f ca="1">+$Y2161</f>
        <v>7.401410761154855</v>
      </c>
      <c r="AB2161" s="214">
        <f ca="1">+$X2161</f>
        <v>53.999999999999972</v>
      </c>
      <c r="AC2161" s="214">
        <f ca="1">+$W2161-XOffset</f>
        <v>30.000006832286932</v>
      </c>
    </row>
    <row r="2162" spans="19:29" ht="8.4" customHeight="1">
      <c r="S2162" s="307"/>
      <c r="T2162" s="226">
        <f t="shared" si="115"/>
        <v>2159</v>
      </c>
      <c r="U2162" s="224">
        <f t="shared" si="113"/>
        <v>1</v>
      </c>
      <c r="V2162" s="225">
        <f t="shared" si="114"/>
        <v>3</v>
      </c>
      <c r="W2162" s="217"/>
      <c r="X2162" s="217"/>
      <c r="Y2162" s="217"/>
      <c r="Z2162" s="214"/>
      <c r="AA2162" s="214"/>
      <c r="AB2162" s="214"/>
      <c r="AC2162" s="214"/>
    </row>
  </sheetData>
  <sheetProtection sheet="1" objects="1" scenarios="1"/>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1:AI130"/>
  <sheetViews>
    <sheetView zoomScaleNormal="100" workbookViewId="0">
      <selection activeCell="G33" sqref="G33"/>
    </sheetView>
  </sheetViews>
  <sheetFormatPr defaultRowHeight="14.4"/>
  <cols>
    <col min="1" max="1" width="3" customWidth="1"/>
    <col min="2" max="2" width="25.33203125" customWidth="1"/>
    <col min="3" max="3" width="17.33203125" customWidth="1"/>
    <col min="4" max="4" width="25.109375" customWidth="1"/>
    <col min="5" max="5" width="31.5546875" customWidth="1"/>
    <col min="6" max="6" width="23.88671875" style="755" customWidth="1"/>
    <col min="7" max="7" width="9.44140625" style="731" bestFit="1" customWidth="1"/>
    <col min="8" max="8" width="5.21875" style="14" customWidth="1"/>
    <col min="9" max="9" width="4.44140625" style="503" customWidth="1"/>
    <col min="10" max="10" width="2.33203125" style="806" bestFit="1" customWidth="1"/>
    <col min="11" max="11" width="5.21875" style="503" customWidth="1"/>
    <col min="12" max="12" width="4" style="323" customWidth="1"/>
    <col min="13" max="13" width="3.21875" style="323" customWidth="1"/>
    <col min="14" max="14" width="4.5546875" style="702" customWidth="1"/>
    <col min="15" max="15" width="4.5546875" style="323" customWidth="1"/>
    <col min="16" max="17" width="4.5546875" style="323" hidden="1" customWidth="1"/>
    <col min="18" max="18" width="4.44140625" style="323" customWidth="1"/>
    <col min="19" max="20" width="4" style="323" customWidth="1"/>
    <col min="21" max="21" width="3.6640625" style="702" customWidth="1"/>
    <col min="22" max="25" width="3.6640625" style="323" customWidth="1"/>
    <col min="26" max="26" width="3.6640625" customWidth="1"/>
    <col min="27" max="28" width="4.44140625" customWidth="1"/>
    <col min="29" max="29" width="4" customWidth="1"/>
    <col min="30" max="31" width="4.44140625" customWidth="1"/>
    <col min="32" max="32" width="5.21875" bestFit="1" customWidth="1"/>
    <col min="33" max="33" width="4.88671875" bestFit="1" customWidth="1"/>
    <col min="34" max="34" width="6" style="323" bestFit="1" customWidth="1"/>
    <col min="35" max="35" width="5.109375" style="323" customWidth="1"/>
  </cols>
  <sheetData>
    <row r="1" spans="1:35" ht="10.199999999999999" customHeight="1">
      <c r="A1" s="701"/>
      <c r="B1" s="701"/>
      <c r="C1" s="701"/>
      <c r="D1" s="701"/>
      <c r="E1" s="701"/>
      <c r="F1" s="754"/>
      <c r="I1" s="14"/>
      <c r="J1" s="94"/>
      <c r="K1" s="14"/>
      <c r="L1" s="14"/>
      <c r="M1" s="14"/>
      <c r="N1" s="14"/>
      <c r="O1" s="14" t="s">
        <v>677</v>
      </c>
      <c r="P1" s="14"/>
      <c r="Q1" s="14"/>
      <c r="R1" s="14"/>
      <c r="S1" s="14"/>
      <c r="T1" s="14"/>
      <c r="U1" s="14"/>
      <c r="V1" s="14"/>
      <c r="W1" s="14"/>
      <c r="X1" s="14"/>
      <c r="Y1" s="14"/>
      <c r="Z1" s="14"/>
      <c r="AA1" s="14"/>
      <c r="AB1" s="14" t="s">
        <v>641</v>
      </c>
      <c r="AC1" s="14"/>
      <c r="AD1" s="14"/>
      <c r="AE1" s="14"/>
      <c r="AF1" s="14"/>
      <c r="AG1" s="14"/>
      <c r="AH1" s="14"/>
      <c r="AI1" s="14"/>
    </row>
    <row r="2" spans="1:35" ht="10.199999999999999" customHeight="1">
      <c r="A2" s="701"/>
      <c r="B2" s="701"/>
      <c r="C2" s="701"/>
      <c r="D2" s="701"/>
      <c r="E2" s="701"/>
      <c r="F2" s="754" t="s">
        <v>626</v>
      </c>
      <c r="G2" s="732">
        <f ca="1">BHIn</f>
        <v>6</v>
      </c>
      <c r="I2" s="14" t="s">
        <v>628</v>
      </c>
      <c r="J2" s="94"/>
      <c r="K2" s="14"/>
      <c r="L2" s="14" t="s">
        <v>676</v>
      </c>
      <c r="M2" s="14"/>
      <c r="N2" s="706">
        <f ca="1">MIN(N3:N88)</f>
        <v>-7.3161218498199236</v>
      </c>
      <c r="O2" s="706">
        <f ca="1">MAX(O3:O88)</f>
        <v>2</v>
      </c>
      <c r="P2" s="705"/>
      <c r="Q2" s="814" t="s">
        <v>680</v>
      </c>
      <c r="R2" s="814"/>
      <c r="S2" s="814" t="s">
        <v>681</v>
      </c>
      <c r="T2" s="14"/>
      <c r="U2" s="14"/>
      <c r="V2" s="14" t="s">
        <v>619</v>
      </c>
      <c r="W2" s="14"/>
      <c r="X2" s="14" t="s">
        <v>638</v>
      </c>
      <c r="Y2" s="14"/>
      <c r="Z2" s="14" t="s">
        <v>639</v>
      </c>
      <c r="AA2" s="706">
        <f>ABS(MIN(AA3:AA39))</f>
        <v>1.0375000000000001</v>
      </c>
      <c r="AB2" s="706">
        <f>ABS(MIN(AB3:AB39))</f>
        <v>1.0375000000000001</v>
      </c>
      <c r="AC2" s="14"/>
      <c r="AD2" s="14"/>
      <c r="AE2" s="14" t="s">
        <v>640</v>
      </c>
      <c r="AF2" s="14"/>
      <c r="AG2" s="14" t="s">
        <v>682</v>
      </c>
      <c r="AH2" s="814"/>
      <c r="AI2" s="814" t="s">
        <v>683</v>
      </c>
    </row>
    <row r="3" spans="1:35" ht="10.199999999999999" customHeight="1">
      <c r="A3" s="701"/>
      <c r="B3" s="701"/>
      <c r="C3" s="701"/>
      <c r="D3" s="701"/>
      <c r="E3" s="701"/>
      <c r="F3" s="754" t="s">
        <v>623</v>
      </c>
      <c r="G3" s="733">
        <f ca="1">G2</f>
        <v>6</v>
      </c>
      <c r="H3" s="815">
        <f ca="1">-HPierBeamHeight+HBeamMin-HGaps</f>
        <v>-11.566121849819924</v>
      </c>
      <c r="I3" s="815">
        <f ca="1">HBeamMin</f>
        <v>-7.3161218498199236</v>
      </c>
      <c r="K3" s="703">
        <f>PivitDia/2+HBearingThick+HookThick</f>
        <v>0.78749999999999998</v>
      </c>
      <c r="L3" s="703">
        <f>0</f>
        <v>0</v>
      </c>
      <c r="M3" s="801">
        <f>90</f>
        <v>90</v>
      </c>
      <c r="N3" s="706">
        <f ca="1">$N$51*COS(-M3/360*2*PI())-$O$51*SIN(-M3/360*2*PI())</f>
        <v>-1.0375000000000003</v>
      </c>
      <c r="O3" s="706">
        <f ca="1">$N$51*SIN(-M3/360*2*PI())+$O$51*COS(-M3/360*2*PI())</f>
        <v>2</v>
      </c>
      <c r="P3" s="704">
        <f>$P$51*COS(-M3/360*2*PI())-$Q$51*SIN(-M3/360*2*PI())</f>
        <v>-0.22585056900797937</v>
      </c>
      <c r="Q3" s="704">
        <f>$P$51*SIN(-M3/360*2*PI())+$Q$51*COS(-M3/360*2*PI())</f>
        <v>-4</v>
      </c>
      <c r="R3" s="704">
        <f t="shared" ref="R3" ca="1" si="0">$R$51*COS(-M3/360*2*PI())-$S$51*SIN(-M3/360*2*PI())</f>
        <v>-0.22585056900797962</v>
      </c>
      <c r="S3" s="704">
        <f t="shared" ref="S3" ca="1" si="1">$R$51*SIN(-M3/360*2*PI())+$S$51*COS(-M3/360*2*PI())</f>
        <v>3.6996405391050806E-2</v>
      </c>
      <c r="T3" s="739">
        <v>-180</v>
      </c>
      <c r="U3" s="740">
        <f t="shared" ref="U3:U66" si="2">COS(RADIANS(T3))*PivitDia/2</f>
        <v>-0.3125</v>
      </c>
      <c r="V3" s="740">
        <f t="shared" ref="V3:V27" si="3">SIN(RADIANS(T3))*PivitDia/2</f>
        <v>-3.8285889215894375E-17</v>
      </c>
      <c r="W3" s="704">
        <f t="shared" ref="W3:W39" si="4">COS(RADIANS(T3))*(PivitDia/2+HBearingThick+HookThick)</f>
        <v>-0.78749999999999998</v>
      </c>
      <c r="X3" s="704">
        <f t="shared" ref="X3:X39" si="5">SIN(RADIANS(T3))*(PivitDia/2+HBearingThick+HookThick)</f>
        <v>-9.6480440824053826E-17</v>
      </c>
      <c r="Y3" s="704">
        <f t="shared" ref="Y3:Y39" si="6">COS(RADIANS(T3))*(PivitDia/2+HBearingThick)</f>
        <v>-0.41249999999999998</v>
      </c>
      <c r="Z3" s="704">
        <f t="shared" ref="Z3:Z39" si="7">SIN(RADIANS(T3))*(PivitDia/2+HBearingThick)</f>
        <v>-5.0537373764980575E-17</v>
      </c>
      <c r="AA3" s="706">
        <f t="shared" ref="AA3:AA39" si="8">COS(RADIANS(T3))*(PivitDia/2+HBearingThick+HookThick+HGaps)</f>
        <v>-1.0375000000000001</v>
      </c>
      <c r="AB3" s="706">
        <f t="shared" ref="AB3:AB39" si="9">SIN(RADIANS(T3))*(PivitDia/2+HBearingThick+HookThick+HGaps)</f>
        <v>-1.2710915219676933E-16</v>
      </c>
      <c r="AC3" s="802">
        <f ca="1">90-MaxWidAng</f>
        <v>16.081651956813701</v>
      </c>
      <c r="AD3" s="800">
        <f t="shared" ref="AD3:AD34" ca="1" si="10">COS(RADIANS(AC3))*HBeamMin</f>
        <v>-7.0298267141251403</v>
      </c>
      <c r="AE3" s="800">
        <f t="shared" ref="AE3:AE34" ca="1" si="11">-SIN(RADIANS(AC3))*HBeamMin</f>
        <v>2.0266167103784181</v>
      </c>
      <c r="AF3" s="706">
        <f ca="1">-HBeamWide/2</f>
        <v>-2</v>
      </c>
      <c r="AG3" s="707">
        <f>-PivitDia*0.5-HBearingThick-HookThick-HGaps</f>
        <v>-1.0375000000000001</v>
      </c>
      <c r="AH3" s="704">
        <v>0</v>
      </c>
      <c r="AI3" s="803">
        <f>AG3+HPVShim</f>
        <v>-0.22585056900797962</v>
      </c>
    </row>
    <row r="4" spans="1:35" ht="10.199999999999999" customHeight="1">
      <c r="A4" s="701"/>
      <c r="B4" s="701"/>
      <c r="C4" s="701"/>
      <c r="D4" s="701"/>
      <c r="E4" s="701"/>
      <c r="F4" s="754" t="s">
        <v>625</v>
      </c>
      <c r="G4" s="732">
        <f ca="1">BWIn</f>
        <v>4</v>
      </c>
      <c r="H4" s="815">
        <f ca="1">-HPierBeamHeight+HBeamMin-HGaps</f>
        <v>-11.566121849819924</v>
      </c>
      <c r="I4" s="815">
        <f ca="1">HookDrop</f>
        <v>2.25</v>
      </c>
      <c r="K4" s="703">
        <f>PivitDia/2+HBearingThick+HookThick</f>
        <v>0.78749999999999998</v>
      </c>
      <c r="L4" s="703">
        <f ca="1">HookDrop+HookThick</f>
        <v>2.625</v>
      </c>
      <c r="M4" s="739"/>
      <c r="N4" s="706">
        <f ca="1">$N$52*COS(-M3/360*2*PI())-$O$52*SIN(-M3/360*2*PI())</f>
        <v>-7.0374999999999996</v>
      </c>
      <c r="O4" s="706">
        <f ca="1">$N$52*SIN(-M3/360*2*PI())+$O$52*COS(-M3/360*2*PI())</f>
        <v>1.9999999999999996</v>
      </c>
      <c r="P4" s="704">
        <f ca="1">$P$52*COS(-M3/360*2*PI())-$Q$52*SIN(-M3/360*2*PI())</f>
        <v>1.34895258059832</v>
      </c>
      <c r="Q4" s="704">
        <f ca="1">$P$52*SIN(-M3/360*2*PI())+$Q$52*COS(-M3/360*2*PI())</f>
        <v>-4</v>
      </c>
      <c r="R4" s="704">
        <f t="shared" ref="R4" ca="1" si="12">$R$52*COS(-M3/360*2*PI())-$S$52*SIN(-M3/360*2*PI())</f>
        <v>-0.22585056900797962</v>
      </c>
      <c r="S4" s="704">
        <f t="shared" ref="S4" ca="1" si="13">$R$52*SIN(-M3/360*2*PI())+$S$52*COS(-M3/360*2*PI())</f>
        <v>-3.6996405391050834E-2</v>
      </c>
      <c r="T4" s="739">
        <f>T3+5</f>
        <v>-175</v>
      </c>
      <c r="U4" s="740">
        <f t="shared" si="2"/>
        <v>-0.31131084315367047</v>
      </c>
      <c r="V4" s="740">
        <f t="shared" si="3"/>
        <v>-2.7236169608643186E-2</v>
      </c>
      <c r="W4" s="704">
        <f t="shared" si="4"/>
        <v>-0.7845033247472496</v>
      </c>
      <c r="X4" s="704">
        <f t="shared" si="5"/>
        <v>-6.8635147413780823E-2</v>
      </c>
      <c r="Y4" s="704">
        <f t="shared" si="6"/>
        <v>-0.41093031296284499</v>
      </c>
      <c r="Z4" s="704">
        <f t="shared" si="7"/>
        <v>-3.5951743883409E-2</v>
      </c>
      <c r="AA4" s="706">
        <f t="shared" si="8"/>
        <v>-1.033551999270186</v>
      </c>
      <c r="AB4" s="706">
        <f t="shared" si="9"/>
        <v>-9.0424083100695385E-2</v>
      </c>
      <c r="AC4" s="802">
        <f ca="1">AC3+(AC$75-AC$3)/72</f>
        <v>13.134939402457766</v>
      </c>
      <c r="AD4" s="800">
        <f t="shared" ca="1" si="10"/>
        <v>-7.1247143423518633</v>
      </c>
      <c r="AE4" s="800">
        <f t="shared" ca="1" si="11"/>
        <v>1.6625535965189693</v>
      </c>
      <c r="AF4" s="706">
        <f ca="1">AF3</f>
        <v>-2</v>
      </c>
      <c r="AG4" s="706">
        <f ca="1">-PivitDia*0.5-HBearingThick-HookThick-HGaps-HBeamHigh</f>
        <v>-7.0374999999999996</v>
      </c>
      <c r="AH4" s="704">
        <f ca="1">-OFFSET(INDIRECT(PanelArrangement),3,2)*12/2</f>
        <v>-64.816929133858252</v>
      </c>
      <c r="AI4" s="803">
        <f>AG3+HPVShim</f>
        <v>-0.22585056900797962</v>
      </c>
    </row>
    <row r="5" spans="1:35" ht="10.199999999999999" customHeight="1">
      <c r="A5" s="701"/>
      <c r="B5" s="701"/>
      <c r="C5" s="701"/>
      <c r="D5" s="701"/>
      <c r="E5" s="701"/>
      <c r="F5" s="754" t="s">
        <v>622</v>
      </c>
      <c r="G5" s="733">
        <f ca="1">G4</f>
        <v>4</v>
      </c>
      <c r="H5" s="815">
        <f ca="1">+HBeamMin-HGaps</f>
        <v>-7.5661218498199236</v>
      </c>
      <c r="I5" s="815">
        <f ca="1">HookDrop</f>
        <v>2.25</v>
      </c>
      <c r="K5" s="703">
        <f ca="1">+$N$16-HGaps-HPierBeamHeight-HookThick</f>
        <v>-11.941121849819924</v>
      </c>
      <c r="L5" s="703">
        <f ca="1">HookDrop+HookThick</f>
        <v>2.625</v>
      </c>
      <c r="M5" s="739"/>
      <c r="N5" s="706">
        <f ca="1">$N$53*COS(-M3/360*2*PI())-$O$53*SIN(-M3/360*2*PI())</f>
        <v>-7.0374999999999996</v>
      </c>
      <c r="O5" s="706">
        <f ca="1">$N$53*SIN(-M3/360*2*PI())+$O$53*COS(-M3/360*2*PI())</f>
        <v>-2.0000000000000004</v>
      </c>
      <c r="P5" s="704">
        <f ca="1">$P$53*COS(-M3/360*2*PI())-$Q$53*SIN(-M3/360*2*PI())</f>
        <v>1.3489525805983196</v>
      </c>
      <c r="Q5" s="704">
        <f ca="1">$P$53*SIN(-M3/360*2*PI())+$Q$53*COS(-M3/360*2*PI())</f>
        <v>4</v>
      </c>
      <c r="R5" s="704">
        <f t="shared" ref="R5" si="14">$R$53*COS(-M3/360*2*PI())-$S$53*SIN(-M3/360*2*PI())</f>
        <v>-0.22585056900797962</v>
      </c>
      <c r="S5" s="704">
        <f t="shared" ref="S5" si="15">$R$53*SIN(-M3/360*2*PI())+$S$53*COS(-M3/360*2*PI())</f>
        <v>-1.3835023783017944E-17</v>
      </c>
      <c r="T5" s="739">
        <f t="shared" ref="T5:T68" si="16">T4+5</f>
        <v>-170</v>
      </c>
      <c r="U5" s="740">
        <f t="shared" si="2"/>
        <v>-0.30775242281631499</v>
      </c>
      <c r="V5" s="740">
        <f t="shared" si="3"/>
        <v>-5.4265055520915713E-2</v>
      </c>
      <c r="W5" s="704">
        <f t="shared" si="4"/>
        <v>-0.77553610549711383</v>
      </c>
      <c r="X5" s="704">
        <f t="shared" si="5"/>
        <v>-0.13674793991270759</v>
      </c>
      <c r="Y5" s="704">
        <f t="shared" si="6"/>
        <v>-0.40623319811753578</v>
      </c>
      <c r="Z5" s="704">
        <f t="shared" si="7"/>
        <v>-7.1629873287608739E-2</v>
      </c>
      <c r="AA5" s="706">
        <f t="shared" si="8"/>
        <v>-1.021738043750166</v>
      </c>
      <c r="AB5" s="706">
        <f t="shared" si="9"/>
        <v>-0.18015998432944016</v>
      </c>
      <c r="AC5" s="802">
        <f t="shared" ref="AC5:AC68" ca="1" si="17">AC4+(AC$75-AC$3)/72</f>
        <v>10.188226848101831</v>
      </c>
      <c r="AD5" s="800">
        <f t="shared" ca="1" si="10"/>
        <v>-7.2007610547411049</v>
      </c>
      <c r="AE5" s="800">
        <f t="shared" ca="1" si="11"/>
        <v>1.2940939509696654</v>
      </c>
      <c r="AF5" s="706">
        <f ca="1">-AF3</f>
        <v>2</v>
      </c>
      <c r="AG5" s="706">
        <f ca="1">-PivitDia*0.5-HBearingThick-HookThick-HGaps-HBeamHigh</f>
        <v>-7.0374999999999996</v>
      </c>
      <c r="AH5" s="704">
        <f ca="1">AH4</f>
        <v>-64.816929133858252</v>
      </c>
      <c r="AI5" s="704">
        <f ca="1">AG3+HPVShim+PThickIn</f>
        <v>1.3489525805983198</v>
      </c>
    </row>
    <row r="6" spans="1:35" ht="10.199999999999999" customHeight="1">
      <c r="A6" s="701"/>
      <c r="B6" s="701"/>
      <c r="C6" s="701"/>
      <c r="D6" s="701"/>
      <c r="E6" s="701"/>
      <c r="F6" s="754" t="s">
        <v>627</v>
      </c>
      <c r="G6" s="732">
        <f ca="1">BThickIn</f>
        <v>0.125</v>
      </c>
      <c r="H6" s="815">
        <f ca="1">+HBeamMin-HGaps</f>
        <v>-7.5661218498199236</v>
      </c>
      <c r="I6" s="815">
        <f ca="1">HBeamMin</f>
        <v>-7.3161218498199236</v>
      </c>
      <c r="K6" s="703">
        <f ca="1">+$N$16-HGaps-HPierBeamHeight-HookThick</f>
        <v>-11.941121849819924</v>
      </c>
      <c r="L6" s="703">
        <f ca="1">HookDrop-1</f>
        <v>1.25</v>
      </c>
      <c r="M6" s="739"/>
      <c r="N6" s="706">
        <f ca="1">$N$54*COS(-M3/360*2*PI())-$O$54*SIN(-M3/360*2*PI())</f>
        <v>-1.0374999999999999</v>
      </c>
      <c r="O6" s="706">
        <f ca="1">$N$54*SIN(-M3/360*2*PI())+$O$54*COS(-M3/360*2*PI())</f>
        <v>-2</v>
      </c>
      <c r="P6" s="704">
        <f>$P$54*COS(-M3/360*2*PI())-$Q$54*SIN(-M3/360*2*PI())</f>
        <v>-0.22585056900797987</v>
      </c>
      <c r="Q6" s="704">
        <f>$P$54*SIN(-M3/360*2*PI())+$Q$54*COS(-M3/360*2*PI())</f>
        <v>4</v>
      </c>
      <c r="R6" s="704">
        <f t="shared" ref="R6" ca="1" si="18">$R$54*COS(-M3/360*2*PI())-$S$54*SIN(-M3/360*2*PI())</f>
        <v>1.3489525805983198</v>
      </c>
      <c r="S6" s="704">
        <f t="shared" ref="S6" ca="1" si="19">$R$54*SIN(-M3/360*2*PI())+$S$54*COS(-M3/360*2*PI())</f>
        <v>8.2633358493251362E-17</v>
      </c>
      <c r="T6" s="739">
        <f t="shared" si="16"/>
        <v>-165</v>
      </c>
      <c r="U6" s="740">
        <f t="shared" si="2"/>
        <v>-0.30185182071533379</v>
      </c>
      <c r="V6" s="740">
        <f t="shared" si="3"/>
        <v>-8.0880951594537814E-2</v>
      </c>
      <c r="W6" s="704">
        <f t="shared" si="4"/>
        <v>-0.76066658820264121</v>
      </c>
      <c r="X6" s="704">
        <f t="shared" si="5"/>
        <v>-0.2038199980182353</v>
      </c>
      <c r="Y6" s="704">
        <f t="shared" si="6"/>
        <v>-0.39844440334424064</v>
      </c>
      <c r="Z6" s="704">
        <f t="shared" si="7"/>
        <v>-0.10676285610478992</v>
      </c>
      <c r="AA6" s="706">
        <f t="shared" si="8"/>
        <v>-1.0021480447749083</v>
      </c>
      <c r="AB6" s="706">
        <f t="shared" si="9"/>
        <v>-0.2685247592938656</v>
      </c>
      <c r="AC6" s="802">
        <f t="shared" ca="1" si="17"/>
        <v>7.2415142937458956</v>
      </c>
      <c r="AD6" s="800">
        <f t="shared" ca="1" si="10"/>
        <v>-7.2577657499379189</v>
      </c>
      <c r="AE6" s="800">
        <f t="shared" ca="1" si="11"/>
        <v>0.92221214502986271</v>
      </c>
      <c r="AF6" s="706">
        <f ca="1">AF5</f>
        <v>2</v>
      </c>
      <c r="AG6" s="706">
        <f>AG3</f>
        <v>-1.0375000000000001</v>
      </c>
      <c r="AH6" s="704">
        <f ca="1">-AH4</f>
        <v>64.816929133858252</v>
      </c>
      <c r="AI6" s="704">
        <f ca="1">AI5</f>
        <v>1.3489525805983198</v>
      </c>
    </row>
    <row r="7" spans="1:35" ht="10.199999999999999" customHeight="1">
      <c r="A7" s="701"/>
      <c r="B7" s="701"/>
      <c r="C7" s="701"/>
      <c r="D7" s="701"/>
      <c r="E7" s="701"/>
      <c r="F7" s="754" t="s">
        <v>624</v>
      </c>
      <c r="G7" s="733">
        <f ca="1">G6</f>
        <v>0.125</v>
      </c>
      <c r="H7" s="815">
        <f ca="1">+HBeamMin-HGaps-HPierBeamHeight/4</f>
        <v>-8.5661218498199236</v>
      </c>
      <c r="I7" s="815">
        <f ca="1">HBeamMin+0.5</f>
        <v>-6.8161218498199236</v>
      </c>
      <c r="K7" s="703">
        <f ca="1">+$N$16-HGaps-HPierBeamHeight</f>
        <v>-11.566121849819924</v>
      </c>
      <c r="L7" s="703">
        <f ca="1">HookDrop-1</f>
        <v>1.25</v>
      </c>
      <c r="M7" s="739"/>
      <c r="N7" s="706">
        <f ca="1">N3</f>
        <v>-1.0375000000000003</v>
      </c>
      <c r="O7" s="706">
        <f ca="1">O3</f>
        <v>2</v>
      </c>
      <c r="P7" s="704">
        <f>P3</f>
        <v>-0.22585056900797937</v>
      </c>
      <c r="Q7" s="704">
        <f>Q3</f>
        <v>-4</v>
      </c>
      <c r="R7" s="705"/>
      <c r="S7" s="705"/>
      <c r="T7" s="739">
        <f t="shared" si="16"/>
        <v>-160</v>
      </c>
      <c r="U7" s="740">
        <f t="shared" si="2"/>
        <v>-0.29365394399559636</v>
      </c>
      <c r="V7" s="740">
        <f t="shared" si="3"/>
        <v>-0.10688129478927152</v>
      </c>
      <c r="W7" s="704">
        <f t="shared" si="4"/>
        <v>-0.74000793886890281</v>
      </c>
      <c r="X7" s="704">
        <f t="shared" si="5"/>
        <v>-0.26934086286896425</v>
      </c>
      <c r="Y7" s="704">
        <f t="shared" si="6"/>
        <v>-0.38762320607418715</v>
      </c>
      <c r="Z7" s="704">
        <f t="shared" si="7"/>
        <v>-0.14108330912183842</v>
      </c>
      <c r="AA7" s="706">
        <f t="shared" si="8"/>
        <v>-0.97493109406537992</v>
      </c>
      <c r="AB7" s="706">
        <f t="shared" si="9"/>
        <v>-0.35484589870038147</v>
      </c>
      <c r="AC7" s="802">
        <f t="shared" ca="1" si="17"/>
        <v>4.2948017393899605</v>
      </c>
      <c r="AD7" s="800">
        <f t="shared" ca="1" si="10"/>
        <v>-7.2955776821561686</v>
      </c>
      <c r="AE7" s="800">
        <f t="shared" ca="1" si="11"/>
        <v>0.54789159971414902</v>
      </c>
      <c r="AF7" s="706">
        <f ca="1">AF3</f>
        <v>-2</v>
      </c>
      <c r="AG7" s="706">
        <f>AG3</f>
        <v>-1.0375000000000001</v>
      </c>
      <c r="AH7" s="704">
        <f ca="1">-AH4</f>
        <v>64.816929133858252</v>
      </c>
      <c r="AI7" s="704">
        <f>AI3</f>
        <v>-0.22585056900797962</v>
      </c>
    </row>
    <row r="8" spans="1:35" ht="10.199999999999999" customHeight="1">
      <c r="A8" s="701"/>
      <c r="B8" s="701"/>
      <c r="C8" s="701"/>
      <c r="D8" s="701"/>
      <c r="E8" s="701"/>
      <c r="F8" s="754" t="s">
        <v>621</v>
      </c>
      <c r="G8" s="734">
        <f ca="1">PivitDia*0.5+HookThick+HGaps+HBeamHigh/2</f>
        <v>3.9375</v>
      </c>
      <c r="H8" s="815">
        <f ca="1">+HBeamMin-HGaps-HPierBeamHeight*0.5</f>
        <v>-9.5661218498199236</v>
      </c>
      <c r="I8" s="815">
        <f ca="1">HBeamMin+0.25</f>
        <v>-7.0661218498199236</v>
      </c>
      <c r="K8" s="703">
        <f ca="1">+$N$16-HGaps-HPierBeamHeight</f>
        <v>-11.566121849819924</v>
      </c>
      <c r="L8" s="703">
        <f ca="1">HookDrop</f>
        <v>2.25</v>
      </c>
      <c r="M8" s="739"/>
      <c r="N8" s="705"/>
      <c r="O8" s="705"/>
      <c r="P8" s="705"/>
      <c r="Q8" s="705"/>
      <c r="R8" s="704">
        <f t="shared" ref="R8" ca="1" si="20">$R$56*COS(-M3/360*2*PI())-$S$56*SIN(-M3/360*2*PI())</f>
        <v>1.1279817114775237</v>
      </c>
      <c r="S8" s="704">
        <f t="shared" ref="S8" ca="1" si="21">$R$56*SIN(-M3/360*2*PI())+$S$56*COS(-M3/360*2*PI())</f>
        <v>-0.22097086912079605</v>
      </c>
      <c r="T8" s="739">
        <f t="shared" si="16"/>
        <v>-155</v>
      </c>
      <c r="U8" s="740">
        <f t="shared" si="2"/>
        <v>-0.28322118344895308</v>
      </c>
      <c r="V8" s="740">
        <f t="shared" si="3"/>
        <v>-0.13206820679396858</v>
      </c>
      <c r="W8" s="704">
        <f t="shared" si="4"/>
        <v>-0.71371738229136183</v>
      </c>
      <c r="X8" s="704">
        <f t="shared" si="5"/>
        <v>-0.33281188112080085</v>
      </c>
      <c r="Y8" s="704">
        <f t="shared" si="6"/>
        <v>-0.37385196215261807</v>
      </c>
      <c r="Z8" s="704">
        <f t="shared" si="7"/>
        <v>-0.17433003296803853</v>
      </c>
      <c r="AA8" s="706">
        <f t="shared" si="8"/>
        <v>-0.94029432905052435</v>
      </c>
      <c r="AB8" s="706">
        <f t="shared" si="9"/>
        <v>-0.43846644655597578</v>
      </c>
      <c r="AC8" s="802">
        <f t="shared" ca="1" si="17"/>
        <v>1.3480891850340249</v>
      </c>
      <c r="AD8" s="800">
        <f t="shared" ca="1" si="10"/>
        <v>-7.3140968598174769</v>
      </c>
      <c r="AE8" s="800">
        <f t="shared" ca="1" si="11"/>
        <v>0.17212218514947247</v>
      </c>
      <c r="AF8" s="705"/>
      <c r="AG8" s="705"/>
      <c r="AH8" s="704">
        <f>AH1</f>
        <v>0</v>
      </c>
      <c r="AI8" s="704">
        <f>AI3</f>
        <v>-0.22585056900797962</v>
      </c>
    </row>
    <row r="9" spans="1:35" ht="10.199999999999999" customHeight="1">
      <c r="A9" s="701"/>
      <c r="B9" s="701"/>
      <c r="C9" s="701"/>
      <c r="D9" s="701"/>
      <c r="E9" s="701"/>
      <c r="F9" s="754" t="s">
        <v>668</v>
      </c>
      <c r="G9" s="756">
        <f>EWRotate</f>
        <v>68.894032923589904</v>
      </c>
      <c r="H9" s="815">
        <f ca="1">+HBeamMin-HGaps-HPierBeamHeight*0.75</f>
        <v>-10.566121849819924</v>
      </c>
      <c r="I9" s="815">
        <f ca="1">HBeamMin+0.5</f>
        <v>-6.8161218498199236</v>
      </c>
      <c r="K9" s="703">
        <f ca="1">+$N$16-HGaps-HPierBeamHeight</f>
        <v>-11.566121849819924</v>
      </c>
      <c r="L9" s="703">
        <f ca="1">HookDrop+HookThick</f>
        <v>2.625</v>
      </c>
      <c r="M9" s="503"/>
      <c r="N9" s="706">
        <f ca="1">$N$57*COS(-M3/360*2*PI())-$O$57*SIN(-M3/360*2*PI())</f>
        <v>-1.1625000000000003</v>
      </c>
      <c r="O9" s="706">
        <f ca="1">$N$57*SIN(-M3/360*2*PI())+$O$57*COS(-M3/360*2*PI())</f>
        <v>1.875</v>
      </c>
      <c r="P9" s="705"/>
      <c r="Q9" s="705"/>
      <c r="R9" s="704">
        <f t="shared" ref="R9" ca="1" si="22">$R$57*COS(-M3/360*2*PI())-$S$57*SIN(-M3/360*2*PI())</f>
        <v>1.3489525805983198</v>
      </c>
      <c r="S9" s="704">
        <f t="shared" ref="S9" ca="1" si="23">$R$57*SIN(-M3/360*2*PI())+$S$57*COS(-M3/360*2*PI())</f>
        <v>8.2633358493251362E-17</v>
      </c>
      <c r="T9" s="739">
        <f t="shared" si="16"/>
        <v>-150</v>
      </c>
      <c r="U9" s="740">
        <f t="shared" si="2"/>
        <v>-0.2706329386826371</v>
      </c>
      <c r="V9" s="740">
        <f t="shared" si="3"/>
        <v>-0.15624999999999997</v>
      </c>
      <c r="W9" s="704">
        <f t="shared" si="4"/>
        <v>-0.6819950054802455</v>
      </c>
      <c r="X9" s="704">
        <f t="shared" si="5"/>
        <v>-0.39374999999999993</v>
      </c>
      <c r="Y9" s="704">
        <f t="shared" si="6"/>
        <v>-0.35723547906108094</v>
      </c>
      <c r="Z9" s="704">
        <f t="shared" si="7"/>
        <v>-0.20624999999999996</v>
      </c>
      <c r="AA9" s="706">
        <f t="shared" si="8"/>
        <v>-0.8985013564263552</v>
      </c>
      <c r="AB9" s="706">
        <f t="shared" si="9"/>
        <v>-0.51874999999999993</v>
      </c>
      <c r="AC9" s="802">
        <f t="shared" ca="1" si="17"/>
        <v>-1.5986233693219107</v>
      </c>
      <c r="AD9" s="800">
        <f t="shared" ca="1" si="10"/>
        <v>-7.3132743099734645</v>
      </c>
      <c r="AE9" s="800">
        <f t="shared" ca="1" si="11"/>
        <v>-0.20410239708205172</v>
      </c>
      <c r="AF9" s="706">
        <f ca="1">-OFFSET(INDIRECT(PanelArrangement),3,2)*12/2</f>
        <v>-64.816929133858252</v>
      </c>
      <c r="AG9" s="706">
        <f>-PivitDia*0.5-HBearingThick-HookThick-HGaps</f>
        <v>-1.0375000000000001</v>
      </c>
      <c r="AH9" s="704">
        <v>0</v>
      </c>
      <c r="AI9" s="704">
        <f ca="1">AI5</f>
        <v>1.3489525805983198</v>
      </c>
    </row>
    <row r="10" spans="1:35" ht="10.199999999999999" customHeight="1">
      <c r="A10" s="701"/>
      <c r="B10" s="701"/>
      <c r="C10" s="701"/>
      <c r="D10" s="701"/>
      <c r="E10" s="701"/>
      <c r="F10" s="754" t="s">
        <v>646</v>
      </c>
      <c r="G10" s="756">
        <f ca="1">DEGREES(ATAN2(HBeamWide/2,PivitDia/2+HookThick+HGaps+HBeamHigh))</f>
        <v>73.918348043186299</v>
      </c>
      <c r="H10" s="815">
        <f ca="1">H3</f>
        <v>-11.566121849819924</v>
      </c>
      <c r="I10" s="815">
        <f ca="1">I3</f>
        <v>-7.3161218498199236</v>
      </c>
      <c r="M10" s="503"/>
      <c r="N10" s="706">
        <f ca="1">$N$58*COS(-M3/360*2*PI())-$O$58*SIN(-M3/360*2*PI())</f>
        <v>-6.9124999999999996</v>
      </c>
      <c r="O10" s="706">
        <f ca="1">$N$58*SIN(-M3/360*2*PI())+$O$58*COS(-M3/360*2*PI())</f>
        <v>1.8749999999999996</v>
      </c>
      <c r="P10" s="705"/>
      <c r="Q10" s="705"/>
      <c r="R10" s="704">
        <f t="shared" ref="R10" ca="1" si="24">$R$58*COS(-M3/360*2*PI())-$S$58*SIN(-M3/360*2*PI())</f>
        <v>1.1279817114775237</v>
      </c>
      <c r="S10" s="704">
        <f t="shared" ref="S10" ca="1" si="25">$R$58*SIN(-M3/360*2*PI())+$S$58*COS(-M3/360*2*PI())</f>
        <v>0.22097086912079617</v>
      </c>
      <c r="T10" s="739">
        <f t="shared" si="16"/>
        <v>-145</v>
      </c>
      <c r="U10" s="740">
        <f t="shared" si="2"/>
        <v>-0.25598501384030997</v>
      </c>
      <c r="V10" s="740">
        <f t="shared" si="3"/>
        <v>-0.17924263635970186</v>
      </c>
      <c r="W10" s="704">
        <f t="shared" si="4"/>
        <v>-0.6450822348775811</v>
      </c>
      <c r="X10" s="704">
        <f t="shared" si="5"/>
        <v>-0.45169144362644864</v>
      </c>
      <c r="Y10" s="704">
        <f t="shared" si="6"/>
        <v>-0.33790021826920913</v>
      </c>
      <c r="Z10" s="704">
        <f t="shared" si="7"/>
        <v>-0.23660027999480643</v>
      </c>
      <c r="AA10" s="706">
        <f t="shared" si="8"/>
        <v>-0.84987024594982918</v>
      </c>
      <c r="AB10" s="706">
        <f t="shared" si="9"/>
        <v>-0.59508555271421026</v>
      </c>
      <c r="AC10" s="802">
        <f t="shared" ca="1" si="17"/>
        <v>-4.5453359236778468</v>
      </c>
      <c r="AD10" s="800">
        <f t="shared" ca="1" si="10"/>
        <v>-7.2931122078120278</v>
      </c>
      <c r="AE10" s="800">
        <f t="shared" ca="1" si="11"/>
        <v>-0.57978724173240836</v>
      </c>
      <c r="AF10" s="706">
        <f ca="1">AF9</f>
        <v>-64.816929133858252</v>
      </c>
      <c r="AG10" s="706">
        <f>AG3+HPVShim</f>
        <v>-0.22585056900797962</v>
      </c>
      <c r="AH10" s="704">
        <f>-R56</f>
        <v>-0.22097086912079611</v>
      </c>
      <c r="AI10" s="704">
        <f ca="1">AI9+AH10</f>
        <v>1.1279817114775237</v>
      </c>
    </row>
    <row r="11" spans="1:35" ht="10.199999999999999" customHeight="1">
      <c r="A11" s="701"/>
      <c r="B11" s="701"/>
      <c r="C11" s="701"/>
      <c r="D11" s="701"/>
      <c r="E11" s="701"/>
      <c r="F11" s="755" t="s">
        <v>629</v>
      </c>
      <c r="G11" s="732">
        <f ca="1">PierHIn</f>
        <v>6</v>
      </c>
      <c r="H11" s="705"/>
      <c r="I11" s="705"/>
      <c r="K11" s="703">
        <f ca="1">+$N$16-HGaps-HPierBeamHeight</f>
        <v>-11.566121849819924</v>
      </c>
      <c r="L11" s="703">
        <f ca="1">HookDrop</f>
        <v>2.25</v>
      </c>
      <c r="M11" s="503"/>
      <c r="N11" s="706">
        <f ca="1">$N$59*COS(-M3/360*2*PI())-$O$59*SIN(-M3/360*2*PI())</f>
        <v>-6.9124999999999996</v>
      </c>
      <c r="O11" s="706">
        <f ca="1">$N$59*SIN(-M3/360*2*PI())+$O$59*COS(-M3/360*2*PI())</f>
        <v>-1.8750000000000004</v>
      </c>
      <c r="P11" s="705"/>
      <c r="Q11" s="705"/>
      <c r="R11" s="705"/>
      <c r="S11" s="705"/>
      <c r="T11" s="739">
        <f t="shared" si="16"/>
        <v>-140</v>
      </c>
      <c r="U11" s="740">
        <f t="shared" si="2"/>
        <v>-0.23938888847468059</v>
      </c>
      <c r="V11" s="740">
        <f t="shared" si="3"/>
        <v>-0.2008711280270436</v>
      </c>
      <c r="W11" s="704">
        <f t="shared" si="4"/>
        <v>-0.60325999895619509</v>
      </c>
      <c r="X11" s="704">
        <f t="shared" si="5"/>
        <v>-0.50619524262814986</v>
      </c>
      <c r="Y11" s="704">
        <f t="shared" si="6"/>
        <v>-0.31599333278657837</v>
      </c>
      <c r="Z11" s="704">
        <f t="shared" si="7"/>
        <v>-0.26514988899569752</v>
      </c>
      <c r="AA11" s="706">
        <f t="shared" si="8"/>
        <v>-0.79477110973593967</v>
      </c>
      <c r="AB11" s="706">
        <f t="shared" si="9"/>
        <v>-0.66689214504978478</v>
      </c>
      <c r="AC11" s="802">
        <f t="shared" ca="1" si="17"/>
        <v>-7.4920484780337819</v>
      </c>
      <c r="AD11" s="800">
        <f t="shared" ca="1" si="10"/>
        <v>-7.2536638709051644</v>
      </c>
      <c r="AE11" s="800">
        <f t="shared" ca="1" si="11"/>
        <v>-0.95393887085997675</v>
      </c>
      <c r="AF11" s="706">
        <f ca="1">-AF9</f>
        <v>64.816929133858252</v>
      </c>
      <c r="AG11" s="706">
        <f>AG10</f>
        <v>-0.22585056900797962</v>
      </c>
      <c r="AH11" s="705"/>
      <c r="AI11" s="705"/>
    </row>
    <row r="12" spans="1:35" ht="10.199999999999999" customHeight="1">
      <c r="A12" s="701"/>
      <c r="B12" s="701"/>
      <c r="C12" s="701"/>
      <c r="D12" s="701"/>
      <c r="E12" s="701"/>
      <c r="F12" s="754" t="s">
        <v>630</v>
      </c>
      <c r="G12" s="733">
        <v>4</v>
      </c>
      <c r="H12" s="815">
        <f ca="1">+HBeamMin-HGaps-HPierBeamHeight+HPierBeamThickness</f>
        <v>-11.441121849819924</v>
      </c>
      <c r="I12" s="815">
        <f ca="1">HookDrop</f>
        <v>2.25</v>
      </c>
      <c r="K12" s="703">
        <f>-PivitDia/2-HBearingThick-HookThick</f>
        <v>-0.78749999999999998</v>
      </c>
      <c r="L12" s="703">
        <f ca="1">HookDrop</f>
        <v>2.25</v>
      </c>
      <c r="M12" s="503"/>
      <c r="N12" s="706">
        <f ca="1">$N$60*COS(-M3/360*2*PI())-$O$60*SIN(-M3/360*2*PI())</f>
        <v>-1.1624999999999999</v>
      </c>
      <c r="O12" s="706">
        <f ca="1">$N$60*SIN(-M3/360*2*PI())+$O$60*COS(-M3/360*2*PI())</f>
        <v>-1.875</v>
      </c>
      <c r="P12" s="705"/>
      <c r="Q12" s="705"/>
      <c r="R12" s="705"/>
      <c r="S12" s="705"/>
      <c r="T12" s="739">
        <f t="shared" si="16"/>
        <v>-135</v>
      </c>
      <c r="U12" s="740">
        <f t="shared" si="2"/>
        <v>-0.22097086912079608</v>
      </c>
      <c r="V12" s="740">
        <f t="shared" si="3"/>
        <v>-0.22097086912079611</v>
      </c>
      <c r="W12" s="704">
        <f t="shared" si="4"/>
        <v>-0.55684659018440608</v>
      </c>
      <c r="X12" s="704">
        <f t="shared" si="5"/>
        <v>-0.55684659018440619</v>
      </c>
      <c r="Y12" s="704">
        <f t="shared" si="6"/>
        <v>-0.29168154723945083</v>
      </c>
      <c r="Z12" s="704">
        <f t="shared" si="7"/>
        <v>-0.29168154723945083</v>
      </c>
      <c r="AA12" s="706">
        <f t="shared" si="8"/>
        <v>-0.73362328548104305</v>
      </c>
      <c r="AB12" s="706">
        <f t="shared" si="9"/>
        <v>-0.73362328548104316</v>
      </c>
      <c r="AC12" s="802">
        <f t="shared" ca="1" si="17"/>
        <v>-10.438761032389717</v>
      </c>
      <c r="AD12" s="800">
        <f t="shared" ca="1" si="10"/>
        <v>-7.195033618213591</v>
      </c>
      <c r="AE12" s="800">
        <f t="shared" ca="1" si="11"/>
        <v>-1.3255678610273922</v>
      </c>
      <c r="AF12" s="706">
        <f ca="1">-AF9</f>
        <v>64.816929133858252</v>
      </c>
      <c r="AG12" s="706">
        <f>AG9</f>
        <v>-1.0375000000000001</v>
      </c>
      <c r="AH12" s="704">
        <v>0</v>
      </c>
      <c r="AI12" s="704">
        <f ca="1">AI5</f>
        <v>1.3489525805983198</v>
      </c>
    </row>
    <row r="13" spans="1:35" ht="10.199999999999999" customHeight="1">
      <c r="A13" s="701"/>
      <c r="B13" s="701"/>
      <c r="C13" s="701"/>
      <c r="D13" s="701"/>
      <c r="E13" s="701"/>
      <c r="F13" s="755" t="s">
        <v>631</v>
      </c>
      <c r="G13" s="732">
        <f ca="1">PierWIn</f>
        <v>3</v>
      </c>
      <c r="H13" s="815">
        <f ca="1">+HBeamMin-HGaps-HPierBeamHeight+HPierBeamThickness</f>
        <v>-11.441121849819924</v>
      </c>
      <c r="I13" s="815">
        <f ca="1">HBeamMin+0.125</f>
        <v>-7.1911218498199236</v>
      </c>
      <c r="K13" s="703">
        <f>-PivitDia/2-HBearingThick-HookThick</f>
        <v>-0.78749999999999998</v>
      </c>
      <c r="L13" s="703">
        <f ca="1">HookDrop+HookThick</f>
        <v>2.625</v>
      </c>
      <c r="M13" s="503"/>
      <c r="N13" s="706">
        <f ca="1">N9</f>
        <v>-1.1625000000000003</v>
      </c>
      <c r="O13" s="706">
        <f ca="1">O9</f>
        <v>1.875</v>
      </c>
      <c r="P13" s="705"/>
      <c r="Q13" s="705"/>
      <c r="R13" s="705"/>
      <c r="S13" s="705"/>
      <c r="T13" s="739">
        <f t="shared" si="16"/>
        <v>-130</v>
      </c>
      <c r="U13" s="740">
        <f t="shared" si="2"/>
        <v>-0.20087112802704354</v>
      </c>
      <c r="V13" s="740">
        <f t="shared" si="3"/>
        <v>-0.23938888847468062</v>
      </c>
      <c r="W13" s="704">
        <f t="shared" si="4"/>
        <v>-0.50619524262814974</v>
      </c>
      <c r="X13" s="704">
        <f t="shared" si="5"/>
        <v>-0.6032599989561952</v>
      </c>
      <c r="Y13" s="704">
        <f t="shared" si="6"/>
        <v>-0.26514988899569747</v>
      </c>
      <c r="Z13" s="704">
        <f t="shared" si="7"/>
        <v>-0.31599333278657843</v>
      </c>
      <c r="AA13" s="706">
        <f t="shared" si="8"/>
        <v>-0.66689214504978467</v>
      </c>
      <c r="AB13" s="706">
        <f t="shared" si="9"/>
        <v>-0.79477110973593978</v>
      </c>
      <c r="AC13" s="802">
        <f t="shared" ca="1" si="17"/>
        <v>-13.385473586745652</v>
      </c>
      <c r="AD13" s="800">
        <f t="shared" ca="1" si="10"/>
        <v>-7.1173764942209763</v>
      </c>
      <c r="AE13" s="800">
        <f t="shared" ca="1" si="11"/>
        <v>-1.6936914597774948</v>
      </c>
      <c r="AF13" s="706">
        <f ca="1">AF9</f>
        <v>-64.816929133858252</v>
      </c>
      <c r="AG13" s="706">
        <f>AG9</f>
        <v>-1.0375000000000001</v>
      </c>
      <c r="AH13" s="704">
        <f>-AH10</f>
        <v>0.22097086912079611</v>
      </c>
      <c r="AI13" s="704">
        <f ca="1">AI10</f>
        <v>1.1279817114775237</v>
      </c>
    </row>
    <row r="14" spans="1:35" ht="10.199999999999999" customHeight="1">
      <c r="A14" s="701"/>
      <c r="B14" s="701"/>
      <c r="C14" s="701"/>
      <c r="D14" s="701"/>
      <c r="E14" s="701"/>
      <c r="F14" s="754" t="s">
        <v>632</v>
      </c>
      <c r="G14" s="733">
        <v>4</v>
      </c>
      <c r="H14" s="705"/>
      <c r="I14" s="705"/>
      <c r="K14" s="703">
        <f>-PivitDia/2-HBearingThick-HookThick</f>
        <v>-0.78749999999999998</v>
      </c>
      <c r="L14" s="703">
        <f>0</f>
        <v>0</v>
      </c>
      <c r="N14" s="705"/>
      <c r="O14" s="705"/>
      <c r="P14" s="705"/>
      <c r="Q14" s="705"/>
      <c r="R14" s="705"/>
      <c r="S14" s="705"/>
      <c r="T14" s="739">
        <f t="shared" si="16"/>
        <v>-125</v>
      </c>
      <c r="U14" s="740">
        <f t="shared" si="2"/>
        <v>-0.17924263635970192</v>
      </c>
      <c r="V14" s="740">
        <f t="shared" si="3"/>
        <v>-0.25598501384030992</v>
      </c>
      <c r="W14" s="704">
        <f t="shared" si="4"/>
        <v>-0.45169144362644886</v>
      </c>
      <c r="X14" s="704">
        <f t="shared" si="5"/>
        <v>-0.64508223487758098</v>
      </c>
      <c r="Y14" s="704">
        <f t="shared" si="6"/>
        <v>-0.23660027999480654</v>
      </c>
      <c r="Z14" s="704">
        <f t="shared" si="7"/>
        <v>-0.33790021826920907</v>
      </c>
      <c r="AA14" s="706">
        <f t="shared" si="8"/>
        <v>-0.59508555271421049</v>
      </c>
      <c r="AB14" s="706">
        <f t="shared" si="9"/>
        <v>-0.84987024594982896</v>
      </c>
      <c r="AC14" s="802">
        <f t="shared" ca="1" si="17"/>
        <v>-16.332186141101587</v>
      </c>
      <c r="AD14" s="800">
        <f t="shared" ca="1" si="10"/>
        <v>-7.0208978589273174</v>
      </c>
      <c r="AE14" s="800">
        <f t="shared" ca="1" si="11"/>
        <v>-2.0573361844682343</v>
      </c>
      <c r="AF14" s="705"/>
      <c r="AG14" s="705"/>
      <c r="AH14" s="705"/>
      <c r="AI14" s="705"/>
    </row>
    <row r="15" spans="1:35" ht="10.199999999999999" customHeight="1">
      <c r="A15" s="701"/>
      <c r="B15" s="701"/>
      <c r="C15" s="701"/>
      <c r="D15" s="701"/>
      <c r="E15" s="701"/>
      <c r="F15" s="755" t="s">
        <v>633</v>
      </c>
      <c r="G15" s="732">
        <f ca="1">PierThickIn</f>
        <v>0.125</v>
      </c>
      <c r="H15" s="815">
        <f ca="1">+HBeamMin-HGaps-HPierBeamThickness</f>
        <v>-7.6911218498199236</v>
      </c>
      <c r="I15" s="815">
        <f ca="1">HookDrop</f>
        <v>2.25</v>
      </c>
      <c r="M15" s="801">
        <f ca="1">MaxWidAng</f>
        <v>73.918348043186299</v>
      </c>
      <c r="N15" s="706">
        <f t="shared" ref="N15" ca="1" si="26">$N$51*COS(-M15/360*2*PI())-$O$51*SIN(-M15/360*2*PI())</f>
        <v>-1.5509143873732709</v>
      </c>
      <c r="O15" s="706">
        <f t="shared" ref="O15" ca="1" si="27">$N$51*SIN(-M15/360*2*PI())+$O$51*COS(-M15/360*2*PI())</f>
        <v>1.6343410944593515</v>
      </c>
      <c r="P15" s="704">
        <f ca="1">$P$51*COS(-M15/360*2*PI())-$Q$51*SIN(-M15/360*2*PI())</f>
        <v>0.89101529634330323</v>
      </c>
      <c r="Q15" s="704">
        <f ca="1">$P$51*SIN(-M15/360*2*PI())+$Q$51*COS(-M15/360*2*PI())</f>
        <v>-3.9060338223322493</v>
      </c>
      <c r="R15" s="704">
        <f t="shared" ref="R15" ca="1" si="28">$R$51*COS(-M15/360*2*PI())-$S$51*SIN(-M15/360*2*PI())</f>
        <v>-0.22726082628640479</v>
      </c>
      <c r="S15" s="704">
        <f t="shared" ref="S15" ca="1" si="29">$R$51*SIN(-M15/360*2*PI())+$S$51*COS(-M15/360*2*PI())</f>
        <v>-2.7013521960449267E-2</v>
      </c>
      <c r="T15" s="739">
        <f t="shared" si="16"/>
        <v>-120</v>
      </c>
      <c r="U15" s="740">
        <f t="shared" si="2"/>
        <v>-0.15624999999999994</v>
      </c>
      <c r="V15" s="740">
        <f t="shared" si="3"/>
        <v>-0.2706329386826371</v>
      </c>
      <c r="W15" s="704">
        <f t="shared" si="4"/>
        <v>-0.39374999999999982</v>
      </c>
      <c r="X15" s="704">
        <f t="shared" si="5"/>
        <v>-0.6819950054802455</v>
      </c>
      <c r="Y15" s="704">
        <f t="shared" si="6"/>
        <v>-0.20624999999999991</v>
      </c>
      <c r="Z15" s="704">
        <f t="shared" si="7"/>
        <v>-0.35723547906108094</v>
      </c>
      <c r="AA15" s="706">
        <f t="shared" si="8"/>
        <v>-0.51874999999999982</v>
      </c>
      <c r="AB15" s="706">
        <f t="shared" si="9"/>
        <v>-0.8985013564263552</v>
      </c>
      <c r="AC15" s="802">
        <f t="shared" ca="1" si="17"/>
        <v>-19.278898695457524</v>
      </c>
      <c r="AD15" s="800">
        <f t="shared" ca="1" si="10"/>
        <v>-6.9058528447856968</v>
      </c>
      <c r="AE15" s="800">
        <f t="shared" ca="1" si="11"/>
        <v>-2.4155403965940625</v>
      </c>
      <c r="AF15" s="705"/>
      <c r="AG15" s="705"/>
      <c r="AH15" s="705"/>
      <c r="AI15" s="705"/>
    </row>
    <row r="16" spans="1:35" ht="10.199999999999999" customHeight="1">
      <c r="A16" s="701"/>
      <c r="B16" s="701"/>
      <c r="C16" s="701"/>
      <c r="D16" s="701"/>
      <c r="E16" s="701"/>
      <c r="F16" s="754" t="s">
        <v>634</v>
      </c>
      <c r="G16" s="733">
        <v>0.125</v>
      </c>
      <c r="H16" s="815">
        <f ca="1">+HBeamMin-HGaps-HPierBeamThickness</f>
        <v>-7.6911218498199236</v>
      </c>
      <c r="I16" s="815">
        <f ca="1">HBeamMin+0.125</f>
        <v>-7.1911218498199236</v>
      </c>
      <c r="J16" s="807">
        <v>1</v>
      </c>
      <c r="K16" s="818">
        <f>(-PivitDia/2-HBearingThick-HookThick)*(J18-J16-0)/J18+(+PivitDia/2+HBearingThick+HookThick)*(J16+0)/J18</f>
        <v>-0.64431818181818179</v>
      </c>
      <c r="L16" s="819">
        <f ca="1">HookDrop</f>
        <v>2.25</v>
      </c>
      <c r="M16" s="739"/>
      <c r="N16" s="706">
        <f t="shared" ref="N16" ca="1" si="30">$N$52*COS(-M15/360*2*PI())-$O$52*SIN(-M15/360*2*PI())</f>
        <v>-7.3161218498199236</v>
      </c>
      <c r="O16" s="706">
        <f t="shared" ref="O16" ca="1" si="31">$N$52*SIN(-M15/360*2*PI())+$O$52*COS(-M15/360*2*PI())</f>
        <v>-2.7700696516259837E-2</v>
      </c>
      <c r="P16" s="704">
        <f ca="1">$P$52*COS(-M15/360*2*PI())-$Q$52*SIN(-M15/360*2*PI())</f>
        <v>2.4041931080090917</v>
      </c>
      <c r="Q16" s="704">
        <f ca="1">$P$52*SIN(-M15/360*2*PI())+$Q$52*COS(-M15/360*2*PI())</f>
        <v>-3.4698023811313012</v>
      </c>
      <c r="R16" s="704">
        <f t="shared" ref="R16" ca="1" si="32">$R$52*COS(-M15/360*2*PI())-$S$52*SIN(-M15/360*2*PI())</f>
        <v>-0.20676430232780416</v>
      </c>
      <c r="S16" s="704">
        <f t="shared" ref="S16" ca="1" si="33">$R$52*SIN(-M15/360*2*PI())+$S$52*COS(-M15/360*2*PI())</f>
        <v>-9.8110839441845205E-2</v>
      </c>
      <c r="T16" s="739">
        <f t="shared" si="16"/>
        <v>-115</v>
      </c>
      <c r="U16" s="740">
        <f t="shared" si="2"/>
        <v>-0.13206820679396855</v>
      </c>
      <c r="V16" s="740">
        <f t="shared" si="3"/>
        <v>-0.28322118344895314</v>
      </c>
      <c r="W16" s="704">
        <f t="shared" si="4"/>
        <v>-0.33281188112080073</v>
      </c>
      <c r="X16" s="704">
        <f t="shared" si="5"/>
        <v>-0.71371738229136195</v>
      </c>
      <c r="Y16" s="704">
        <f t="shared" si="6"/>
        <v>-0.17433003296803845</v>
      </c>
      <c r="Z16" s="704">
        <f t="shared" si="7"/>
        <v>-0.37385196215261812</v>
      </c>
      <c r="AA16" s="706">
        <f t="shared" si="8"/>
        <v>-0.43846644655597561</v>
      </c>
      <c r="AB16" s="706">
        <f t="shared" si="9"/>
        <v>-0.94029432905052446</v>
      </c>
      <c r="AC16" s="802">
        <f t="shared" ca="1" si="17"/>
        <v>-22.225611249813461</v>
      </c>
      <c r="AD16" s="800">
        <f t="shared" ca="1" si="10"/>
        <v>-6.7725456820185226</v>
      </c>
      <c r="AE16" s="800">
        <f t="shared" ca="1" si="11"/>
        <v>-2.7673568447861516</v>
      </c>
      <c r="AF16" s="705"/>
      <c r="AG16" s="705"/>
      <c r="AH16" s="705"/>
      <c r="AI16" s="705"/>
    </row>
    <row r="17" spans="1:35" ht="10.199999999999999" customHeight="1">
      <c r="A17" s="701"/>
      <c r="B17" s="701"/>
      <c r="C17" s="701"/>
      <c r="D17" s="701"/>
      <c r="E17" s="701"/>
      <c r="F17" s="754" t="s">
        <v>635</v>
      </c>
      <c r="G17" s="735">
        <f ca="1">HBeamMin-HGaps-HPierBeamHeight/2</f>
        <v>-9.5661218498199236</v>
      </c>
      <c r="H17" s="503"/>
      <c r="J17" s="808">
        <v>1</v>
      </c>
      <c r="K17" s="820">
        <f>(-PivitDia/2-HBearingThick-HookThick)*(J18-J16-J17)/J18+(+PivitDia/2+HBearingThick+HookThick)*(J16+J17)/J18</f>
        <v>-0.5011363636363636</v>
      </c>
      <c r="L17" s="821">
        <f ca="1">HookDrop</f>
        <v>2.25</v>
      </c>
      <c r="M17" s="739"/>
      <c r="N17" s="706">
        <f t="shared" ref="N17" ca="1" si="34">$N$53*COS(-M15/360*2*PI())-$O$53*SIN(-M15/360*2*PI())</f>
        <v>-6.2080939891695159</v>
      </c>
      <c r="O17" s="706">
        <f t="shared" ref="O17" ca="1" si="35">$N$53*SIN(-M15/360*2*PI())+$O$53*COS(-M15/360*2*PI())</f>
        <v>-3.8711723381473622</v>
      </c>
      <c r="P17" s="704">
        <f ca="1">$P$53*COS(-M15/360*2*PI())-$Q$53*SIN(-M15/360*2*PI())</f>
        <v>0.18813738670827629</v>
      </c>
      <c r="Q17" s="704">
        <f ca="1">$P$53*SIN(-M15/360*2*PI())+$Q$53*COS(-M15/360*2*PI())</f>
        <v>4.217140902130903</v>
      </c>
      <c r="R17" s="704">
        <f t="shared" ref="R17" ca="1" si="36">$R$53*COS(-M15/360*2*PI())-$S$53*SIN(-M15/360*2*PI())</f>
        <v>-0.21701256430710447</v>
      </c>
      <c r="S17" s="704">
        <f t="shared" ref="S17" ca="1" si="37">$R$53*SIN(-M15/360*2*PI())+$S$53*COS(-M15/360*2*PI())</f>
        <v>-6.2562180701147233E-2</v>
      </c>
      <c r="T17" s="739">
        <f t="shared" si="16"/>
        <v>-110</v>
      </c>
      <c r="U17" s="740">
        <f t="shared" si="2"/>
        <v>-0.10688129478927147</v>
      </c>
      <c r="V17" s="740">
        <f t="shared" si="3"/>
        <v>-0.29365394399559641</v>
      </c>
      <c r="W17" s="704">
        <f t="shared" si="4"/>
        <v>-0.26934086286896408</v>
      </c>
      <c r="X17" s="704">
        <f t="shared" si="5"/>
        <v>-0.74000793886890281</v>
      </c>
      <c r="Y17" s="704">
        <f t="shared" si="6"/>
        <v>-0.14108330912183834</v>
      </c>
      <c r="Z17" s="704">
        <f t="shared" si="7"/>
        <v>-0.38762320607418721</v>
      </c>
      <c r="AA17" s="706">
        <f t="shared" si="8"/>
        <v>-0.3548458987003813</v>
      </c>
      <c r="AB17" s="706">
        <f t="shared" si="9"/>
        <v>-0.97493109406538003</v>
      </c>
      <c r="AC17" s="802">
        <f t="shared" ca="1" si="17"/>
        <v>-25.172323804169398</v>
      </c>
      <c r="AD17" s="800">
        <f t="shared" ca="1" si="10"/>
        <v>-6.6213288940974095</v>
      </c>
      <c r="AE17" s="800">
        <f t="shared" ca="1" si="11"/>
        <v>-3.1118551697666255</v>
      </c>
      <c r="AF17" s="705"/>
      <c r="AG17" s="705"/>
      <c r="AH17" s="705"/>
      <c r="AI17" s="705"/>
    </row>
    <row r="18" spans="1:35" ht="10.199999999999999" customHeight="1">
      <c r="A18" s="701"/>
      <c r="B18" s="701"/>
      <c r="C18" s="701"/>
      <c r="D18" s="701"/>
      <c r="E18" s="701"/>
      <c r="F18" s="754" t="s">
        <v>650</v>
      </c>
      <c r="G18" s="733">
        <v>2</v>
      </c>
      <c r="H18" s="503"/>
      <c r="J18" s="809">
        <v>11</v>
      </c>
      <c r="K18" s="804"/>
      <c r="L18" s="805"/>
      <c r="M18" s="739"/>
      <c r="N18" s="706">
        <f t="shared" ref="N18" ca="1" si="38">$N$54*COS(-M15/360*2*PI())-$O$54*SIN(-M15/360*2*PI())</f>
        <v>-0.44288652672286333</v>
      </c>
      <c r="O18" s="706">
        <f t="shared" ref="O18" ca="1" si="39">$N$54*SIN(-M15/360*2*PI())+$O$54*COS(-M15/360*2*PI())</f>
        <v>-2.2091305471717506</v>
      </c>
      <c r="P18" s="704">
        <f ca="1">$P$54*COS(-M15/360*2*PI())-$Q$54*SIN(-M15/360*2*PI())</f>
        <v>-1.3250404249575123</v>
      </c>
      <c r="Q18" s="704">
        <f ca="1">$P$54*SIN(-M15/360*2*PI())+$Q$54*COS(-M15/360*2*PI())</f>
        <v>3.7809094609299549</v>
      </c>
      <c r="R18" s="704">
        <f t="shared" ref="R18" ca="1" si="40">$R$54*COS(-M15/360*2*PI())-$S$54*SIN(-M15/360*2*PI())</f>
        <v>1.296165247358684</v>
      </c>
      <c r="S18" s="704">
        <f t="shared" ref="S18" ca="1" si="41">$R$54*SIN(-M15/360*2*PI())+$S$54*COS(-M15/360*2*PI())</f>
        <v>0.37366926049980076</v>
      </c>
      <c r="T18" s="739">
        <f t="shared" si="16"/>
        <v>-105</v>
      </c>
      <c r="U18" s="740">
        <f t="shared" si="2"/>
        <v>-8.0880951594537759E-2</v>
      </c>
      <c r="V18" s="740">
        <f t="shared" si="3"/>
        <v>-0.30185182071533384</v>
      </c>
      <c r="W18" s="704">
        <f t="shared" si="4"/>
        <v>-0.20381999801823517</v>
      </c>
      <c r="X18" s="704">
        <f t="shared" si="5"/>
        <v>-0.76066658820264133</v>
      </c>
      <c r="Y18" s="704">
        <f t="shared" si="6"/>
        <v>-0.10676285610478985</v>
      </c>
      <c r="Z18" s="704">
        <f t="shared" si="7"/>
        <v>-0.39844440334424064</v>
      </c>
      <c r="AA18" s="706">
        <f t="shared" si="8"/>
        <v>-0.26852475929386538</v>
      </c>
      <c r="AB18" s="706">
        <f t="shared" si="9"/>
        <v>-1.0021480447749085</v>
      </c>
      <c r="AC18" s="802">
        <f t="shared" ca="1" si="17"/>
        <v>-28.119036358525335</v>
      </c>
      <c r="AD18" s="800">
        <f t="shared" ca="1" si="10"/>
        <v>-6.4526023655142177</v>
      </c>
      <c r="AE18" s="800">
        <f t="shared" ca="1" si="11"/>
        <v>-3.4481243646325783</v>
      </c>
      <c r="AF18" s="705"/>
      <c r="AG18" s="705"/>
      <c r="AH18" s="705"/>
      <c r="AI18" s="705"/>
    </row>
    <row r="19" spans="1:35" ht="10.199999999999999" customHeight="1">
      <c r="A19" s="701"/>
      <c r="B19" s="701"/>
      <c r="C19" s="701"/>
      <c r="D19" s="701"/>
      <c r="E19" s="701"/>
      <c r="F19" s="754" t="s">
        <v>617</v>
      </c>
      <c r="G19" s="733">
        <f>3/8</f>
        <v>0.375</v>
      </c>
      <c r="H19" s="503"/>
      <c r="J19" s="807">
        <f>J16+J17+1</f>
        <v>3</v>
      </c>
      <c r="K19" s="818">
        <f>(-PivitDia/2-HBearingThick-HookThick)*(J21-J19-0)/J21+(+PivitDia/2+HBearingThick+HookThick)*(J19+0)/J21</f>
        <v>-0.35795454545454553</v>
      </c>
      <c r="L19" s="819">
        <f ca="1">HookDrop</f>
        <v>2.25</v>
      </c>
      <c r="M19" s="739"/>
      <c r="N19" s="706">
        <f t="shared" ref="N19:O19" ca="1" si="42">N15</f>
        <v>-1.5509143873732709</v>
      </c>
      <c r="O19" s="706">
        <f t="shared" ca="1" si="42"/>
        <v>1.6343410944593515</v>
      </c>
      <c r="P19" s="704">
        <f ca="1">P15</f>
        <v>0.89101529634330323</v>
      </c>
      <c r="Q19" s="704">
        <f ca="1">Q15</f>
        <v>-3.9060338223322493</v>
      </c>
      <c r="R19" s="705"/>
      <c r="S19" s="705"/>
      <c r="T19" s="739">
        <f t="shared" si="16"/>
        <v>-100</v>
      </c>
      <c r="U19" s="740">
        <f t="shared" si="2"/>
        <v>-5.426505552091572E-2</v>
      </c>
      <c r="V19" s="740">
        <f t="shared" si="3"/>
        <v>-0.30775242281631499</v>
      </c>
      <c r="W19" s="704">
        <f t="shared" si="4"/>
        <v>-0.13674793991270762</v>
      </c>
      <c r="X19" s="704">
        <f t="shared" si="5"/>
        <v>-0.77553610549711383</v>
      </c>
      <c r="Y19" s="704">
        <f t="shared" si="6"/>
        <v>-7.1629873287608753E-2</v>
      </c>
      <c r="Z19" s="704">
        <f t="shared" si="7"/>
        <v>-0.40623319811753578</v>
      </c>
      <c r="AA19" s="706">
        <f t="shared" si="8"/>
        <v>-0.18015998432944019</v>
      </c>
      <c r="AB19" s="706">
        <f t="shared" si="9"/>
        <v>-1.021738043750166</v>
      </c>
      <c r="AC19" s="802">
        <f t="shared" ca="1" si="17"/>
        <v>-31.065748912881272</v>
      </c>
      <c r="AD19" s="800">
        <f t="shared" ca="1" si="10"/>
        <v>-6.2668122843084717</v>
      </c>
      <c r="AE19" s="800">
        <f t="shared" ca="1" si="11"/>
        <v>-3.7752751839638057</v>
      </c>
      <c r="AF19" s="705"/>
      <c r="AG19" s="705"/>
      <c r="AH19" s="705"/>
      <c r="AI19" s="705"/>
    </row>
    <row r="20" spans="1:35" ht="10.199999999999999" customHeight="1">
      <c r="A20" s="701"/>
      <c r="B20" s="701"/>
      <c r="C20" s="701"/>
      <c r="D20" s="701"/>
      <c r="E20" s="701"/>
      <c r="F20" s="754" t="s">
        <v>643</v>
      </c>
      <c r="G20" s="734">
        <f ca="1">ABS(HBeamMin-HGaps)</f>
        <v>7.5661218498199236</v>
      </c>
      <c r="H20" s="503"/>
      <c r="J20" s="808">
        <f>J17</f>
        <v>1</v>
      </c>
      <c r="K20" s="820">
        <f>(-PivitDia/2-HBearingThick-HookThick)*(J21-J19-J20)/J21+(+PivitDia/2+HBearingThick+HookThick)*(J19+J20)/J21</f>
        <v>-0.21477272727272723</v>
      </c>
      <c r="L20" s="821">
        <f ca="1">HookDrop</f>
        <v>2.25</v>
      </c>
      <c r="M20" s="739"/>
      <c r="N20" s="705"/>
      <c r="O20" s="705"/>
      <c r="P20" s="705"/>
      <c r="Q20" s="705"/>
      <c r="R20" s="704">
        <f t="shared" ref="R20" ca="1" si="43">$R$56*COS(-M15/360*2*PI())-$S$56*SIN(-M15/360*2*PI())</f>
        <v>1.1450518999300887</v>
      </c>
      <c r="S20" s="704">
        <f t="shared" ref="S20" ca="1" si="44">$R$56*SIN(-M15/360*2*PI())+$S$56*COS(-M15/360*2*PI())</f>
        <v>0.10013497338221711</v>
      </c>
      <c r="T20" s="739">
        <f t="shared" si="16"/>
        <v>-95</v>
      </c>
      <c r="U20" s="740">
        <f t="shared" si="2"/>
        <v>-2.7236169608643199E-2</v>
      </c>
      <c r="V20" s="740">
        <f t="shared" si="3"/>
        <v>-0.31131084315367047</v>
      </c>
      <c r="W20" s="704">
        <f t="shared" si="4"/>
        <v>-6.8635147413780864E-2</v>
      </c>
      <c r="X20" s="704">
        <f t="shared" si="5"/>
        <v>-0.7845033247472496</v>
      </c>
      <c r="Y20" s="704">
        <f t="shared" si="6"/>
        <v>-3.5951743883409021E-2</v>
      </c>
      <c r="Z20" s="704">
        <f t="shared" si="7"/>
        <v>-0.41093031296284499</v>
      </c>
      <c r="AA20" s="706">
        <f t="shared" si="8"/>
        <v>-9.0424083100695427E-2</v>
      </c>
      <c r="AB20" s="706">
        <f t="shared" si="9"/>
        <v>-1.033551999270186</v>
      </c>
      <c r="AC20" s="802">
        <f t="shared" ca="1" si="17"/>
        <v>-34.012461467237209</v>
      </c>
      <c r="AD20" s="800">
        <f t="shared" ca="1" si="10"/>
        <v>-6.0644499621475907</v>
      </c>
      <c r="AE20" s="800">
        <f t="shared" ca="1" si="11"/>
        <v>-4.0924424953834828</v>
      </c>
      <c r="AF20" s="705"/>
      <c r="AG20" s="705"/>
      <c r="AH20" s="705"/>
      <c r="AI20" s="705"/>
    </row>
    <row r="21" spans="1:35" ht="10.199999999999999" customHeight="1">
      <c r="A21" s="701"/>
      <c r="B21" s="701"/>
      <c r="C21" s="701"/>
      <c r="D21" s="701"/>
      <c r="E21" s="701"/>
      <c r="F21" s="754" t="s">
        <v>618</v>
      </c>
      <c r="G21" s="734">
        <f ca="1">HBeamMax+HGaps</f>
        <v>2.25</v>
      </c>
      <c r="H21" s="503"/>
      <c r="J21" s="809">
        <f>J18</f>
        <v>11</v>
      </c>
      <c r="K21" s="804"/>
      <c r="L21" s="805"/>
      <c r="M21" s="503"/>
      <c r="N21" s="706">
        <f t="shared" ref="N21" ca="1" si="45">$N$57*COS(-M15/360*2*PI())-$O$57*SIN(-M15/360*2*PI())</f>
        <v>-1.6363970055289176</v>
      </c>
      <c r="O21" s="706">
        <f t="shared" ref="O21" ca="1" si="46">$N$57*SIN(-M15/360*2*PI())+$O$57*COS(-M15/360*2*PI())</f>
        <v>1.4796067350130544</v>
      </c>
      <c r="P21" s="705"/>
      <c r="Q21" s="705"/>
      <c r="R21" s="704">
        <f t="shared" ref="R21" ca="1" si="47">$R$57*COS(-M15/360*2*PI())-$S$57*SIN(-M15/360*2*PI())</f>
        <v>1.296165247358684</v>
      </c>
      <c r="S21" s="704">
        <f t="shared" ref="S21" ca="1" si="48">$R$57*SIN(-M15/360*2*PI())+$S$57*COS(-M15/360*2*PI())</f>
        <v>0.37366926049980076</v>
      </c>
      <c r="T21" s="739">
        <f t="shared" si="16"/>
        <v>-90</v>
      </c>
      <c r="U21" s="740">
        <f t="shared" si="2"/>
        <v>1.9142944607947188E-17</v>
      </c>
      <c r="V21" s="740">
        <f t="shared" si="3"/>
        <v>-0.3125</v>
      </c>
      <c r="W21" s="704">
        <f t="shared" si="4"/>
        <v>4.8240220412026913E-17</v>
      </c>
      <c r="X21" s="704">
        <f t="shared" si="5"/>
        <v>-0.78749999999999998</v>
      </c>
      <c r="Y21" s="704">
        <f t="shared" si="6"/>
        <v>2.5268686882490288E-17</v>
      </c>
      <c r="Z21" s="704">
        <f t="shared" si="7"/>
        <v>-0.41249999999999998</v>
      </c>
      <c r="AA21" s="706">
        <f t="shared" si="8"/>
        <v>6.3554576098384663E-17</v>
      </c>
      <c r="AB21" s="706">
        <f t="shared" si="9"/>
        <v>-1.0375000000000001</v>
      </c>
      <c r="AC21" s="802">
        <f t="shared" ca="1" si="17"/>
        <v>-36.959174021593142</v>
      </c>
      <c r="AD21" s="800">
        <f t="shared" ca="1" si="10"/>
        <v>-5.8460505350801686</v>
      </c>
      <c r="AE21" s="800">
        <f t="shared" ca="1" si="11"/>
        <v>-4.3987875673532342</v>
      </c>
      <c r="AF21" s="705"/>
      <c r="AG21" s="705"/>
      <c r="AH21" s="705"/>
      <c r="AI21" s="705"/>
    </row>
    <row r="22" spans="1:35" ht="10.199999999999999" customHeight="1">
      <c r="A22" s="701"/>
      <c r="B22" s="701"/>
      <c r="C22" s="701"/>
      <c r="D22" s="701"/>
      <c r="E22" s="701"/>
      <c r="F22" s="754" t="s">
        <v>644</v>
      </c>
      <c r="G22" s="733">
        <f>5/8</f>
        <v>0.625</v>
      </c>
      <c r="H22" s="503"/>
      <c r="J22" s="807">
        <f t="shared" ref="J22" si="49">J19+J20+1</f>
        <v>5</v>
      </c>
      <c r="K22" s="818">
        <f>(-PivitDia/2-HBearingThick-HookThick)*(J24-J22-0)/J24+(+PivitDia/2+HBearingThick+HookThick)*(J22+0)/J24</f>
        <v>-7.1590909090909038E-2</v>
      </c>
      <c r="L22" s="819">
        <f ca="1">HookDrop</f>
        <v>2.25</v>
      </c>
      <c r="M22" s="503"/>
      <c r="N22" s="706">
        <f t="shared" ref="N22" ca="1" si="50">$N$58*COS(-M15/360*2*PI())-$O$58*SIN(-M15/360*2*PI())</f>
        <v>-7.1613874903736274</v>
      </c>
      <c r="O22" s="706">
        <f t="shared" ref="O22" ca="1" si="51">$N$58*SIN(-M15/360*2*PI())+$O$58*COS(-M15/360*2*PI())</f>
        <v>-0.11318331467190679</v>
      </c>
      <c r="P22" s="705"/>
      <c r="Q22" s="705"/>
      <c r="R22" s="704">
        <f t="shared" ref="R22" ca="1" si="52">$R$58*COS(-M15/360*2*PI())-$S$58*SIN(-M15/360*2*PI())</f>
        <v>1.0226309602411003</v>
      </c>
      <c r="S22" s="704">
        <f t="shared" ref="S22" ca="1" si="53">$R$58*SIN(-M15/360*2*PI())+$S$58*COS(-M15/360*2*PI())</f>
        <v>0.52478260792839593</v>
      </c>
      <c r="T22" s="739">
        <f t="shared" si="16"/>
        <v>-85</v>
      </c>
      <c r="U22" s="740">
        <f t="shared" si="2"/>
        <v>2.7236169608643168E-2</v>
      </c>
      <c r="V22" s="740">
        <f t="shared" si="3"/>
        <v>-0.31131084315367047</v>
      </c>
      <c r="W22" s="704">
        <f t="shared" si="4"/>
        <v>6.8635147413780781E-2</v>
      </c>
      <c r="X22" s="704">
        <f t="shared" si="5"/>
        <v>-0.7845033247472496</v>
      </c>
      <c r="Y22" s="704">
        <f t="shared" si="6"/>
        <v>3.5951743883408979E-2</v>
      </c>
      <c r="Z22" s="704">
        <f t="shared" si="7"/>
        <v>-0.41093031296284499</v>
      </c>
      <c r="AA22" s="706">
        <f t="shared" si="8"/>
        <v>9.0424083100695329E-2</v>
      </c>
      <c r="AB22" s="706">
        <f t="shared" si="9"/>
        <v>-1.033551999270186</v>
      </c>
      <c r="AC22" s="802">
        <f t="shared" ca="1" si="17"/>
        <v>-39.905886575949076</v>
      </c>
      <c r="AD22" s="800">
        <f t="shared" ca="1" si="10"/>
        <v>-5.6121915483980711</v>
      </c>
      <c r="AE22" s="800">
        <f t="shared" ca="1" si="11"/>
        <v>-4.6935002871526237</v>
      </c>
      <c r="AF22" s="705"/>
      <c r="AG22" s="705"/>
      <c r="AH22" s="705"/>
      <c r="AI22" s="705"/>
    </row>
    <row r="23" spans="1:35" ht="10.199999999999999" customHeight="1">
      <c r="A23" s="701"/>
      <c r="B23" s="701"/>
      <c r="C23" s="701"/>
      <c r="D23" s="701"/>
      <c r="E23" s="701"/>
      <c r="F23" s="754" t="s">
        <v>637</v>
      </c>
      <c r="G23" s="733">
        <v>0.1</v>
      </c>
      <c r="H23" s="503"/>
      <c r="J23" s="808">
        <f t="shared" ref="J23:J24" si="54">J20</f>
        <v>1</v>
      </c>
      <c r="K23" s="820">
        <f>(-PivitDia/2-HBearingThick-HookThick)*(J24-J22-J23)/J24+(+PivitDia/2+HBearingThick+HookThick)*(J22+J23)/J24</f>
        <v>7.1590909090909038E-2</v>
      </c>
      <c r="L23" s="821">
        <f ca="1">HookDrop</f>
        <v>2.25</v>
      </c>
      <c r="M23" s="503"/>
      <c r="N23" s="706">
        <f t="shared" ref="N23" ca="1" si="55">$N$59*COS(-M15/360*2*PI())-$O$59*SIN(-M15/360*2*PI())</f>
        <v>-6.1226113710138694</v>
      </c>
      <c r="O23" s="706">
        <f t="shared" ref="O23" ca="1" si="56">$N$59*SIN(-M15/360*2*PI())+$O$59*COS(-M15/360*2*PI())</f>
        <v>-3.7164379787010651</v>
      </c>
      <c r="P23" s="705"/>
      <c r="Q23" s="705"/>
      <c r="R23" s="705"/>
      <c r="S23" s="705"/>
      <c r="T23" s="739">
        <f t="shared" si="16"/>
        <v>-80</v>
      </c>
      <c r="U23" s="740">
        <f t="shared" si="2"/>
        <v>5.4265055520915755E-2</v>
      </c>
      <c r="V23" s="740">
        <f t="shared" si="3"/>
        <v>-0.30775242281631499</v>
      </c>
      <c r="W23" s="704">
        <f t="shared" si="4"/>
        <v>0.1367479399127077</v>
      </c>
      <c r="X23" s="704">
        <f t="shared" si="5"/>
        <v>-0.77553610549711383</v>
      </c>
      <c r="Y23" s="704">
        <f t="shared" si="6"/>
        <v>7.1629873287608795E-2</v>
      </c>
      <c r="Z23" s="704">
        <f t="shared" si="7"/>
        <v>-0.40623319811753578</v>
      </c>
      <c r="AA23" s="706">
        <f t="shared" si="8"/>
        <v>0.18015998432944033</v>
      </c>
      <c r="AB23" s="706">
        <f t="shared" si="9"/>
        <v>-1.021738043750166</v>
      </c>
      <c r="AC23" s="802">
        <f t="shared" ca="1" si="17"/>
        <v>-42.852599130305009</v>
      </c>
      <c r="AD23" s="800">
        <f t="shared" ca="1" si="10"/>
        <v>-5.3634914293496365</v>
      </c>
      <c r="AE23" s="800">
        <f t="shared" ca="1" si="11"/>
        <v>-4.9758013031777608</v>
      </c>
      <c r="AF23" s="705"/>
      <c r="AG23" s="705"/>
      <c r="AH23" s="705"/>
      <c r="AI23" s="705"/>
    </row>
    <row r="24" spans="1:35" ht="10.199999999999999" customHeight="1">
      <c r="A24" s="701"/>
      <c r="B24" s="701"/>
      <c r="C24" s="701"/>
      <c r="D24" s="701"/>
      <c r="E24" s="701"/>
      <c r="F24" s="754" t="s">
        <v>636</v>
      </c>
      <c r="G24" s="736">
        <f>PivitDia*HookWidth</f>
        <v>1.25</v>
      </c>
      <c r="H24" s="503"/>
      <c r="J24" s="809">
        <f t="shared" si="54"/>
        <v>11</v>
      </c>
      <c r="K24" s="804"/>
      <c r="L24" s="805"/>
      <c r="M24" s="503"/>
      <c r="N24" s="706">
        <f t="shared" ref="N24" ca="1" si="57">$N$60*COS(-M15/360*2*PI())-$O$60*SIN(-M15/360*2*PI())</f>
        <v>-0.59762088616916054</v>
      </c>
      <c r="O24" s="706">
        <f t="shared" ref="O24" ca="1" si="58">$N$60*SIN(-M15/360*2*PI())+$O$60*COS(-M15/360*2*PI())</f>
        <v>-2.1236479290161037</v>
      </c>
      <c r="P24" s="705"/>
      <c r="Q24" s="705"/>
      <c r="R24" s="705"/>
      <c r="S24" s="705"/>
      <c r="T24" s="739">
        <f t="shared" si="16"/>
        <v>-75</v>
      </c>
      <c r="U24" s="740">
        <f t="shared" si="2"/>
        <v>8.0880951594537731E-2</v>
      </c>
      <c r="V24" s="740">
        <f t="shared" si="3"/>
        <v>-0.30185182071533384</v>
      </c>
      <c r="W24" s="704">
        <f t="shared" si="4"/>
        <v>0.20381999801823508</v>
      </c>
      <c r="X24" s="704">
        <f t="shared" si="5"/>
        <v>-0.76066658820264133</v>
      </c>
      <c r="Y24" s="704">
        <f t="shared" si="6"/>
        <v>0.10676285610478981</v>
      </c>
      <c r="Z24" s="704">
        <f t="shared" si="7"/>
        <v>-0.39844440334424064</v>
      </c>
      <c r="AA24" s="706">
        <f t="shared" si="8"/>
        <v>0.26852475929386527</v>
      </c>
      <c r="AB24" s="706">
        <f t="shared" si="9"/>
        <v>-1.0021480447749085</v>
      </c>
      <c r="AC24" s="802">
        <f t="shared" ca="1" si="17"/>
        <v>-45.799311684660942</v>
      </c>
      <c r="AD24" s="800">
        <f t="shared" ca="1" si="10"/>
        <v>-5.1006078517427662</v>
      </c>
      <c r="AE24" s="800">
        <f t="shared" ca="1" si="11"/>
        <v>-5.2449440858938194</v>
      </c>
      <c r="AF24" s="705"/>
      <c r="AG24" s="705"/>
      <c r="AH24" s="705"/>
      <c r="AI24" s="705"/>
    </row>
    <row r="25" spans="1:35" ht="10.199999999999999" customHeight="1">
      <c r="A25" s="701"/>
      <c r="B25" s="701"/>
      <c r="C25" s="701"/>
      <c r="D25" s="701"/>
      <c r="E25" s="701"/>
      <c r="F25" s="755" t="s">
        <v>653</v>
      </c>
      <c r="G25" s="734">
        <f>HGaps</f>
        <v>0.25</v>
      </c>
      <c r="H25" s="503"/>
      <c r="J25" s="807">
        <f t="shared" ref="J25" si="59">J22+J23+1</f>
        <v>7</v>
      </c>
      <c r="K25" s="818">
        <f>(-PivitDia/2-HBearingThick-HookThick)*(J27-J25-0)/J27+(+PivitDia/2+HBearingThick+HookThick)*(J25+0)/J27</f>
        <v>0.21477272727272723</v>
      </c>
      <c r="L25" s="819">
        <f ca="1">HookDrop</f>
        <v>2.25</v>
      </c>
      <c r="M25" s="503"/>
      <c r="N25" s="706">
        <f t="shared" ref="N25:O25" ca="1" si="60">N21</f>
        <v>-1.6363970055289176</v>
      </c>
      <c r="O25" s="706">
        <f t="shared" ca="1" si="60"/>
        <v>1.4796067350130544</v>
      </c>
      <c r="P25" s="705"/>
      <c r="Q25" s="705"/>
      <c r="R25" s="705"/>
      <c r="S25" s="705"/>
      <c r="T25" s="739">
        <f t="shared" si="16"/>
        <v>-70</v>
      </c>
      <c r="U25" s="740">
        <f t="shared" si="2"/>
        <v>0.10688129478927151</v>
      </c>
      <c r="V25" s="740">
        <f t="shared" si="3"/>
        <v>-0.29365394399559636</v>
      </c>
      <c r="W25" s="704">
        <f t="shared" si="4"/>
        <v>0.26934086286896419</v>
      </c>
      <c r="X25" s="704">
        <f t="shared" si="5"/>
        <v>-0.74000793886890281</v>
      </c>
      <c r="Y25" s="704">
        <f t="shared" si="6"/>
        <v>0.14108330912183839</v>
      </c>
      <c r="Z25" s="704">
        <f t="shared" si="7"/>
        <v>-0.38762320607418715</v>
      </c>
      <c r="AA25" s="706">
        <f t="shared" si="8"/>
        <v>0.35484589870038141</v>
      </c>
      <c r="AB25" s="706">
        <f t="shared" si="9"/>
        <v>-0.97493109406537992</v>
      </c>
      <c r="AC25" s="802">
        <f t="shared" ca="1" si="17"/>
        <v>-48.746024239016876</v>
      </c>
      <c r="AD25" s="800">
        <f t="shared" ca="1" si="10"/>
        <v>-4.8242359967626633</v>
      </c>
      <c r="AE25" s="800">
        <f t="shared" ca="1" si="11"/>
        <v>-5.500216901991398</v>
      </c>
      <c r="AF25" s="705"/>
      <c r="AG25" s="705"/>
      <c r="AH25" s="705"/>
      <c r="AI25" s="705"/>
    </row>
    <row r="26" spans="1:35" ht="10.199999999999999" customHeight="1">
      <c r="A26" s="701"/>
      <c r="B26" s="701"/>
      <c r="C26" s="701"/>
      <c r="D26" s="701"/>
      <c r="E26" s="701"/>
      <c r="F26" s="755" t="s">
        <v>651</v>
      </c>
      <c r="G26" s="737">
        <f ca="1">BPounds+PPounds*IF(PanelArrangement&lt;&gt;"A_1",OFFSET(INDIRECT(PanelArrangement),6,2),1)*IF(PanelArrangement&lt;&gt;"A_1",OFFSET(INDIRECT(PanelArrangement),7,2),1)</f>
        <v>551.49999999999989</v>
      </c>
      <c r="H26" s="503"/>
      <c r="J26" s="808">
        <f t="shared" ref="J26:J27" si="61">J23</f>
        <v>1</v>
      </c>
      <c r="K26" s="820">
        <f>(-PivitDia/2-HBearingThick-HookThick)*(J27-J25-J26)/J27+(+PivitDia/2+HBearingThick+HookThick)*(J25+J26)/J27</f>
        <v>0.35795454545454553</v>
      </c>
      <c r="L26" s="821">
        <f ca="1">HookDrop</f>
        <v>2.25</v>
      </c>
      <c r="M26" s="503"/>
      <c r="N26" s="705"/>
      <c r="O26" s="705"/>
      <c r="P26" s="705"/>
      <c r="Q26" s="705"/>
      <c r="R26" s="705"/>
      <c r="S26" s="705"/>
      <c r="T26" s="739">
        <f t="shared" si="16"/>
        <v>-65</v>
      </c>
      <c r="U26" s="740">
        <f t="shared" si="2"/>
        <v>0.13206820679396858</v>
      </c>
      <c r="V26" s="740">
        <f t="shared" si="3"/>
        <v>-0.28322118344895308</v>
      </c>
      <c r="W26" s="704">
        <f t="shared" si="4"/>
        <v>0.33281188112080079</v>
      </c>
      <c r="X26" s="704">
        <f t="shared" si="5"/>
        <v>-0.71371738229136183</v>
      </c>
      <c r="Y26" s="704">
        <f t="shared" si="6"/>
        <v>0.17433003296803851</v>
      </c>
      <c r="Z26" s="704">
        <f t="shared" si="7"/>
        <v>-0.37385196215261807</v>
      </c>
      <c r="AA26" s="706">
        <f t="shared" si="8"/>
        <v>0.43846644655597572</v>
      </c>
      <c r="AB26" s="706">
        <f t="shared" si="9"/>
        <v>-0.94029432905052435</v>
      </c>
      <c r="AC26" s="802">
        <f t="shared" ca="1" si="17"/>
        <v>-51.692736793372809</v>
      </c>
      <c r="AD26" s="800">
        <f t="shared" ca="1" si="10"/>
        <v>-4.5351067146033621</v>
      </c>
      <c r="AE26" s="800">
        <f t="shared" ca="1" si="11"/>
        <v>-5.7409446965261735</v>
      </c>
      <c r="AF26" s="705"/>
      <c r="AG26" s="705"/>
      <c r="AH26" s="705"/>
      <c r="AI26" s="705"/>
    </row>
    <row r="27" spans="1:35" ht="10.199999999999999" customHeight="1">
      <c r="A27" s="701"/>
      <c r="B27" s="701"/>
      <c r="C27" s="701"/>
      <c r="D27" s="701"/>
      <c r="E27" s="701"/>
      <c r="F27" s="754" t="s">
        <v>642</v>
      </c>
      <c r="G27" s="738">
        <f ca="1">HookLoad/HBearingArea</f>
        <v>441.19999999999993</v>
      </c>
      <c r="H27" s="503"/>
      <c r="J27" s="809">
        <f t="shared" si="61"/>
        <v>11</v>
      </c>
      <c r="K27" s="804"/>
      <c r="L27" s="805"/>
      <c r="M27" s="801">
        <f>45</f>
        <v>45</v>
      </c>
      <c r="N27" s="706">
        <f t="shared" ref="N27" ca="1" si="62">$N$51*COS(-M27/360*2*PI())-$O$51*SIN(-M27/360*2*PI())</f>
        <v>-2.1478368478541383</v>
      </c>
      <c r="O27" s="706">
        <f t="shared" ref="O27" ca="1" si="63">$N$51*SIN(-M27/360*2*PI())+$O$51*COS(-M27/360*2*PI())</f>
        <v>0.68059027689205176</v>
      </c>
      <c r="P27" s="704">
        <f>$P$51*COS(-M27/360*2*PI())-$Q$51*SIN(-M27/360*2*PI())</f>
        <v>2.6687266558658078</v>
      </c>
      <c r="Q27" s="704">
        <f>$P$51*SIN(-M27/360*2*PI())+$Q$51*COS(-M27/360*2*PI())</f>
        <v>-2.9881275936265723</v>
      </c>
      <c r="R27" s="704">
        <f t="shared" ref="R27" ca="1" si="64">$R$51*COS(-M27/360*2*PI())-$S$51*SIN(-M27/360*2*PI())</f>
        <v>-0.18586087801192125</v>
      </c>
      <c r="S27" s="704">
        <f t="shared" ref="S27" ca="1" si="65">$R$51*SIN(-M27/360*2*PI())+$S$51*COS(-M27/360*2*PI())</f>
        <v>-0.13354005974884411</v>
      </c>
      <c r="T27" s="739">
        <f t="shared" si="16"/>
        <v>-60</v>
      </c>
      <c r="U27" s="740">
        <f t="shared" si="2"/>
        <v>0.15625000000000003</v>
      </c>
      <c r="V27" s="740">
        <f t="shared" si="3"/>
        <v>-0.27063293868263705</v>
      </c>
      <c r="W27" s="704">
        <f t="shared" si="4"/>
        <v>0.3937500000000001</v>
      </c>
      <c r="X27" s="704">
        <f t="shared" si="5"/>
        <v>-0.68199500548024539</v>
      </c>
      <c r="Y27" s="704">
        <f t="shared" si="6"/>
        <v>0.20625000000000004</v>
      </c>
      <c r="Z27" s="704">
        <f t="shared" si="7"/>
        <v>-0.35723547906108089</v>
      </c>
      <c r="AA27" s="706">
        <f t="shared" si="8"/>
        <v>0.51875000000000016</v>
      </c>
      <c r="AB27" s="706">
        <f t="shared" si="9"/>
        <v>-0.89850135642635509</v>
      </c>
      <c r="AC27" s="802">
        <f t="shared" ca="1" si="17"/>
        <v>-54.639449347728743</v>
      </c>
      <c r="AD27" s="800">
        <f t="shared" ca="1" si="10"/>
        <v>-4.2339845917745169</v>
      </c>
      <c r="AE27" s="800">
        <f t="shared" ca="1" si="11"/>
        <v>-5.9664908780646337</v>
      </c>
      <c r="AF27" s="705"/>
      <c r="AG27" s="705"/>
      <c r="AH27" s="705"/>
      <c r="AI27" s="705"/>
    </row>
    <row r="28" spans="1:35" ht="10.199999999999999" customHeight="1">
      <c r="A28" s="701"/>
      <c r="B28" s="701"/>
      <c r="C28" s="701"/>
      <c r="D28" s="701"/>
      <c r="E28" s="701"/>
      <c r="F28" s="754" t="s">
        <v>642</v>
      </c>
      <c r="G28" s="744">
        <f ca="1">HBearingPressure*0.070306958</f>
        <v>31.019429869599996</v>
      </c>
      <c r="H28" s="503"/>
      <c r="J28" s="807">
        <f t="shared" ref="J28" si="66">J25+J26+1</f>
        <v>9</v>
      </c>
      <c r="K28" s="818">
        <f>(-PivitDia/2-HBearingThick-HookThick)*(J30-J28-0)/J30+(+PivitDia/2+HBearingThick+HookThick)*(J28+0)/J30</f>
        <v>0.5011363636363636</v>
      </c>
      <c r="L28" s="819">
        <f ca="1">HookDrop</f>
        <v>2.25</v>
      </c>
      <c r="M28" s="739"/>
      <c r="N28" s="706">
        <f t="shared" ref="N28" ca="1" si="67">$N$52*COS(-M27/360*2*PI())-$O$52*SIN(-M27/360*2*PI())</f>
        <v>-6.3904775349734226</v>
      </c>
      <c r="O28" s="706">
        <f t="shared" ref="O28" ca="1" si="68">$N$52*SIN(-M27/360*2*PI())+$O$52*COS(-M27/360*2*PI())</f>
        <v>-3.5620504102272337</v>
      </c>
      <c r="P28" s="704">
        <f ca="1">$P$52*COS(-M27/360*2*PI())-$Q$52*SIN(-M27/360*2*PI())</f>
        <v>3.7822806419863548</v>
      </c>
      <c r="Q28" s="704">
        <f ca="1">$P$52*SIN(-M27/360*2*PI())+$Q$52*COS(-M27/360*2*PI())</f>
        <v>-1.8745736075060251</v>
      </c>
      <c r="R28" s="704">
        <f t="shared" ref="R28" ca="1" si="69">$R$52*COS(-M27/360*2*PI())-$S$52*SIN(-M27/360*2*PI())</f>
        <v>-0.13354005974884409</v>
      </c>
      <c r="S28" s="704">
        <f t="shared" ref="S28" ca="1" si="70">$R$52*SIN(-M27/360*2*PI())+$S$52*COS(-M27/360*2*PI())</f>
        <v>-0.18586087801192128</v>
      </c>
      <c r="T28" s="739">
        <f t="shared" si="16"/>
        <v>-55</v>
      </c>
      <c r="U28" s="740">
        <f t="shared" si="2"/>
        <v>0.17924263635970192</v>
      </c>
      <c r="V28" s="740">
        <f t="shared" ref="V28:V75" si="71">SIN(RADIANS(T28))*PivitDia/2</f>
        <v>-0.25598501384030992</v>
      </c>
      <c r="W28" s="704">
        <f t="shared" si="4"/>
        <v>0.45169144362644886</v>
      </c>
      <c r="X28" s="704">
        <f t="shared" si="5"/>
        <v>-0.64508223487758098</v>
      </c>
      <c r="Y28" s="704">
        <f t="shared" si="6"/>
        <v>0.23660027999480654</v>
      </c>
      <c r="Z28" s="704">
        <f t="shared" si="7"/>
        <v>-0.33790021826920907</v>
      </c>
      <c r="AA28" s="706">
        <f t="shared" si="8"/>
        <v>0.59508555271421049</v>
      </c>
      <c r="AB28" s="706">
        <f t="shared" si="9"/>
        <v>-0.84987024594982907</v>
      </c>
      <c r="AC28" s="802">
        <f t="shared" ca="1" si="17"/>
        <v>-57.586161902084676</v>
      </c>
      <c r="AD28" s="800">
        <f t="shared" ca="1" si="10"/>
        <v>-3.9216659291943676</v>
      </c>
      <c r="AE28" s="800">
        <f t="shared" ca="1" si="11"/>
        <v>-6.1762590021151622</v>
      </c>
      <c r="AF28" s="705"/>
      <c r="AG28" s="705"/>
      <c r="AH28" s="705"/>
      <c r="AI28" s="705"/>
    </row>
    <row r="29" spans="1:35" ht="10.199999999999999" customHeight="1">
      <c r="A29" s="701"/>
      <c r="B29" s="701"/>
      <c r="C29" s="701"/>
      <c r="D29" s="701"/>
      <c r="E29" s="701"/>
      <c r="F29" s="755" t="s">
        <v>620</v>
      </c>
      <c r="G29" s="733">
        <v>0.25</v>
      </c>
      <c r="H29" s="503"/>
      <c r="J29" s="808">
        <f t="shared" ref="J29:J30" si="72">J26</f>
        <v>1</v>
      </c>
      <c r="K29" s="820">
        <f>(-PivitDia/2-HBearingThick-HookThick)*(J30-J28-J29)/J30+(+PivitDia/2+HBearingThick+HookThick)*(J28+J29)/J30</f>
        <v>0.64431818181818179</v>
      </c>
      <c r="L29" s="821">
        <f ca="1">HookDrop</f>
        <v>2.25</v>
      </c>
      <c r="M29" s="739"/>
      <c r="N29" s="706">
        <f t="shared" ref="N29" ca="1" si="73">$N$53*COS(-M27/360*2*PI())-$O$53*SIN(-M27/360*2*PI())</f>
        <v>-3.5620504102272328</v>
      </c>
      <c r="O29" s="706">
        <f t="shared" ref="O29" ca="1" si="74">$N$53*SIN(-M27/360*2*PI())+$O$53*COS(-M27/360*2*PI())</f>
        <v>-6.3904775349734235</v>
      </c>
      <c r="P29" s="704">
        <f ca="1">$P$53*COS(-M27/360*2*PI())-$Q$53*SIN(-M27/360*2*PI())</f>
        <v>-1.8745736075060258</v>
      </c>
      <c r="Q29" s="704">
        <f ca="1">$P$53*SIN(-M27/360*2*PI())+$Q$53*COS(-M27/360*2*PI())</f>
        <v>3.7822806419863548</v>
      </c>
      <c r="R29" s="704">
        <f t="shared" ref="R29" si="75">$R$53*COS(-M27/360*2*PI())-$S$53*SIN(-M27/360*2*PI())</f>
        <v>-0.15970046888038267</v>
      </c>
      <c r="S29" s="704">
        <f t="shared" ref="S29" si="76">$R$53*SIN(-M27/360*2*PI())+$S$53*COS(-M27/360*2*PI())</f>
        <v>-0.1597004688803827</v>
      </c>
      <c r="T29" s="739">
        <f t="shared" si="16"/>
        <v>-50</v>
      </c>
      <c r="U29" s="740">
        <f t="shared" si="2"/>
        <v>0.20087112802704354</v>
      </c>
      <c r="V29" s="740">
        <f t="shared" si="71"/>
        <v>-0.23938888847468062</v>
      </c>
      <c r="W29" s="704">
        <f t="shared" si="4"/>
        <v>0.50619524262814974</v>
      </c>
      <c r="X29" s="704">
        <f t="shared" si="5"/>
        <v>-0.6032599989561952</v>
      </c>
      <c r="Y29" s="704">
        <f t="shared" si="6"/>
        <v>0.26514988899569747</v>
      </c>
      <c r="Z29" s="704">
        <f t="shared" si="7"/>
        <v>-0.31599333278657843</v>
      </c>
      <c r="AA29" s="706">
        <f t="shared" si="8"/>
        <v>0.66689214504978467</v>
      </c>
      <c r="AB29" s="706">
        <f t="shared" si="9"/>
        <v>-0.79477110973593978</v>
      </c>
      <c r="AC29" s="802">
        <f t="shared" ca="1" si="17"/>
        <v>-60.532874456440609</v>
      </c>
      <c r="AD29" s="800">
        <f t="shared" ca="1" si="10"/>
        <v>-3.5989766364156925</v>
      </c>
      <c r="AE29" s="800">
        <f t="shared" ca="1" si="11"/>
        <v>-6.3696943483927457</v>
      </c>
      <c r="AF29" s="705"/>
      <c r="AG29" s="705"/>
      <c r="AH29" s="705"/>
      <c r="AI29" s="705"/>
    </row>
    <row r="30" spans="1:35" ht="10.199999999999999" customHeight="1">
      <c r="A30" s="701"/>
      <c r="B30" s="701"/>
      <c r="C30" s="701"/>
      <c r="D30" s="701"/>
      <c r="E30" s="701"/>
      <c r="F30" s="755" t="s">
        <v>659</v>
      </c>
      <c r="G30" s="822">
        <v>0.81164943099202047</v>
      </c>
      <c r="H30" s="503"/>
      <c r="J30" s="809">
        <f t="shared" si="72"/>
        <v>11</v>
      </c>
      <c r="K30" s="804"/>
      <c r="L30" s="805"/>
      <c r="M30" s="739"/>
      <c r="N30" s="706">
        <f t="shared" ref="N30" ca="1" si="77">$N$54*COS(-M27/360*2*PI())-$O$54*SIN(-M27/360*2*PI())</f>
        <v>0.68059027689205209</v>
      </c>
      <c r="O30" s="706">
        <f t="shared" ref="O30" ca="1" si="78">$N$54*SIN(-M27/360*2*PI())+$O$54*COS(-M27/360*2*PI())</f>
        <v>-2.1478368478541379</v>
      </c>
      <c r="P30" s="704">
        <f>$P$54*COS(-M27/360*2*PI())-$Q$54*SIN(-M27/360*2*PI())</f>
        <v>-2.9881275936265728</v>
      </c>
      <c r="Q30" s="704">
        <f>$P$54*SIN(-M27/360*2*PI())+$Q$54*COS(-M27/360*2*PI())</f>
        <v>2.6687266558658074</v>
      </c>
      <c r="R30" s="704">
        <f t="shared" ref="R30" ca="1" si="79">$R$54*COS(-M27/360*2*PI())-$S$54*SIN(-M27/360*2*PI())</f>
        <v>0.95385351724016465</v>
      </c>
      <c r="S30" s="704">
        <f t="shared" ref="S30" ca="1" si="80">$R$54*SIN(-M27/360*2*PI())+$S$54*COS(-M27/360*2*PI())</f>
        <v>0.95385351724016476</v>
      </c>
      <c r="T30" s="739">
        <f t="shared" si="16"/>
        <v>-45</v>
      </c>
      <c r="U30" s="740">
        <f t="shared" si="2"/>
        <v>0.22097086912079611</v>
      </c>
      <c r="V30" s="740">
        <f t="shared" si="71"/>
        <v>-0.22097086912079608</v>
      </c>
      <c r="W30" s="704">
        <f t="shared" si="4"/>
        <v>0.55684659018440619</v>
      </c>
      <c r="X30" s="704">
        <f t="shared" si="5"/>
        <v>-0.55684659018440608</v>
      </c>
      <c r="Y30" s="704">
        <f t="shared" si="6"/>
        <v>0.29168154723945083</v>
      </c>
      <c r="Z30" s="704">
        <f t="shared" si="7"/>
        <v>-0.29168154723945083</v>
      </c>
      <c r="AA30" s="706">
        <f t="shared" si="8"/>
        <v>0.73362328548104316</v>
      </c>
      <c r="AB30" s="706">
        <f t="shared" si="9"/>
        <v>-0.73362328548104305</v>
      </c>
      <c r="AC30" s="802">
        <f t="shared" ca="1" si="17"/>
        <v>-63.479587010796543</v>
      </c>
      <c r="AD30" s="800">
        <f t="shared" ca="1" si="10"/>
        <v>-3.2667700475533406</v>
      </c>
      <c r="AE30" s="800">
        <f t="shared" ca="1" si="11"/>
        <v>-6.5462853877463099</v>
      </c>
      <c r="AF30" s="705"/>
      <c r="AG30" s="705"/>
      <c r="AH30" s="705"/>
      <c r="AI30" s="705"/>
    </row>
    <row r="31" spans="1:35" ht="10.199999999999999" customHeight="1">
      <c r="A31" s="701"/>
      <c r="B31" s="701"/>
      <c r="C31" s="701"/>
      <c r="D31" s="701"/>
      <c r="E31" s="701"/>
      <c r="F31" s="755" t="s">
        <v>656</v>
      </c>
      <c r="G31" s="753">
        <f ca="1">((PThickIn-(0.25)+HPVShim)/12)*(PPounds*SerialCon*ParallelCon)</f>
        <v>72.614462460235899</v>
      </c>
      <c r="H31" s="503"/>
      <c r="J31" s="810"/>
      <c r="K31" s="705"/>
      <c r="L31" s="705"/>
      <c r="M31" s="739"/>
      <c r="N31" s="706">
        <f t="shared" ref="N31:O31" ca="1" si="81">N27</f>
        <v>-2.1478368478541383</v>
      </c>
      <c r="O31" s="706">
        <f t="shared" ca="1" si="81"/>
        <v>0.68059027689205176</v>
      </c>
      <c r="P31" s="704">
        <f>P27</f>
        <v>2.6687266558658078</v>
      </c>
      <c r="Q31" s="704">
        <f>Q27</f>
        <v>-2.9881275936265723</v>
      </c>
      <c r="R31" s="705"/>
      <c r="S31" s="705"/>
      <c r="T31" s="739">
        <f t="shared" si="16"/>
        <v>-40</v>
      </c>
      <c r="U31" s="740">
        <f t="shared" si="2"/>
        <v>0.23938888847468062</v>
      </c>
      <c r="V31" s="740">
        <f t="shared" si="71"/>
        <v>-0.20087112802704352</v>
      </c>
      <c r="W31" s="704">
        <f t="shared" si="4"/>
        <v>0.6032599989561952</v>
      </c>
      <c r="X31" s="704">
        <f t="shared" si="5"/>
        <v>-0.50619524262814963</v>
      </c>
      <c r="Y31" s="704">
        <f t="shared" si="6"/>
        <v>0.31599333278657843</v>
      </c>
      <c r="Z31" s="704">
        <f t="shared" si="7"/>
        <v>-0.26514988899569741</v>
      </c>
      <c r="AA31" s="706">
        <f t="shared" si="8"/>
        <v>0.79477110973593978</v>
      </c>
      <c r="AB31" s="706">
        <f t="shared" si="9"/>
        <v>-0.66689214504978456</v>
      </c>
      <c r="AC31" s="802">
        <f t="shared" ca="1" si="17"/>
        <v>-66.426299565152476</v>
      </c>
      <c r="AD31" s="800">
        <f t="shared" ca="1" si="10"/>
        <v>-2.9259246646890338</v>
      </c>
      <c r="AE31" s="800">
        <f t="shared" ca="1" si="11"/>
        <v>-6.7055651348694596</v>
      </c>
      <c r="AF31" s="705"/>
      <c r="AG31" s="705"/>
      <c r="AH31" s="705"/>
      <c r="AI31" s="705"/>
    </row>
    <row r="32" spans="1:35" ht="10.199999999999999" customHeight="1">
      <c r="A32" s="701"/>
      <c r="B32" s="701"/>
      <c r="C32" s="701"/>
      <c r="D32" s="701"/>
      <c r="E32" s="701"/>
      <c r="F32" s="755" t="s">
        <v>657</v>
      </c>
      <c r="G32" s="753">
        <f ca="1">((PivitDia/2+HBearingThick+HookThick+HGaps+HBeamHigh/2)/12)*(BPounds)</f>
        <v>48.328874999999954</v>
      </c>
      <c r="H32" s="503"/>
      <c r="J32" s="810"/>
      <c r="K32" s="705"/>
      <c r="L32" s="705"/>
      <c r="M32" s="739"/>
      <c r="N32" s="705"/>
      <c r="O32" s="705"/>
      <c r="P32" s="705"/>
      <c r="Q32" s="705"/>
      <c r="R32" s="704">
        <f t="shared" ref="R32" ca="1" si="82">$R$56*COS(-M27/360*2*PI())-$S$56*SIN(-M27/360*2*PI())</f>
        <v>0.95385351724016465</v>
      </c>
      <c r="S32" s="704">
        <f t="shared" ref="S32" ca="1" si="83">$R$56*SIN(-M27/360*2*PI())+$S$56*COS(-M27/360*2*PI())</f>
        <v>0.64135351724016476</v>
      </c>
      <c r="T32" s="739">
        <f t="shared" si="16"/>
        <v>-35</v>
      </c>
      <c r="U32" s="740">
        <f t="shared" si="2"/>
        <v>0.25598501384030992</v>
      </c>
      <c r="V32" s="740">
        <f t="shared" si="71"/>
        <v>-0.17924263635970189</v>
      </c>
      <c r="W32" s="704">
        <f t="shared" si="4"/>
        <v>0.64508223487758098</v>
      </c>
      <c r="X32" s="704">
        <f t="shared" si="5"/>
        <v>-0.45169144362644875</v>
      </c>
      <c r="Y32" s="704">
        <f t="shared" si="6"/>
        <v>0.33790021826920907</v>
      </c>
      <c r="Z32" s="704">
        <f t="shared" si="7"/>
        <v>-0.23660027999480648</v>
      </c>
      <c r="AA32" s="706">
        <f t="shared" si="8"/>
        <v>0.84987024594982907</v>
      </c>
      <c r="AB32" s="706">
        <f t="shared" si="9"/>
        <v>-0.59508555271421038</v>
      </c>
      <c r="AC32" s="802">
        <f t="shared" ca="1" si="17"/>
        <v>-69.373012119508417</v>
      </c>
      <c r="AD32" s="800">
        <f t="shared" ca="1" si="10"/>
        <v>-2.577341834720845</v>
      </c>
      <c r="AE32" s="800">
        <f t="shared" ca="1" si="11"/>
        <v>-6.8471123832174898</v>
      </c>
      <c r="AF32" s="705"/>
      <c r="AG32" s="705"/>
      <c r="AH32" s="705"/>
      <c r="AI32" s="705"/>
    </row>
    <row r="33" spans="1:35" ht="10.199999999999999" customHeight="1">
      <c r="A33" s="701"/>
      <c r="B33" s="701"/>
      <c r="C33" s="701"/>
      <c r="D33" s="701"/>
      <c r="E33" s="701"/>
      <c r="F33" s="754" t="s">
        <v>658</v>
      </c>
      <c r="G33" s="824">
        <f ca="1">1-HBeamTorque/HPVTorque</f>
        <v>0.33444559991798983</v>
      </c>
      <c r="H33" s="503"/>
      <c r="J33" s="810"/>
      <c r="K33" s="705"/>
      <c r="L33" s="705"/>
      <c r="M33" s="503"/>
      <c r="N33" s="706">
        <f t="shared" ref="N33" ca="1" si="84">$N$57*COS(-M27/360*2*PI())-$O$57*SIN(-M27/360*2*PI())</f>
        <v>-2.1478368478541383</v>
      </c>
      <c r="O33" s="706">
        <f t="shared" ref="O33" ca="1" si="85">$N$57*SIN(-M27/360*2*PI())+$O$57*COS(-M27/360*2*PI())</f>
        <v>0.50381358159541478</v>
      </c>
      <c r="P33" s="705"/>
      <c r="Q33" s="705"/>
      <c r="R33" s="704">
        <f t="shared" ref="R33" ca="1" si="86">$R$57*COS(-M27/360*2*PI())-$S$57*SIN(-M27/360*2*PI())</f>
        <v>0.95385351724016465</v>
      </c>
      <c r="S33" s="704">
        <f t="shared" ref="S33" ca="1" si="87">$R$57*SIN(-M27/360*2*PI())+$S$57*COS(-M27/360*2*PI())</f>
        <v>0.95385351724016476</v>
      </c>
      <c r="T33" s="739">
        <f t="shared" si="16"/>
        <v>-30</v>
      </c>
      <c r="U33" s="740">
        <f t="shared" si="2"/>
        <v>0.2706329386826371</v>
      </c>
      <c r="V33" s="740">
        <f t="shared" si="71"/>
        <v>-0.15624999999999997</v>
      </c>
      <c r="W33" s="704">
        <f t="shared" si="4"/>
        <v>0.6819950054802455</v>
      </c>
      <c r="X33" s="704">
        <f t="shared" si="5"/>
        <v>-0.39374999999999993</v>
      </c>
      <c r="Y33" s="704">
        <f t="shared" si="6"/>
        <v>0.35723547906108094</v>
      </c>
      <c r="Z33" s="704">
        <f t="shared" si="7"/>
        <v>-0.20624999999999996</v>
      </c>
      <c r="AA33" s="706">
        <f t="shared" si="8"/>
        <v>0.8985013564263552</v>
      </c>
      <c r="AB33" s="706">
        <f t="shared" si="9"/>
        <v>-0.51874999999999993</v>
      </c>
      <c r="AC33" s="802">
        <f t="shared" ca="1" si="17"/>
        <v>-72.319724673864357</v>
      </c>
      <c r="AD33" s="800">
        <f t="shared" ca="1" si="10"/>
        <v>-2.2219433658008239</v>
      </c>
      <c r="AE33" s="800">
        <f t="shared" ca="1" si="11"/>
        <v>-6.9705528188649577</v>
      </c>
      <c r="AF33" s="705"/>
      <c r="AG33" s="705"/>
      <c r="AH33" s="705"/>
      <c r="AI33" s="705"/>
    </row>
    <row r="34" spans="1:35" ht="10.199999999999999" customHeight="1">
      <c r="A34" s="701"/>
      <c r="B34" s="701"/>
      <c r="C34" s="701"/>
      <c r="D34" s="701"/>
      <c r="E34" s="701"/>
      <c r="F34" s="755" t="s">
        <v>660</v>
      </c>
      <c r="G34" s="823">
        <f ca="1">HPVTorque-HBeamTorque</f>
        <v>24.285587460235945</v>
      </c>
      <c r="H34" s="503"/>
      <c r="J34" s="810"/>
      <c r="K34" s="705"/>
      <c r="L34" s="705"/>
      <c r="M34" s="503"/>
      <c r="N34" s="706">
        <f t="shared" ref="N34" ca="1" si="88">$N$58*COS(-M27/360*2*PI())-$O$58*SIN(-M27/360*2*PI())</f>
        <v>-6.2137008396767861</v>
      </c>
      <c r="O34" s="706">
        <f t="shared" ref="O34" ca="1" si="89">$N$58*SIN(-M27/360*2*PI())+$O$58*COS(-M27/360*2*PI())</f>
        <v>-3.5620504102272328</v>
      </c>
      <c r="P34" s="705"/>
      <c r="Q34" s="705"/>
      <c r="R34" s="704">
        <f t="shared" ref="R34" ca="1" si="90">$R$58*COS(-M27/360*2*PI())-$S$58*SIN(-M27/360*2*PI())</f>
        <v>0.64135351724016465</v>
      </c>
      <c r="S34" s="704">
        <f t="shared" ref="S34" ca="1" si="91">$R$58*SIN(-M27/360*2*PI())+$S$58*COS(-M27/360*2*PI())</f>
        <v>0.95385351724016476</v>
      </c>
      <c r="T34" s="739">
        <f t="shared" si="16"/>
        <v>-25</v>
      </c>
      <c r="U34" s="740">
        <f t="shared" si="2"/>
        <v>0.28322118344895308</v>
      </c>
      <c r="V34" s="740">
        <f t="shared" si="71"/>
        <v>-0.13206820679396858</v>
      </c>
      <c r="W34" s="704">
        <f t="shared" si="4"/>
        <v>0.71371738229136183</v>
      </c>
      <c r="X34" s="704">
        <f t="shared" si="5"/>
        <v>-0.33281188112080079</v>
      </c>
      <c r="Y34" s="704">
        <f t="shared" si="6"/>
        <v>0.37385196215261807</v>
      </c>
      <c r="Z34" s="704">
        <f t="shared" si="7"/>
        <v>-0.17433003296803851</v>
      </c>
      <c r="AA34" s="706">
        <f t="shared" si="8"/>
        <v>0.94029432905052435</v>
      </c>
      <c r="AB34" s="706">
        <f t="shared" si="9"/>
        <v>-0.43846644655597572</v>
      </c>
      <c r="AC34" s="802">
        <f t="shared" ca="1" si="17"/>
        <v>-75.266437228220298</v>
      </c>
      <c r="AD34" s="800">
        <f t="shared" ca="1" si="10"/>
        <v>-1.8606690896639646</v>
      </c>
      <c r="AE34" s="800">
        <f t="shared" ca="1" si="11"/>
        <v>-7.0755600103583021</v>
      </c>
      <c r="AF34" s="705"/>
      <c r="AG34" s="705"/>
      <c r="AH34" s="705"/>
      <c r="AI34" s="705"/>
    </row>
    <row r="35" spans="1:35" ht="10.199999999999999" customHeight="1">
      <c r="A35" s="701"/>
      <c r="B35" s="701"/>
      <c r="C35" s="701"/>
      <c r="D35" s="701"/>
      <c r="E35" s="701"/>
      <c r="F35" s="754"/>
      <c r="H35" s="503"/>
      <c r="J35" s="810"/>
      <c r="K35" s="705"/>
      <c r="L35" s="705"/>
      <c r="M35" s="503"/>
      <c r="N35" s="706">
        <f t="shared" ref="N35" ca="1" si="92">$N$59*COS(-M27/360*2*PI())-$O$59*SIN(-M27/360*2*PI())</f>
        <v>-3.5620504102272328</v>
      </c>
      <c r="O35" s="706">
        <f t="shared" ref="O35" ca="1" si="93">$N$59*SIN(-M27/360*2*PI())+$O$59*COS(-M27/360*2*PI())</f>
        <v>-6.2137008396767861</v>
      </c>
      <c r="P35" s="705"/>
      <c r="Q35" s="705"/>
      <c r="R35" s="705"/>
      <c r="S35" s="705"/>
      <c r="T35" s="739">
        <f t="shared" si="16"/>
        <v>-20</v>
      </c>
      <c r="U35" s="740">
        <f t="shared" si="2"/>
        <v>0.29365394399559641</v>
      </c>
      <c r="V35" s="740">
        <f t="shared" si="71"/>
        <v>-0.10688129478927147</v>
      </c>
      <c r="W35" s="704">
        <f t="shared" si="4"/>
        <v>0.74000793886890281</v>
      </c>
      <c r="X35" s="704">
        <f t="shared" si="5"/>
        <v>-0.26934086286896408</v>
      </c>
      <c r="Y35" s="704">
        <f t="shared" si="6"/>
        <v>0.38762320607418721</v>
      </c>
      <c r="Z35" s="704">
        <f t="shared" si="7"/>
        <v>-0.14108330912183834</v>
      </c>
      <c r="AA35" s="706">
        <f t="shared" si="8"/>
        <v>0.97493109406538003</v>
      </c>
      <c r="AB35" s="706">
        <f t="shared" si="9"/>
        <v>-0.3548458987003813</v>
      </c>
      <c r="AC35" s="802">
        <f t="shared" ca="1" si="17"/>
        <v>-78.213149782576238</v>
      </c>
      <c r="AD35" s="800">
        <f t="shared" ref="AD35:AD66" ca="1" si="94">COS(RADIANS(AC35))*HBeamMin</f>
        <v>-1.4944743762947854</v>
      </c>
      <c r="AE35" s="800">
        <f t="shared" ref="AE35:AE66" ca="1" si="95">-SIN(RADIANS(AC35))*HBeamMin</f>
        <v>-7.1618562719458989</v>
      </c>
      <c r="AF35" s="705"/>
      <c r="AG35" s="705"/>
      <c r="AH35" s="705"/>
      <c r="AI35" s="705"/>
    </row>
    <row r="36" spans="1:35" ht="10.199999999999999" customHeight="1">
      <c r="A36" s="701"/>
      <c r="B36" s="701"/>
      <c r="C36" s="701"/>
      <c r="D36" s="701"/>
      <c r="E36" s="701"/>
      <c r="F36" s="754"/>
      <c r="H36" s="503"/>
      <c r="J36" s="810"/>
      <c r="K36" s="705"/>
      <c r="L36" s="705"/>
      <c r="M36" s="503"/>
      <c r="N36" s="706">
        <f t="shared" ref="N36" ca="1" si="96">$N$60*COS(-M27/360*2*PI())-$O$60*SIN(-M27/360*2*PI())</f>
        <v>0.50381358159541512</v>
      </c>
      <c r="O36" s="706">
        <f t="shared" ref="O36" ca="1" si="97">$N$60*SIN(-M27/360*2*PI())+$O$60*COS(-M27/360*2*PI())</f>
        <v>-2.1478368478541379</v>
      </c>
      <c r="P36" s="705"/>
      <c r="Q36" s="705"/>
      <c r="R36" s="705"/>
      <c r="S36" s="705"/>
      <c r="T36" s="739">
        <f t="shared" si="16"/>
        <v>-15</v>
      </c>
      <c r="U36" s="740">
        <f t="shared" si="2"/>
        <v>0.30185182071533384</v>
      </c>
      <c r="V36" s="740">
        <f t="shared" si="71"/>
        <v>-8.0880951594537731E-2</v>
      </c>
      <c r="W36" s="704">
        <f t="shared" si="4"/>
        <v>0.76066658820264133</v>
      </c>
      <c r="X36" s="704">
        <f t="shared" si="5"/>
        <v>-0.20381999801823508</v>
      </c>
      <c r="Y36" s="704">
        <f t="shared" si="6"/>
        <v>0.39844440334424064</v>
      </c>
      <c r="Z36" s="704">
        <f t="shared" si="7"/>
        <v>-0.10676285610478981</v>
      </c>
      <c r="AA36" s="706">
        <f t="shared" si="8"/>
        <v>1.0021480447749085</v>
      </c>
      <c r="AB36" s="706">
        <f t="shared" si="9"/>
        <v>-0.26852475929386527</v>
      </c>
      <c r="AC36" s="802">
        <f t="shared" ca="1" si="17"/>
        <v>-81.159862336932179</v>
      </c>
      <c r="AD36" s="800">
        <f t="shared" ca="1" si="94"/>
        <v>-1.124327607503864</v>
      </c>
      <c r="AE36" s="800">
        <f t="shared" ca="1" si="95"/>
        <v>-7.2292133979027851</v>
      </c>
      <c r="AF36" s="705"/>
      <c r="AG36" s="705"/>
      <c r="AH36" s="705"/>
      <c r="AI36" s="705"/>
    </row>
    <row r="37" spans="1:35" ht="10.199999999999999" customHeight="1">
      <c r="A37" s="701"/>
      <c r="B37" s="701"/>
      <c r="C37" s="701"/>
      <c r="D37" s="701"/>
      <c r="E37" s="701"/>
      <c r="F37" s="817"/>
      <c r="H37" s="503"/>
      <c r="J37" s="810"/>
      <c r="K37" s="705"/>
      <c r="L37" s="705"/>
      <c r="M37" s="503"/>
      <c r="N37" s="706">
        <f t="shared" ref="N37:O37" ca="1" si="98">N33</f>
        <v>-2.1478368478541383</v>
      </c>
      <c r="O37" s="706">
        <f t="shared" ca="1" si="98"/>
        <v>0.50381358159541478</v>
      </c>
      <c r="P37" s="705"/>
      <c r="Q37" s="705"/>
      <c r="R37" s="705"/>
      <c r="S37" s="705"/>
      <c r="T37" s="739">
        <f t="shared" si="16"/>
        <v>-10</v>
      </c>
      <c r="U37" s="740">
        <f t="shared" si="2"/>
        <v>0.30775242281631499</v>
      </c>
      <c r="V37" s="740">
        <f t="shared" si="71"/>
        <v>-5.4265055520915727E-2</v>
      </c>
      <c r="W37" s="704">
        <f t="shared" si="4"/>
        <v>0.77553610549711383</v>
      </c>
      <c r="X37" s="704">
        <f t="shared" si="5"/>
        <v>-0.13674793991270764</v>
      </c>
      <c r="Y37" s="704">
        <f t="shared" si="6"/>
        <v>0.40623319811753578</v>
      </c>
      <c r="Z37" s="704">
        <f t="shared" si="7"/>
        <v>-7.1629873287608753E-2</v>
      </c>
      <c r="AA37" s="706">
        <f t="shared" si="8"/>
        <v>1.021738043750166</v>
      </c>
      <c r="AB37" s="706">
        <f t="shared" si="9"/>
        <v>-0.18015998432944022</v>
      </c>
      <c r="AC37" s="802">
        <f t="shared" ca="1" si="17"/>
        <v>-84.106574891288119</v>
      </c>
      <c r="AD37" s="800">
        <f t="shared" ca="1" si="94"/>
        <v>-0.75120761609532605</v>
      </c>
      <c r="AE37" s="800">
        <f t="shared" ca="1" si="95"/>
        <v>-7.2774532660081626</v>
      </c>
      <c r="AF37" s="705"/>
      <c r="AG37" s="705"/>
      <c r="AH37" s="705"/>
      <c r="AI37" s="705"/>
    </row>
    <row r="38" spans="1:35" ht="10.199999999999999" customHeight="1">
      <c r="A38" s="701"/>
      <c r="B38" s="701"/>
      <c r="C38" s="701"/>
      <c r="D38" s="701"/>
      <c r="E38" s="701"/>
      <c r="F38" s="754"/>
      <c r="H38" s="503"/>
      <c r="J38" s="810"/>
      <c r="K38" s="705"/>
      <c r="L38" s="705"/>
      <c r="M38" s="503"/>
      <c r="N38" s="705"/>
      <c r="O38" s="705"/>
      <c r="P38" s="705"/>
      <c r="Q38" s="705"/>
      <c r="R38" s="705"/>
      <c r="S38" s="705"/>
      <c r="T38" s="739">
        <f t="shared" si="16"/>
        <v>-5</v>
      </c>
      <c r="U38" s="740">
        <f t="shared" si="2"/>
        <v>0.31131084315367047</v>
      </c>
      <c r="V38" s="740">
        <f t="shared" si="71"/>
        <v>-2.7236169608643175E-2</v>
      </c>
      <c r="W38" s="704">
        <f t="shared" si="4"/>
        <v>0.7845033247472496</v>
      </c>
      <c r="X38" s="704">
        <f t="shared" si="5"/>
        <v>-6.8635147413780809E-2</v>
      </c>
      <c r="Y38" s="704">
        <f t="shared" si="6"/>
        <v>0.41093031296284499</v>
      </c>
      <c r="Z38" s="704">
        <f t="shared" si="7"/>
        <v>-3.5951743883408993E-2</v>
      </c>
      <c r="AA38" s="706">
        <f t="shared" si="8"/>
        <v>1.033551999270186</v>
      </c>
      <c r="AB38" s="706">
        <f t="shared" si="9"/>
        <v>-9.0424083100695357E-2</v>
      </c>
      <c r="AC38" s="802">
        <f t="shared" ca="1" si="17"/>
        <v>-87.05328744564406</v>
      </c>
      <c r="AD38" s="800">
        <f t="shared" ca="1" si="94"/>
        <v>-0.37610109739724007</v>
      </c>
      <c r="AE38" s="800">
        <f t="shared" ca="1" si="95"/>
        <v>-7.3064483085798324</v>
      </c>
      <c r="AF38" s="705"/>
      <c r="AG38" s="705"/>
      <c r="AH38" s="705"/>
      <c r="AI38" s="705"/>
    </row>
    <row r="39" spans="1:35" ht="10.199999999999999" customHeight="1">
      <c r="A39" s="701"/>
      <c r="B39" s="701"/>
      <c r="C39" s="701"/>
      <c r="D39" s="701"/>
      <c r="E39" s="701"/>
      <c r="F39" s="754"/>
      <c r="H39" s="503"/>
      <c r="J39" s="810"/>
      <c r="K39" s="705"/>
      <c r="L39" s="705"/>
      <c r="M39" s="801">
        <f ca="1">90-MaxWidAng</f>
        <v>16.081651956813701</v>
      </c>
      <c r="N39" s="706">
        <f t="shared" ref="N39" ca="1" si="99">$N$51*COS(-M39/360*2*PI())-$O$51*SIN(-M39/360*2*PI())</f>
        <v>-2.2091305471717506</v>
      </c>
      <c r="O39" s="706">
        <f t="shared" ref="O39" ca="1" si="100">$N$51*SIN(-M39/360*2*PI())+$O$51*COS(-M39/360*2*PI())</f>
        <v>-0.44288652672286355</v>
      </c>
      <c r="P39" s="704">
        <f ca="1">$P$51*COS(-M39/360*2*PI())-$Q$51*SIN(-M39/360*2*PI())</f>
        <v>3.7809094609299554</v>
      </c>
      <c r="Q39" s="704">
        <f ca="1">$P$51*SIN(-M39/360*2*PI())+$Q$51*COS(-M39/360*2*PI())</f>
        <v>-1.3250404249575121</v>
      </c>
      <c r="R39" s="704">
        <f ca="1">$R$51*COS(-M39/360*2*PI())-$S$51*SIN(-M39/360*2*PI())</f>
        <v>-9.8110839441845177E-2</v>
      </c>
      <c r="S39" s="704">
        <f ca="1">$R$51*SIN(-M39/360*2*PI())+$S$51*COS(-M39/360*2*PI())</f>
        <v>-0.20676430232780418</v>
      </c>
      <c r="T39" s="739">
        <f t="shared" si="16"/>
        <v>0</v>
      </c>
      <c r="U39" s="740">
        <f t="shared" si="2"/>
        <v>0.3125</v>
      </c>
      <c r="V39" s="740">
        <f t="shared" si="71"/>
        <v>0</v>
      </c>
      <c r="W39" s="704">
        <f t="shared" si="4"/>
        <v>0.78749999999999998</v>
      </c>
      <c r="X39" s="704">
        <f t="shared" si="5"/>
        <v>0</v>
      </c>
      <c r="Y39" s="704">
        <f t="shared" si="6"/>
        <v>0.41249999999999998</v>
      </c>
      <c r="Z39" s="704">
        <f t="shared" si="7"/>
        <v>0</v>
      </c>
      <c r="AA39" s="706">
        <f t="shared" si="8"/>
        <v>1.0375000000000001</v>
      </c>
      <c r="AB39" s="706">
        <f t="shared" si="9"/>
        <v>0</v>
      </c>
      <c r="AC39" s="802">
        <f t="shared" ca="1" si="17"/>
        <v>-90</v>
      </c>
      <c r="AD39" s="800">
        <f t="shared" ca="1" si="94"/>
        <v>-4.4816676901150368E-16</v>
      </c>
      <c r="AE39" s="800">
        <f t="shared" ca="1" si="95"/>
        <v>-7.3161218498199236</v>
      </c>
      <c r="AF39" s="705"/>
      <c r="AG39" s="705"/>
      <c r="AH39" s="705"/>
      <c r="AI39" s="705"/>
    </row>
    <row r="40" spans="1:35" ht="10.199999999999999" customHeight="1">
      <c r="A40" s="701"/>
      <c r="B40" s="701"/>
      <c r="C40" s="701"/>
      <c r="D40" s="701"/>
      <c r="E40" s="701"/>
      <c r="F40" s="754"/>
      <c r="H40" s="503"/>
      <c r="J40" s="810"/>
      <c r="K40" s="705"/>
      <c r="L40" s="705"/>
      <c r="M40" s="739"/>
      <c r="N40" s="706">
        <f t="shared" ref="N40" ca="1" si="101">$N$52*COS(-M39/360*2*PI())-$O$52*SIN(-M39/360*2*PI())</f>
        <v>-3.8711723381473622</v>
      </c>
      <c r="O40" s="706">
        <f t="shared" ref="O40" ca="1" si="102">$N$52*SIN(-M39/360*2*PI())+$O$52*COS(-M39/360*2*PI())</f>
        <v>-6.2080939891695168</v>
      </c>
      <c r="P40" s="704">
        <f ca="1">$P$52*COS(-M39/360*2*PI())-$Q$52*SIN(-M39/360*2*PI())</f>
        <v>4.217140902130903</v>
      </c>
      <c r="Q40" s="704">
        <f ca="1">$P$52*SIN(-M39/360*2*PI())+$Q$52*COS(-M39/360*2*PI())</f>
        <v>0.18813738670827651</v>
      </c>
      <c r="R40" s="704">
        <f ca="1">$R$52*COS(-M39/360*2*PI())-$S$52*SIN(-M39/360*2*PI())</f>
        <v>-2.7013521960449254E-2</v>
      </c>
      <c r="S40" s="704">
        <f ca="1">$R$52*SIN(-M39/360*2*PI())+$S$52*COS(-M39/360*2*PI())</f>
        <v>-0.22726082628640482</v>
      </c>
      <c r="T40" s="739">
        <f t="shared" si="16"/>
        <v>5</v>
      </c>
      <c r="U40" s="740">
        <f t="shared" si="2"/>
        <v>0.31131084315367047</v>
      </c>
      <c r="V40" s="740">
        <f t="shared" si="71"/>
        <v>2.7236169608643175E-2</v>
      </c>
      <c r="W40" s="9"/>
      <c r="X40" s="9"/>
      <c r="Y40" s="704">
        <f t="shared" ref="Y40:Y75" si="103">COS(RADIANS(T40))*(PivitDia/2+HBearingThick)</f>
        <v>0.41093031296284499</v>
      </c>
      <c r="Z40" s="704">
        <f t="shared" ref="Z40:Z75" si="104">SIN(RADIANS(T40))*(PivitDia/2+HBearingThick)</f>
        <v>3.5951743883408993E-2</v>
      </c>
      <c r="AA40" s="9"/>
      <c r="AB40" s="9"/>
      <c r="AC40" s="802">
        <f t="shared" ca="1" si="17"/>
        <v>-92.94671255435594</v>
      </c>
      <c r="AD40" s="800">
        <f t="shared" ca="1" si="94"/>
        <v>0.37610109739723913</v>
      </c>
      <c r="AE40" s="800">
        <f t="shared" ca="1" si="95"/>
        <v>-7.3064483085798324</v>
      </c>
      <c r="AF40" s="705"/>
      <c r="AG40" s="705"/>
      <c r="AH40" s="705"/>
      <c r="AI40" s="705"/>
    </row>
    <row r="41" spans="1:35" ht="10.199999999999999" customHeight="1">
      <c r="A41" s="701"/>
      <c r="B41" s="701"/>
      <c r="C41" s="701"/>
      <c r="D41" s="701"/>
      <c r="E41" s="701"/>
      <c r="F41" s="754"/>
      <c r="H41" s="503"/>
      <c r="J41" s="810"/>
      <c r="K41" s="705"/>
      <c r="L41" s="705"/>
      <c r="M41" s="739"/>
      <c r="N41" s="706">
        <f t="shared" ref="N41" ca="1" si="105">$N$53*COS(-M39/360*2*PI())-$O$53*SIN(-M39/360*2*PI())</f>
        <v>-2.7700696516259393E-2</v>
      </c>
      <c r="O41" s="706">
        <f t="shared" ref="O41" ca="1" si="106">$N$53*SIN(-M39/360*2*PI())+$O$53*COS(-M39/360*2*PI())</f>
        <v>-7.3161218498199245</v>
      </c>
      <c r="P41" s="704">
        <f ca="1">$P$53*COS(-M39/360*2*PI())-$Q$53*SIN(-M39/360*2*PI())</f>
        <v>-3.4698023811313021</v>
      </c>
      <c r="Q41" s="704">
        <f ca="1">$P$53*SIN(-M39/360*2*PI())+$Q$53*COS(-M39/360*2*PI())</f>
        <v>2.4041931080090917</v>
      </c>
      <c r="R41" s="704">
        <f ca="1">$R$53*COS(-M39/360*2*PI())-$S$53*SIN(-M39/360*2*PI())</f>
        <v>-6.2562180701147219E-2</v>
      </c>
      <c r="S41" s="704">
        <f ca="1">$R$53*SIN(-M39/360*2*PI())+$S$53*COS(-M39/360*2*PI())</f>
        <v>-0.2170125643071045</v>
      </c>
      <c r="T41" s="739">
        <f t="shared" si="16"/>
        <v>10</v>
      </c>
      <c r="U41" s="740">
        <f t="shared" si="2"/>
        <v>0.30775242281631499</v>
      </c>
      <c r="V41" s="740">
        <f t="shared" si="71"/>
        <v>5.4265055520915727E-2</v>
      </c>
      <c r="W41" s="9"/>
      <c r="X41" s="9"/>
      <c r="Y41" s="704">
        <f t="shared" si="103"/>
        <v>0.40623319811753578</v>
      </c>
      <c r="Z41" s="704">
        <f t="shared" si="104"/>
        <v>7.1629873287608753E-2</v>
      </c>
      <c r="AA41" s="9"/>
      <c r="AB41" s="9"/>
      <c r="AC41" s="802">
        <f t="shared" ca="1" si="17"/>
        <v>-95.893425108711881</v>
      </c>
      <c r="AD41" s="800">
        <f t="shared" ca="1" si="94"/>
        <v>0.75120761609532671</v>
      </c>
      <c r="AE41" s="800">
        <f t="shared" ca="1" si="95"/>
        <v>-7.2774532660081626</v>
      </c>
      <c r="AF41" s="705"/>
      <c r="AG41" s="705"/>
      <c r="AH41" s="705"/>
      <c r="AI41" s="705"/>
    </row>
    <row r="42" spans="1:35" ht="10.199999999999999" customHeight="1">
      <c r="A42" s="701"/>
      <c r="B42" s="701"/>
      <c r="C42" s="701"/>
      <c r="D42" s="701"/>
      <c r="E42" s="701"/>
      <c r="F42" s="754"/>
      <c r="H42" s="503"/>
      <c r="J42" s="810"/>
      <c r="K42" s="705"/>
      <c r="L42" s="705"/>
      <c r="M42" s="739"/>
      <c r="N42" s="706">
        <f t="shared" ref="N42" ca="1" si="107">$N$54*COS(-M39/360*2*PI())-$O$54*SIN(-M39/360*2*PI())</f>
        <v>1.6343410944593519</v>
      </c>
      <c r="O42" s="706">
        <f t="shared" ref="O42" ca="1" si="108">$N$54*SIN(-M39/360*2*PI())+$O$54*COS(-M39/360*2*PI())</f>
        <v>-1.5509143873732709</v>
      </c>
      <c r="P42" s="704">
        <f ca="1">$P$54*COS(-M39/360*2*PI())-$Q$54*SIN(-M39/360*2*PI())</f>
        <v>-3.9060338223322497</v>
      </c>
      <c r="Q42" s="704">
        <f ca="1">$P$54*SIN(-M39/360*2*PI())+$Q$54*COS(-M39/360*2*PI())</f>
        <v>0.89101529634330301</v>
      </c>
      <c r="R42" s="704">
        <f ca="1">$R$54*COS(-M39/360*2*PI())-$S$54*SIN(-M39/360*2*PI())</f>
        <v>0.37366926049980065</v>
      </c>
      <c r="S42" s="704">
        <f ca="1">$R$54*SIN(-M39/360*2*PI())+$S$54*COS(-M39/360*2*PI())</f>
        <v>1.296165247358684</v>
      </c>
      <c r="T42" s="739">
        <f t="shared" si="16"/>
        <v>15</v>
      </c>
      <c r="U42" s="740">
        <f t="shared" si="2"/>
        <v>0.30185182071533384</v>
      </c>
      <c r="V42" s="740">
        <f t="shared" si="71"/>
        <v>8.0880951594537731E-2</v>
      </c>
      <c r="W42" s="704">
        <f t="shared" ref="W42:W72" si="109">COS(RADIANS(T42))*(PivitDia/2+HBearingThick+HookThick)</f>
        <v>0.76066658820264133</v>
      </c>
      <c r="X42" s="704">
        <f t="shared" ref="X42:X72" si="110">SIN(RADIANS(T42))*(PivitDia/2+HBearingThick+HookThick)</f>
        <v>0.20381999801823508</v>
      </c>
      <c r="Y42" s="704">
        <f t="shared" si="103"/>
        <v>0.39844440334424064</v>
      </c>
      <c r="Z42" s="704">
        <f t="shared" si="104"/>
        <v>0.10676285610478981</v>
      </c>
      <c r="AA42" s="9"/>
      <c r="AB42" s="9"/>
      <c r="AC42" s="802">
        <f t="shared" ca="1" si="17"/>
        <v>-98.840137663067821</v>
      </c>
      <c r="AD42" s="800">
        <f t="shared" ca="1" si="94"/>
        <v>1.1243276075038631</v>
      </c>
      <c r="AE42" s="800">
        <f t="shared" ca="1" si="95"/>
        <v>-7.2292133979027851</v>
      </c>
      <c r="AF42" s="705"/>
      <c r="AG42" s="705"/>
      <c r="AH42" s="705"/>
      <c r="AI42" s="705"/>
    </row>
    <row r="43" spans="1:35" ht="10.199999999999999" customHeight="1">
      <c r="A43" s="701"/>
      <c r="B43" s="701"/>
      <c r="C43" s="701"/>
      <c r="D43" s="701"/>
      <c r="E43" s="701"/>
      <c r="F43" s="754"/>
      <c r="H43" s="503"/>
      <c r="J43" s="810"/>
      <c r="K43" s="705"/>
      <c r="L43" s="705"/>
      <c r="M43" s="739"/>
      <c r="N43" s="706">
        <f t="shared" ref="N43:O43" ca="1" si="111">N39</f>
        <v>-2.2091305471717506</v>
      </c>
      <c r="O43" s="706">
        <f t="shared" ca="1" si="111"/>
        <v>-0.44288652672286355</v>
      </c>
      <c r="P43" s="704">
        <f ca="1">P39</f>
        <v>3.7809094609299554</v>
      </c>
      <c r="Q43" s="704">
        <f ca="1">Q39</f>
        <v>-1.3250404249575121</v>
      </c>
      <c r="R43" s="705"/>
      <c r="S43" s="705"/>
      <c r="T43" s="739">
        <f t="shared" si="16"/>
        <v>20</v>
      </c>
      <c r="U43" s="740">
        <f t="shared" si="2"/>
        <v>0.29365394399559641</v>
      </c>
      <c r="V43" s="740">
        <f t="shared" si="71"/>
        <v>0.10688129478927147</v>
      </c>
      <c r="W43" s="704">
        <f t="shared" si="109"/>
        <v>0.74000793886890281</v>
      </c>
      <c r="X43" s="704">
        <f t="shared" si="110"/>
        <v>0.26934086286896408</v>
      </c>
      <c r="Y43" s="704">
        <f t="shared" si="103"/>
        <v>0.38762320607418721</v>
      </c>
      <c r="Z43" s="704">
        <f t="shared" si="104"/>
        <v>0.14108330912183834</v>
      </c>
      <c r="AA43" s="9"/>
      <c r="AB43" s="9"/>
      <c r="AC43" s="802">
        <f t="shared" ca="1" si="17"/>
        <v>-101.78685021742376</v>
      </c>
      <c r="AD43" s="800">
        <f t="shared" ca="1" si="94"/>
        <v>1.4944743762947843</v>
      </c>
      <c r="AE43" s="800">
        <f t="shared" ca="1" si="95"/>
        <v>-7.1618562719458989</v>
      </c>
      <c r="AF43" s="705"/>
      <c r="AG43" s="705"/>
      <c r="AH43" s="705"/>
      <c r="AI43" s="705"/>
    </row>
    <row r="44" spans="1:35" ht="10.199999999999999" customHeight="1">
      <c r="A44" s="701"/>
      <c r="B44" s="701"/>
      <c r="C44" s="701"/>
      <c r="D44" s="701"/>
      <c r="E44" s="701"/>
      <c r="F44" s="754"/>
      <c r="H44" s="503"/>
      <c r="J44" s="810"/>
      <c r="K44" s="705"/>
      <c r="L44" s="705"/>
      <c r="M44" s="739"/>
      <c r="N44" s="705"/>
      <c r="O44" s="705"/>
      <c r="P44" s="705"/>
      <c r="Q44" s="705"/>
      <c r="R44" s="704">
        <f ca="1">$R$56*COS(-M39/360*2*PI())-$S$56*SIN(-M39/360*2*PI())</f>
        <v>0.52478260792839593</v>
      </c>
      <c r="S44" s="704">
        <f ca="1">$R$56*SIN(-M39/360*2*PI())+$S$56*COS(-M39/360*2*PI())</f>
        <v>1.0226309602411006</v>
      </c>
      <c r="T44" s="739">
        <f t="shared" si="16"/>
        <v>25</v>
      </c>
      <c r="U44" s="740">
        <f t="shared" si="2"/>
        <v>0.28322118344895308</v>
      </c>
      <c r="V44" s="740">
        <f t="shared" si="71"/>
        <v>0.13206820679396858</v>
      </c>
      <c r="W44" s="704">
        <f t="shared" si="109"/>
        <v>0.71371738229136183</v>
      </c>
      <c r="X44" s="704">
        <f t="shared" si="110"/>
        <v>0.33281188112080079</v>
      </c>
      <c r="Y44" s="704">
        <f t="shared" si="103"/>
        <v>0.37385196215261807</v>
      </c>
      <c r="Z44" s="704">
        <f t="shared" si="104"/>
        <v>0.17433003296803851</v>
      </c>
      <c r="AA44" s="9"/>
      <c r="AB44" s="9"/>
      <c r="AC44" s="802">
        <f t="shared" ca="1" si="17"/>
        <v>-104.7335627717797</v>
      </c>
      <c r="AD44" s="800">
        <f t="shared" ca="1" si="94"/>
        <v>1.8606690896639653</v>
      </c>
      <c r="AE44" s="800">
        <f t="shared" ca="1" si="95"/>
        <v>-7.0755600103583021</v>
      </c>
      <c r="AF44" s="705"/>
      <c r="AG44" s="705"/>
      <c r="AH44" s="705"/>
      <c r="AI44" s="705"/>
    </row>
    <row r="45" spans="1:35" ht="10.199999999999999" customHeight="1">
      <c r="A45" s="701"/>
      <c r="B45" s="701"/>
      <c r="C45" s="701"/>
      <c r="D45" s="701"/>
      <c r="E45" s="701"/>
      <c r="F45" s="754"/>
      <c r="H45" s="503"/>
      <c r="J45" s="810"/>
      <c r="K45" s="705"/>
      <c r="L45" s="705"/>
      <c r="M45" s="503"/>
      <c r="N45" s="706">
        <f t="shared" ref="N45" ca="1" si="112">$N$57*COS(-M39/360*2*PI())-$O$57*SIN(-M39/360*2*PI())</f>
        <v>-2.1236479290161041</v>
      </c>
      <c r="O45" s="706">
        <f t="shared" ref="O45" ca="1" si="113">$N$57*SIN(-M39/360*2*PI())+$O$57*COS(-M39/360*2*PI())</f>
        <v>-0.59762088616916076</v>
      </c>
      <c r="P45" s="705"/>
      <c r="Q45" s="705"/>
      <c r="R45" s="704">
        <f ca="1">$R$57*COS(-M39/360*2*PI())-$S$57*SIN(-M39/360*2*PI())</f>
        <v>0.37366926049980065</v>
      </c>
      <c r="S45" s="704">
        <f ca="1">$R$57*SIN(-M39/360*2*PI())+$S$57*COS(-M39/360*2*PI())</f>
        <v>1.296165247358684</v>
      </c>
      <c r="T45" s="739">
        <f t="shared" si="16"/>
        <v>30</v>
      </c>
      <c r="U45" s="740">
        <f t="shared" si="2"/>
        <v>0.2706329386826371</v>
      </c>
      <c r="V45" s="740">
        <f t="shared" si="71"/>
        <v>0.15624999999999997</v>
      </c>
      <c r="W45" s="9"/>
      <c r="X45" s="9"/>
      <c r="Y45" s="704">
        <f t="shared" si="103"/>
        <v>0.35723547906108094</v>
      </c>
      <c r="Z45" s="704">
        <f t="shared" si="104"/>
        <v>0.20624999999999996</v>
      </c>
      <c r="AA45" s="9"/>
      <c r="AB45" s="9"/>
      <c r="AC45" s="802">
        <f t="shared" ca="1" si="17"/>
        <v>-107.68027532613564</v>
      </c>
      <c r="AD45" s="800">
        <f t="shared" ca="1" si="94"/>
        <v>2.2219433658008234</v>
      </c>
      <c r="AE45" s="800">
        <f t="shared" ca="1" si="95"/>
        <v>-6.9705528188649577</v>
      </c>
      <c r="AF45" s="705"/>
      <c r="AG45" s="705"/>
      <c r="AH45" s="705"/>
      <c r="AI45" s="705"/>
    </row>
    <row r="46" spans="1:35" ht="10.199999999999999" customHeight="1">
      <c r="A46" s="701"/>
      <c r="B46" s="701"/>
      <c r="C46" s="701"/>
      <c r="D46" s="701"/>
      <c r="E46" s="701"/>
      <c r="F46" s="754"/>
      <c r="H46" s="503"/>
      <c r="J46" s="810"/>
      <c r="K46" s="705"/>
      <c r="L46" s="705"/>
      <c r="M46" s="503"/>
      <c r="N46" s="706">
        <f t="shared" ref="N46" ca="1" si="114">$N$58*COS(-M39/360*2*PI())-$O$58*SIN(-M39/360*2*PI())</f>
        <v>-3.7164379787010646</v>
      </c>
      <c r="O46" s="706">
        <f t="shared" ref="O46" ca="1" si="115">$N$58*SIN(-M39/360*2*PI())+$O$58*COS(-M39/360*2*PI())</f>
        <v>-6.1226113710138694</v>
      </c>
      <c r="P46" s="705"/>
      <c r="Q46" s="705"/>
      <c r="R46" s="704">
        <f ca="1">$R$58*COS(-M39/360*2*PI())-$S$58*SIN(-M39/360*2*PI())</f>
        <v>0.10013497338221702</v>
      </c>
      <c r="S46" s="704">
        <f ca="1">$R$58*SIN(-M39/360*2*PI())+$S$58*COS(-M39/360*2*PI())</f>
        <v>1.1450518999300889</v>
      </c>
      <c r="T46" s="739">
        <f t="shared" si="16"/>
        <v>35</v>
      </c>
      <c r="U46" s="740">
        <f t="shared" si="2"/>
        <v>0.25598501384030992</v>
      </c>
      <c r="V46" s="740">
        <f t="shared" si="71"/>
        <v>0.17924263635970189</v>
      </c>
      <c r="W46" s="704">
        <f t="shared" si="109"/>
        <v>0.64508223487758098</v>
      </c>
      <c r="X46" s="704">
        <f t="shared" si="110"/>
        <v>0.45169144362644875</v>
      </c>
      <c r="Y46" s="704">
        <f t="shared" si="103"/>
        <v>0.33790021826920907</v>
      </c>
      <c r="Z46" s="704">
        <f t="shared" si="104"/>
        <v>0.23660027999480648</v>
      </c>
      <c r="AA46" s="9"/>
      <c r="AB46" s="9"/>
      <c r="AC46" s="802">
        <f t="shared" ca="1" si="17"/>
        <v>-110.62698788049158</v>
      </c>
      <c r="AD46" s="800">
        <f t="shared" ca="1" si="94"/>
        <v>2.5773418347208441</v>
      </c>
      <c r="AE46" s="800">
        <f t="shared" ca="1" si="95"/>
        <v>-6.8471123832174907</v>
      </c>
      <c r="AF46" s="705"/>
      <c r="AG46" s="705"/>
      <c r="AH46" s="705"/>
      <c r="AI46" s="705"/>
    </row>
    <row r="47" spans="1:35" ht="10.199999999999999" customHeight="1">
      <c r="H47" s="503"/>
      <c r="J47" s="810"/>
      <c r="K47" s="705"/>
      <c r="L47" s="705"/>
      <c r="M47" s="503"/>
      <c r="N47" s="706">
        <f t="shared" ref="N47" ca="1" si="116">$N$59*COS(-M39/360*2*PI())-$O$59*SIN(-M39/360*2*PI())</f>
        <v>-0.11318331467190612</v>
      </c>
      <c r="O47" s="706">
        <f t="shared" ref="O47" ca="1" si="117">$N$59*SIN(-M39/360*2*PI())+$O$59*COS(-M39/360*2*PI())</f>
        <v>-7.1613874903736274</v>
      </c>
      <c r="P47" s="705"/>
      <c r="Q47" s="705"/>
      <c r="R47" s="705"/>
      <c r="S47" s="705"/>
      <c r="T47" s="739">
        <f t="shared" si="16"/>
        <v>40</v>
      </c>
      <c r="U47" s="740">
        <f t="shared" si="2"/>
        <v>0.23938888847468062</v>
      </c>
      <c r="V47" s="740">
        <f t="shared" si="71"/>
        <v>0.20087112802704352</v>
      </c>
      <c r="W47" s="704">
        <f t="shared" si="109"/>
        <v>0.6032599989561952</v>
      </c>
      <c r="X47" s="704">
        <f t="shared" si="110"/>
        <v>0.50619524262814963</v>
      </c>
      <c r="Y47" s="704">
        <f t="shared" si="103"/>
        <v>0.31599333278657843</v>
      </c>
      <c r="Z47" s="704">
        <f t="shared" si="104"/>
        <v>0.26514988899569741</v>
      </c>
      <c r="AA47" s="9"/>
      <c r="AB47" s="9"/>
      <c r="AC47" s="802">
        <f t="shared" ca="1" si="17"/>
        <v>-113.57370043484752</v>
      </c>
      <c r="AD47" s="800">
        <f t="shared" ca="1" si="94"/>
        <v>2.9259246646890347</v>
      </c>
      <c r="AE47" s="800">
        <f t="shared" ca="1" si="95"/>
        <v>-6.7055651348694587</v>
      </c>
      <c r="AF47" s="705"/>
      <c r="AG47" s="705"/>
      <c r="AH47" s="705"/>
      <c r="AI47" s="705"/>
    </row>
    <row r="48" spans="1:35" ht="10.199999999999999" customHeight="1">
      <c r="H48" s="503"/>
      <c r="J48" s="810"/>
      <c r="K48" s="705"/>
      <c r="L48" s="705"/>
      <c r="M48" s="503"/>
      <c r="N48" s="706">
        <f t="shared" ref="N48" ca="1" si="118">$N$60*COS(-M39/360*2*PI())-$O$60*SIN(-M39/360*2*PI())</f>
        <v>1.4796067350130546</v>
      </c>
      <c r="O48" s="706">
        <f t="shared" ref="O48" ca="1" si="119">$N$60*SIN(-M39/360*2*PI())+$O$60*COS(-M39/360*2*PI())</f>
        <v>-1.6363970055289179</v>
      </c>
      <c r="P48" s="705"/>
      <c r="Q48" s="705"/>
      <c r="R48" s="705"/>
      <c r="S48" s="705"/>
      <c r="T48" s="739">
        <f t="shared" si="16"/>
        <v>45</v>
      </c>
      <c r="U48" s="740">
        <f t="shared" si="2"/>
        <v>0.22097086912079611</v>
      </c>
      <c r="V48" s="740">
        <f t="shared" si="71"/>
        <v>0.22097086912079608</v>
      </c>
      <c r="W48" s="704">
        <f t="shared" si="109"/>
        <v>0.55684659018440619</v>
      </c>
      <c r="X48" s="704">
        <f t="shared" si="110"/>
        <v>0.55684659018440608</v>
      </c>
      <c r="Y48" s="704">
        <f t="shared" si="103"/>
        <v>0.29168154723945083</v>
      </c>
      <c r="Z48" s="704">
        <f t="shared" si="104"/>
        <v>0.29168154723945083</v>
      </c>
      <c r="AA48" s="9"/>
      <c r="AB48" s="9"/>
      <c r="AC48" s="802">
        <f t="shared" ca="1" si="17"/>
        <v>-116.52041298920346</v>
      </c>
      <c r="AD48" s="800">
        <f t="shared" ca="1" si="94"/>
        <v>3.2667700475533428</v>
      </c>
      <c r="AE48" s="800">
        <f t="shared" ca="1" si="95"/>
        <v>-6.5462853877463081</v>
      </c>
      <c r="AF48" s="705"/>
      <c r="AG48" s="705"/>
      <c r="AH48" s="705"/>
      <c r="AI48" s="705"/>
    </row>
    <row r="49" spans="8:35" ht="10.199999999999999" customHeight="1">
      <c r="H49" s="503"/>
      <c r="J49" s="810"/>
      <c r="K49" s="705"/>
      <c r="L49" s="705"/>
      <c r="M49" s="503"/>
      <c r="N49" s="706">
        <f t="shared" ref="N49:O49" ca="1" si="120">N45</f>
        <v>-2.1236479290161041</v>
      </c>
      <c r="O49" s="706">
        <f t="shared" ca="1" si="120"/>
        <v>-0.59762088616916076</v>
      </c>
      <c r="P49" s="705"/>
      <c r="Q49" s="705"/>
      <c r="R49" s="705"/>
      <c r="S49" s="705"/>
      <c r="T49" s="739">
        <f t="shared" si="16"/>
        <v>50</v>
      </c>
      <c r="U49" s="740">
        <f t="shared" si="2"/>
        <v>0.20087112802704354</v>
      </c>
      <c r="V49" s="740">
        <f t="shared" si="71"/>
        <v>0.23938888847468062</v>
      </c>
      <c r="W49" s="9"/>
      <c r="X49" s="9"/>
      <c r="Y49" s="704">
        <f t="shared" si="103"/>
        <v>0.26514988899569747</v>
      </c>
      <c r="Z49" s="704">
        <f t="shared" si="104"/>
        <v>0.31599333278657843</v>
      </c>
      <c r="AA49" s="9"/>
      <c r="AB49" s="9"/>
      <c r="AC49" s="802">
        <f t="shared" ca="1" si="17"/>
        <v>-119.4671255435594</v>
      </c>
      <c r="AD49" s="800">
        <f t="shared" ca="1" si="94"/>
        <v>3.5989766364156921</v>
      </c>
      <c r="AE49" s="800">
        <f t="shared" ca="1" si="95"/>
        <v>-6.3696943483927466</v>
      </c>
      <c r="AF49" s="705"/>
      <c r="AG49" s="705"/>
      <c r="AH49" s="705"/>
      <c r="AI49" s="705"/>
    </row>
    <row r="50" spans="8:35" ht="10.199999999999999" customHeight="1">
      <c r="H50" s="503"/>
      <c r="J50" s="810"/>
      <c r="K50" s="705"/>
      <c r="L50" s="705"/>
      <c r="M50" s="503"/>
      <c r="N50" s="705"/>
      <c r="O50" s="705"/>
      <c r="P50" s="705"/>
      <c r="Q50" s="705"/>
      <c r="R50" s="705"/>
      <c r="S50" s="705"/>
      <c r="T50" s="739">
        <f t="shared" si="16"/>
        <v>55</v>
      </c>
      <c r="U50" s="740">
        <f t="shared" si="2"/>
        <v>0.17924263635970192</v>
      </c>
      <c r="V50" s="740">
        <f t="shared" si="71"/>
        <v>0.25598501384030992</v>
      </c>
      <c r="W50" s="704">
        <f t="shared" si="109"/>
        <v>0.45169144362644886</v>
      </c>
      <c r="X50" s="704">
        <f t="shared" si="110"/>
        <v>0.64508223487758098</v>
      </c>
      <c r="Y50" s="704">
        <f t="shared" si="103"/>
        <v>0.23660027999480654</v>
      </c>
      <c r="Z50" s="704">
        <f t="shared" si="104"/>
        <v>0.33790021826920907</v>
      </c>
      <c r="AA50" s="9"/>
      <c r="AB50" s="9"/>
      <c r="AC50" s="802">
        <f t="shared" ca="1" si="17"/>
        <v>-122.41383809791535</v>
      </c>
      <c r="AD50" s="800">
        <f t="shared" ca="1" si="94"/>
        <v>3.9216659291943685</v>
      </c>
      <c r="AE50" s="800">
        <f t="shared" ca="1" si="95"/>
        <v>-6.1762590021151613</v>
      </c>
      <c r="AF50" s="705"/>
      <c r="AG50" s="705"/>
      <c r="AH50" s="705"/>
      <c r="AI50" s="705"/>
    </row>
    <row r="51" spans="8:35" ht="10.199999999999999" customHeight="1">
      <c r="H51" s="503"/>
      <c r="J51" s="810"/>
      <c r="K51" s="705"/>
      <c r="L51" s="705"/>
      <c r="M51" s="801">
        <v>0</v>
      </c>
      <c r="N51" s="706">
        <f ca="1">-HBeamWide/2</f>
        <v>-2</v>
      </c>
      <c r="O51" s="707">
        <f>-PivitDia*0.5-HBearingThick-HookThick-HGaps</f>
        <v>-1.0375000000000001</v>
      </c>
      <c r="P51" s="816">
        <v>4</v>
      </c>
      <c r="Q51" s="803">
        <f>O51+HPVShim</f>
        <v>-0.22585056900797962</v>
      </c>
      <c r="R51" s="803">
        <f ca="1">R56*S51/S54</f>
        <v>-3.699640539105082E-2</v>
      </c>
      <c r="S51" s="704">
        <f>O51+HPVShim</f>
        <v>-0.22585056900797962</v>
      </c>
      <c r="T51" s="739">
        <f t="shared" si="16"/>
        <v>60</v>
      </c>
      <c r="U51" s="740">
        <f t="shared" si="2"/>
        <v>0.15625000000000003</v>
      </c>
      <c r="V51" s="740">
        <f t="shared" si="71"/>
        <v>0.27063293868263705</v>
      </c>
      <c r="W51" s="704">
        <f t="shared" si="109"/>
        <v>0.3937500000000001</v>
      </c>
      <c r="X51" s="704">
        <f t="shared" si="110"/>
        <v>0.68199500548024539</v>
      </c>
      <c r="Y51" s="704">
        <f t="shared" si="103"/>
        <v>0.20625000000000004</v>
      </c>
      <c r="Z51" s="704">
        <f t="shared" si="104"/>
        <v>0.35723547906108089</v>
      </c>
      <c r="AA51" s="9"/>
      <c r="AB51" s="9"/>
      <c r="AC51" s="802">
        <f t="shared" ca="1" si="17"/>
        <v>-125.36055065227129</v>
      </c>
      <c r="AD51" s="800">
        <f t="shared" ca="1" si="94"/>
        <v>4.2339845917745178</v>
      </c>
      <c r="AE51" s="800">
        <f t="shared" ca="1" si="95"/>
        <v>-5.9664908780646329</v>
      </c>
      <c r="AF51" s="705"/>
      <c r="AG51" s="705"/>
      <c r="AH51" s="705"/>
      <c r="AI51" s="705"/>
    </row>
    <row r="52" spans="8:35" ht="10.199999999999999" customHeight="1">
      <c r="H52" s="503"/>
      <c r="J52" s="810"/>
      <c r="K52" s="705"/>
      <c r="L52" s="705"/>
      <c r="M52" s="739"/>
      <c r="N52" s="706">
        <f ca="1">N51</f>
        <v>-2</v>
      </c>
      <c r="O52" s="706">
        <f ca="1">-PivitDia*0.5-HBearingThick-HookThick-HGaps-HBeamHigh</f>
        <v>-7.0374999999999996</v>
      </c>
      <c r="P52" s="704">
        <f>P51</f>
        <v>4</v>
      </c>
      <c r="Q52" s="704">
        <f ca="1">O51+HPVShim+PThickIn</f>
        <v>1.3489525805983198</v>
      </c>
      <c r="R52" s="704">
        <f ca="1">-R51</f>
        <v>3.699640539105082E-2</v>
      </c>
      <c r="S52" s="704">
        <f>O51+HPVShim</f>
        <v>-0.22585056900797962</v>
      </c>
      <c r="T52" s="739">
        <f t="shared" si="16"/>
        <v>65</v>
      </c>
      <c r="U52" s="740">
        <f t="shared" si="2"/>
        <v>0.13206820679396858</v>
      </c>
      <c r="V52" s="740">
        <f t="shared" si="71"/>
        <v>0.28322118344895308</v>
      </c>
      <c r="W52" s="704">
        <f t="shared" si="109"/>
        <v>0.33281188112080079</v>
      </c>
      <c r="X52" s="704">
        <f t="shared" si="110"/>
        <v>0.71371738229136183</v>
      </c>
      <c r="Y52" s="704">
        <f t="shared" si="103"/>
        <v>0.17433003296803851</v>
      </c>
      <c r="Z52" s="704">
        <f t="shared" si="104"/>
        <v>0.37385196215261807</v>
      </c>
      <c r="AA52" s="9"/>
      <c r="AB52" s="9"/>
      <c r="AC52" s="802">
        <f t="shared" ca="1" si="17"/>
        <v>-128.30726320662723</v>
      </c>
      <c r="AD52" s="800">
        <f t="shared" ca="1" si="94"/>
        <v>4.5351067146033657</v>
      </c>
      <c r="AE52" s="800">
        <f t="shared" ca="1" si="95"/>
        <v>-5.7409446965261708</v>
      </c>
      <c r="AF52" s="705"/>
      <c r="AG52" s="705"/>
      <c r="AH52" s="705"/>
      <c r="AI52" s="705"/>
    </row>
    <row r="53" spans="8:35" ht="10.199999999999999" customHeight="1">
      <c r="H53" s="503"/>
      <c r="J53" s="810"/>
      <c r="K53" s="705"/>
      <c r="L53" s="705"/>
      <c r="M53" s="739"/>
      <c r="N53" s="706">
        <f ca="1">-N51</f>
        <v>2</v>
      </c>
      <c r="O53" s="706">
        <f ca="1">-PivitDia*0.5-HBearingThick-HookThick-HGaps-HBeamHigh</f>
        <v>-7.0374999999999996</v>
      </c>
      <c r="P53" s="704">
        <f>-P51</f>
        <v>-4</v>
      </c>
      <c r="Q53" s="704">
        <f ca="1">O51+HPVShim+PThickIn</f>
        <v>1.3489525805983198</v>
      </c>
      <c r="R53" s="704">
        <f>0</f>
        <v>0</v>
      </c>
      <c r="S53" s="704">
        <f>O51+HPVShim</f>
        <v>-0.22585056900797962</v>
      </c>
      <c r="T53" s="739">
        <f t="shared" si="16"/>
        <v>70</v>
      </c>
      <c r="U53" s="740">
        <f t="shared" si="2"/>
        <v>0.10688129478927151</v>
      </c>
      <c r="V53" s="740">
        <f t="shared" si="71"/>
        <v>0.29365394399559636</v>
      </c>
      <c r="W53" s="9"/>
      <c r="X53" s="9"/>
      <c r="Y53" s="704">
        <f t="shared" si="103"/>
        <v>0.14108330912183839</v>
      </c>
      <c r="Z53" s="704">
        <f t="shared" si="104"/>
        <v>0.38762320607418715</v>
      </c>
      <c r="AA53" s="9"/>
      <c r="AB53" s="9"/>
      <c r="AC53" s="802">
        <f t="shared" ca="1" si="17"/>
        <v>-131.25397576098317</v>
      </c>
      <c r="AD53" s="800">
        <f t="shared" ca="1" si="94"/>
        <v>4.8242359967626678</v>
      </c>
      <c r="AE53" s="800">
        <f t="shared" ca="1" si="95"/>
        <v>-5.5002169019913936</v>
      </c>
      <c r="AF53" s="705"/>
      <c r="AG53" s="705"/>
      <c r="AH53" s="705"/>
      <c r="AI53" s="705"/>
    </row>
    <row r="54" spans="8:35" ht="10.199999999999999" customHeight="1">
      <c r="H54" s="503"/>
      <c r="J54" s="810"/>
      <c r="K54" s="705"/>
      <c r="L54" s="705"/>
      <c r="M54" s="739"/>
      <c r="N54" s="706">
        <f ca="1">N53</f>
        <v>2</v>
      </c>
      <c r="O54" s="706">
        <f>O51</f>
        <v>-1.0375000000000001</v>
      </c>
      <c r="P54" s="704">
        <f>-P51</f>
        <v>-4</v>
      </c>
      <c r="Q54" s="704">
        <f>O51+HPVShim</f>
        <v>-0.22585056900797962</v>
      </c>
      <c r="R54" s="704">
        <f>0</f>
        <v>0</v>
      </c>
      <c r="S54" s="704">
        <f ca="1">O51+HPVShim+PThickIn</f>
        <v>1.3489525805983198</v>
      </c>
      <c r="T54" s="739">
        <f t="shared" si="16"/>
        <v>75</v>
      </c>
      <c r="U54" s="740">
        <f t="shared" si="2"/>
        <v>8.0880951594537731E-2</v>
      </c>
      <c r="V54" s="740">
        <f t="shared" si="71"/>
        <v>0.30185182071533384</v>
      </c>
      <c r="W54" s="704">
        <f t="shared" si="109"/>
        <v>0.20381999801823508</v>
      </c>
      <c r="X54" s="704">
        <f t="shared" si="110"/>
        <v>0.76066658820264133</v>
      </c>
      <c r="Y54" s="704">
        <f t="shared" si="103"/>
        <v>0.10676285610478981</v>
      </c>
      <c r="Z54" s="704">
        <f t="shared" si="104"/>
        <v>0.39844440334424064</v>
      </c>
      <c r="AA54" s="9"/>
      <c r="AB54" s="9"/>
      <c r="AC54" s="802">
        <f t="shared" ca="1" si="17"/>
        <v>-134.20068831533911</v>
      </c>
      <c r="AD54" s="800">
        <f t="shared" ca="1" si="94"/>
        <v>5.1006078517427706</v>
      </c>
      <c r="AE54" s="800">
        <f t="shared" ca="1" si="95"/>
        <v>-5.2449440858938141</v>
      </c>
      <c r="AF54" s="705"/>
      <c r="AG54" s="705"/>
      <c r="AH54" s="705"/>
      <c r="AI54" s="705"/>
    </row>
    <row r="55" spans="8:35" ht="10.199999999999999" customHeight="1">
      <c r="H55" s="503"/>
      <c r="J55" s="810"/>
      <c r="K55" s="705"/>
      <c r="L55" s="705"/>
      <c r="M55" s="739"/>
      <c r="N55" s="706">
        <f ca="1">N51</f>
        <v>-2</v>
      </c>
      <c r="O55" s="706">
        <f>O51</f>
        <v>-1.0375000000000001</v>
      </c>
      <c r="P55" s="704">
        <f>P51</f>
        <v>4</v>
      </c>
      <c r="Q55" s="704">
        <f>Q51</f>
        <v>-0.22585056900797962</v>
      </c>
      <c r="T55" s="739">
        <f t="shared" si="16"/>
        <v>80</v>
      </c>
      <c r="U55" s="740">
        <f t="shared" si="2"/>
        <v>5.4265055520915755E-2</v>
      </c>
      <c r="V55" s="740">
        <f t="shared" si="71"/>
        <v>0.30775242281631499</v>
      </c>
      <c r="W55" s="704">
        <f t="shared" si="109"/>
        <v>0.1367479399127077</v>
      </c>
      <c r="X55" s="704">
        <f t="shared" si="110"/>
        <v>0.77553610549711383</v>
      </c>
      <c r="Y55" s="704">
        <f t="shared" si="103"/>
        <v>7.1629873287608795E-2</v>
      </c>
      <c r="Z55" s="704">
        <f t="shared" si="104"/>
        <v>0.40623319811753578</v>
      </c>
      <c r="AA55" s="9"/>
      <c r="AB55" s="9"/>
      <c r="AC55" s="802">
        <f t="shared" ca="1" si="17"/>
        <v>-137.14740086969505</v>
      </c>
      <c r="AD55" s="800">
        <f t="shared" ca="1" si="94"/>
        <v>5.363491429349641</v>
      </c>
      <c r="AE55" s="800">
        <f t="shared" ca="1" si="95"/>
        <v>-4.9758013031777537</v>
      </c>
      <c r="AF55" s="705"/>
      <c r="AG55" s="705"/>
      <c r="AH55" s="705"/>
      <c r="AI55" s="705"/>
    </row>
    <row r="56" spans="8:35" ht="10.199999999999999" customHeight="1">
      <c r="H56" s="503"/>
      <c r="J56" s="810"/>
      <c r="K56" s="705"/>
      <c r="L56" s="705"/>
      <c r="M56" s="739"/>
      <c r="N56" s="705"/>
      <c r="O56" s="705"/>
      <c r="P56" s="705"/>
      <c r="Q56" s="705"/>
      <c r="R56" s="816">
        <f>PivitDia*2^0.5/4</f>
        <v>0.22097086912079611</v>
      </c>
      <c r="S56" s="704">
        <f ca="1">O51+HPVShim+PThickIn-R56</f>
        <v>1.1279817114775237</v>
      </c>
      <c r="T56" s="739">
        <f t="shared" si="16"/>
        <v>85</v>
      </c>
      <c r="U56" s="740">
        <f t="shared" si="2"/>
        <v>2.7236169608643168E-2</v>
      </c>
      <c r="V56" s="740">
        <f t="shared" si="71"/>
        <v>0.31131084315367047</v>
      </c>
      <c r="W56" s="704">
        <f t="shared" si="109"/>
        <v>6.8635147413780781E-2</v>
      </c>
      <c r="X56" s="704">
        <f t="shared" si="110"/>
        <v>0.7845033247472496</v>
      </c>
      <c r="Y56" s="704">
        <f t="shared" si="103"/>
        <v>3.5951743883408979E-2</v>
      </c>
      <c r="Z56" s="704">
        <f t="shared" si="104"/>
        <v>0.41093031296284499</v>
      </c>
      <c r="AA56" s="9"/>
      <c r="AB56" s="9"/>
      <c r="AC56" s="802">
        <f t="shared" ca="1" si="17"/>
        <v>-140.09411342405099</v>
      </c>
      <c r="AD56" s="800">
        <f t="shared" ca="1" si="94"/>
        <v>5.6121915483980755</v>
      </c>
      <c r="AE56" s="800">
        <f t="shared" ca="1" si="95"/>
        <v>-4.6935002871526192</v>
      </c>
      <c r="AF56" s="705"/>
      <c r="AG56" s="705"/>
      <c r="AH56" s="705"/>
      <c r="AI56" s="705"/>
    </row>
    <row r="57" spans="8:35" ht="10.199999999999999" customHeight="1">
      <c r="H57" s="503"/>
      <c r="J57" s="810"/>
      <c r="K57" s="705"/>
      <c r="L57" s="705"/>
      <c r="M57" s="503"/>
      <c r="N57" s="706">
        <f ca="1">N51+HBeamThick</f>
        <v>-1.875</v>
      </c>
      <c r="O57" s="706">
        <f ca="1">O51-HBeamThick</f>
        <v>-1.1625000000000001</v>
      </c>
      <c r="P57" s="705"/>
      <c r="Q57" s="705"/>
      <c r="R57" s="704">
        <f>0</f>
        <v>0</v>
      </c>
      <c r="S57" s="704">
        <f ca="1">O51+HPVShim+PThickIn</f>
        <v>1.3489525805983198</v>
      </c>
      <c r="T57" s="739">
        <f t="shared" si="16"/>
        <v>90</v>
      </c>
      <c r="U57" s="740">
        <f t="shared" si="2"/>
        <v>1.9142944607947188E-17</v>
      </c>
      <c r="V57" s="740">
        <f t="shared" si="71"/>
        <v>0.3125</v>
      </c>
      <c r="W57" s="9"/>
      <c r="X57" s="9"/>
      <c r="Y57" s="704">
        <f t="shared" si="103"/>
        <v>2.5268686882490288E-17</v>
      </c>
      <c r="Z57" s="704">
        <f t="shared" si="104"/>
        <v>0.41249999999999998</v>
      </c>
      <c r="AA57" s="9"/>
      <c r="AB57" s="9"/>
      <c r="AC57" s="802">
        <f t="shared" ca="1" si="17"/>
        <v>-143.04082597840693</v>
      </c>
      <c r="AD57" s="800">
        <f t="shared" ca="1" si="94"/>
        <v>5.846050535080173</v>
      </c>
      <c r="AE57" s="800">
        <f t="shared" ca="1" si="95"/>
        <v>-4.398787567353228</v>
      </c>
      <c r="AF57" s="705"/>
      <c r="AG57" s="705"/>
      <c r="AH57" s="705"/>
      <c r="AI57" s="705"/>
    </row>
    <row r="58" spans="8:35" ht="10.199999999999999" customHeight="1">
      <c r="H58" s="503"/>
      <c r="J58" s="810"/>
      <c r="K58" s="705"/>
      <c r="L58" s="705"/>
      <c r="M58" s="503"/>
      <c r="N58" s="706">
        <f ca="1">N57</f>
        <v>-1.875</v>
      </c>
      <c r="O58" s="706">
        <f ca="1">O52+HBeamThick</f>
        <v>-6.9124999999999996</v>
      </c>
      <c r="P58" s="705"/>
      <c r="Q58" s="705"/>
      <c r="R58" s="704">
        <f>-R56</f>
        <v>-0.22097086912079611</v>
      </c>
      <c r="S58" s="704">
        <f ca="1">S56</f>
        <v>1.1279817114775237</v>
      </c>
      <c r="T58" s="739">
        <f t="shared" si="16"/>
        <v>95</v>
      </c>
      <c r="U58" s="740">
        <f t="shared" si="2"/>
        <v>-2.7236169608643199E-2</v>
      </c>
      <c r="V58" s="740">
        <f t="shared" si="71"/>
        <v>0.31131084315367047</v>
      </c>
      <c r="W58" s="704">
        <f t="shared" si="109"/>
        <v>-6.8635147413780864E-2</v>
      </c>
      <c r="X58" s="704">
        <f t="shared" si="110"/>
        <v>0.7845033247472496</v>
      </c>
      <c r="Y58" s="704">
        <f t="shared" si="103"/>
        <v>-3.5951743883409021E-2</v>
      </c>
      <c r="Z58" s="704">
        <f t="shared" si="104"/>
        <v>0.41093031296284499</v>
      </c>
      <c r="AA58" s="9"/>
      <c r="AB58" s="9"/>
      <c r="AC58" s="802">
        <f t="shared" ca="1" si="17"/>
        <v>-145.98753853276287</v>
      </c>
      <c r="AD58" s="800">
        <f t="shared" ca="1" si="94"/>
        <v>6.064449962147596</v>
      </c>
      <c r="AE58" s="800">
        <f t="shared" ca="1" si="95"/>
        <v>-4.0924424953834748</v>
      </c>
      <c r="AF58" s="705"/>
      <c r="AG58" s="705"/>
      <c r="AH58" s="705"/>
      <c r="AI58" s="705"/>
    </row>
    <row r="59" spans="8:35" ht="10.199999999999999" customHeight="1">
      <c r="J59" s="810"/>
      <c r="K59" s="705"/>
      <c r="L59" s="705"/>
      <c r="M59" s="503"/>
      <c r="N59" s="706">
        <f ca="1">-N57</f>
        <v>1.875</v>
      </c>
      <c r="O59" s="706">
        <f ca="1">O58</f>
        <v>-6.9124999999999996</v>
      </c>
      <c r="P59" s="705"/>
      <c r="Q59" s="705"/>
      <c r="R59" s="705"/>
      <c r="S59" s="705"/>
      <c r="T59" s="739">
        <f t="shared" si="16"/>
        <v>100</v>
      </c>
      <c r="U59" s="740">
        <f t="shared" si="2"/>
        <v>-5.426505552091572E-2</v>
      </c>
      <c r="V59" s="740">
        <f t="shared" si="71"/>
        <v>0.30775242281631499</v>
      </c>
      <c r="W59" s="704">
        <f t="shared" si="109"/>
        <v>-0.13674793991270762</v>
      </c>
      <c r="X59" s="704">
        <f t="shared" si="110"/>
        <v>0.77553610549711383</v>
      </c>
      <c r="Y59" s="704">
        <f t="shared" si="103"/>
        <v>-7.1629873287608753E-2</v>
      </c>
      <c r="Z59" s="704">
        <f t="shared" si="104"/>
        <v>0.40623319811753578</v>
      </c>
      <c r="AA59" s="9"/>
      <c r="AB59" s="9"/>
      <c r="AC59" s="802">
        <f t="shared" ca="1" si="17"/>
        <v>-148.93425108711881</v>
      </c>
      <c r="AD59" s="800">
        <f t="shared" ca="1" si="94"/>
        <v>6.2668122843084761</v>
      </c>
      <c r="AE59" s="800">
        <f t="shared" ca="1" si="95"/>
        <v>-3.7752751839637959</v>
      </c>
      <c r="AF59" s="705"/>
      <c r="AG59" s="705"/>
      <c r="AH59" s="705"/>
      <c r="AI59" s="705"/>
    </row>
    <row r="60" spans="8:35" ht="10.199999999999999" customHeight="1">
      <c r="J60" s="810"/>
      <c r="K60" s="705"/>
      <c r="L60" s="705"/>
      <c r="M60" s="503"/>
      <c r="N60" s="706">
        <f ca="1">N59</f>
        <v>1.875</v>
      </c>
      <c r="O60" s="706">
        <f ca="1">O57</f>
        <v>-1.1625000000000001</v>
      </c>
      <c r="P60" s="705"/>
      <c r="Q60" s="705"/>
      <c r="R60" s="705"/>
      <c r="S60" s="705"/>
      <c r="T60" s="739">
        <f t="shared" si="16"/>
        <v>105</v>
      </c>
      <c r="U60" s="740">
        <f t="shared" si="2"/>
        <v>-8.0880951594537759E-2</v>
      </c>
      <c r="V60" s="740">
        <f t="shared" si="71"/>
        <v>0.30185182071533384</v>
      </c>
      <c r="W60" s="704">
        <f t="shared" si="109"/>
        <v>-0.20381999801823517</v>
      </c>
      <c r="X60" s="704">
        <f t="shared" si="110"/>
        <v>0.76066658820264133</v>
      </c>
      <c r="Y60" s="704">
        <f t="shared" si="103"/>
        <v>-0.10676285610478985</v>
      </c>
      <c r="Z60" s="704">
        <f t="shared" si="104"/>
        <v>0.39844440334424064</v>
      </c>
      <c r="AA60" s="9"/>
      <c r="AB60" s="9"/>
      <c r="AC60" s="802">
        <f t="shared" ca="1" si="17"/>
        <v>-151.88096364147475</v>
      </c>
      <c r="AD60" s="800">
        <f t="shared" ca="1" si="94"/>
        <v>6.4526023655142239</v>
      </c>
      <c r="AE60" s="800">
        <f t="shared" ca="1" si="95"/>
        <v>-3.4481243646325686</v>
      </c>
      <c r="AF60" s="705"/>
      <c r="AG60" s="705"/>
      <c r="AH60" s="705"/>
      <c r="AI60" s="705"/>
    </row>
    <row r="61" spans="8:35" ht="10.199999999999999" customHeight="1">
      <c r="J61" s="810"/>
      <c r="K61" s="705"/>
      <c r="L61" s="705"/>
      <c r="M61" s="503"/>
      <c r="N61" s="706">
        <f ca="1">N57</f>
        <v>-1.875</v>
      </c>
      <c r="O61" s="706">
        <f ca="1">O57</f>
        <v>-1.1625000000000001</v>
      </c>
      <c r="P61" s="705"/>
      <c r="Q61" s="705"/>
      <c r="R61" s="705"/>
      <c r="S61" s="705"/>
      <c r="T61" s="739">
        <f t="shared" si="16"/>
        <v>110</v>
      </c>
      <c r="U61" s="740">
        <f t="shared" si="2"/>
        <v>-0.10688129478927147</v>
      </c>
      <c r="V61" s="740">
        <f t="shared" si="71"/>
        <v>0.29365394399559641</v>
      </c>
      <c r="W61" s="9"/>
      <c r="X61" s="9"/>
      <c r="Y61" s="704">
        <f t="shared" si="103"/>
        <v>-0.14108330912183834</v>
      </c>
      <c r="Z61" s="704">
        <f t="shared" si="104"/>
        <v>0.38762320607418721</v>
      </c>
      <c r="AA61" s="9"/>
      <c r="AB61" s="9"/>
      <c r="AC61" s="802">
        <f t="shared" ca="1" si="17"/>
        <v>-154.82767619583069</v>
      </c>
      <c r="AD61" s="800">
        <f t="shared" ca="1" si="94"/>
        <v>6.6213288940974149</v>
      </c>
      <c r="AE61" s="800">
        <f t="shared" ca="1" si="95"/>
        <v>-3.1118551697666144</v>
      </c>
      <c r="AF61" s="705"/>
      <c r="AG61" s="705"/>
      <c r="AH61" s="705"/>
      <c r="AI61" s="705"/>
    </row>
    <row r="62" spans="8:35" ht="10.199999999999999" customHeight="1">
      <c r="J62" s="810"/>
      <c r="K62" s="705"/>
      <c r="L62" s="705"/>
      <c r="M62" s="503"/>
      <c r="N62" s="705"/>
      <c r="O62" s="705"/>
      <c r="P62" s="705"/>
      <c r="Q62" s="705"/>
      <c r="R62" s="705"/>
      <c r="S62" s="705"/>
      <c r="T62" s="739">
        <f t="shared" si="16"/>
        <v>115</v>
      </c>
      <c r="U62" s="740">
        <f t="shared" si="2"/>
        <v>-0.13206820679396855</v>
      </c>
      <c r="V62" s="740">
        <f t="shared" si="71"/>
        <v>0.28322118344895314</v>
      </c>
      <c r="W62" s="704">
        <f t="shared" si="109"/>
        <v>-0.33281188112080073</v>
      </c>
      <c r="X62" s="704">
        <f t="shared" si="110"/>
        <v>0.71371738229136195</v>
      </c>
      <c r="Y62" s="704">
        <f t="shared" si="103"/>
        <v>-0.17433003296803845</v>
      </c>
      <c r="Z62" s="704">
        <f t="shared" si="104"/>
        <v>0.37385196215261812</v>
      </c>
      <c r="AA62" s="9"/>
      <c r="AB62" s="9"/>
      <c r="AC62" s="802">
        <f t="shared" ca="1" si="17"/>
        <v>-157.77438875018663</v>
      </c>
      <c r="AD62" s="800">
        <f t="shared" ca="1" si="94"/>
        <v>6.772545682018527</v>
      </c>
      <c r="AE62" s="800">
        <f t="shared" ca="1" si="95"/>
        <v>-2.7673568447861423</v>
      </c>
      <c r="AF62" s="705"/>
      <c r="AG62" s="705"/>
      <c r="AH62" s="705"/>
      <c r="AI62" s="705"/>
    </row>
    <row r="63" spans="8:35" ht="10.199999999999999" customHeight="1">
      <c r="J63" s="810"/>
      <c r="K63" s="705"/>
      <c r="L63" s="705"/>
      <c r="M63" s="801">
        <f ca="1">-90+MaxWidAng</f>
        <v>-16.081651956813701</v>
      </c>
      <c r="N63" s="706">
        <f ca="1">$N$51*COS(-M63/360*2*PI())-$O$51*SIN(-M63/360*2*PI())</f>
        <v>-1.6343410944593519</v>
      </c>
      <c r="O63" s="706">
        <f ca="1">$N$51*SIN(-M63/360*2*PI())+$O$51*COS(-M63/360*2*PI())</f>
        <v>-1.5509143873732709</v>
      </c>
      <c r="P63" s="704">
        <f ca="1">$P$51*COS(-M63/360*2*PI())-$Q$51*SIN(-M63/360*2*PI())</f>
        <v>3.9060338223322497</v>
      </c>
      <c r="Q63" s="704">
        <f ca="1">$P$51*SIN(-M63/360*2*PI())+$Q$51*COS(-M63/360*2*PI())</f>
        <v>0.89101529634330301</v>
      </c>
      <c r="R63" s="704">
        <f t="shared" ref="R63" ca="1" si="121">$R$51*COS(-M63/360*2*PI())-$S$51*SIN(-M63/360*2*PI())</f>
        <v>2.7013521960449254E-2</v>
      </c>
      <c r="S63" s="704">
        <f t="shared" ref="S63" ca="1" si="122">$R$51*SIN(-M63/360*2*PI())+$S$51*COS(-M63/360*2*PI())</f>
        <v>-0.22726082628640482</v>
      </c>
      <c r="T63" s="739">
        <f t="shared" si="16"/>
        <v>120</v>
      </c>
      <c r="U63" s="740">
        <f t="shared" si="2"/>
        <v>-0.15624999999999994</v>
      </c>
      <c r="V63" s="740">
        <f t="shared" si="71"/>
        <v>0.2706329386826371</v>
      </c>
      <c r="W63" s="704">
        <f t="shared" si="109"/>
        <v>-0.39374999999999982</v>
      </c>
      <c r="X63" s="704">
        <f t="shared" si="110"/>
        <v>0.6819950054802455</v>
      </c>
      <c r="Y63" s="704">
        <f t="shared" si="103"/>
        <v>-0.20624999999999991</v>
      </c>
      <c r="Z63" s="704">
        <f t="shared" si="104"/>
        <v>0.35723547906108094</v>
      </c>
      <c r="AA63" s="9"/>
      <c r="AB63" s="9"/>
      <c r="AC63" s="802">
        <f t="shared" ca="1" si="17"/>
        <v>-160.72110130454257</v>
      </c>
      <c r="AD63" s="800">
        <f t="shared" ca="1" si="94"/>
        <v>6.9058528447857004</v>
      </c>
      <c r="AE63" s="800">
        <f t="shared" ca="1" si="95"/>
        <v>-2.4155403965940518</v>
      </c>
      <c r="AF63" s="705"/>
      <c r="AG63" s="705"/>
      <c r="AH63" s="705"/>
      <c r="AI63" s="705"/>
    </row>
    <row r="64" spans="8:35" ht="10.199999999999999" customHeight="1">
      <c r="L64" s="503"/>
      <c r="M64" s="739"/>
      <c r="N64" s="706">
        <f ca="1">$N$52*COS(-M63/360*2*PI())-$O$52*SIN(-M63/360*2*PI())</f>
        <v>2.7700696516259393E-2</v>
      </c>
      <c r="O64" s="706">
        <f ca="1">$N$52*SIN(-M63/360*2*PI())+$O$52*COS(-M63/360*2*PI())</f>
        <v>-7.3161218498199245</v>
      </c>
      <c r="P64" s="704">
        <f ca="1">$P$52*COS(-M63/360*2*PI())-$Q$52*SIN(-M63/360*2*PI())</f>
        <v>3.4698023811313021</v>
      </c>
      <c r="Q64" s="704">
        <f ca="1">$P$52*SIN(-M63/360*2*PI())+$Q$52*COS(-M63/360*2*PI())</f>
        <v>2.4041931080090917</v>
      </c>
      <c r="R64" s="704">
        <f t="shared" ref="R64" ca="1" si="123">$R$52*COS(-M63/360*2*PI())-$S$52*SIN(-M63/360*2*PI())</f>
        <v>9.8110839441845177E-2</v>
      </c>
      <c r="S64" s="704">
        <f t="shared" ref="S64" ca="1" si="124">$R$52*SIN(-M63/360*2*PI())+$S$52*COS(-M63/360*2*PI())</f>
        <v>-0.20676430232780418</v>
      </c>
      <c r="T64" s="739">
        <f t="shared" si="16"/>
        <v>125</v>
      </c>
      <c r="U64" s="740">
        <f t="shared" si="2"/>
        <v>-0.17924263635970192</v>
      </c>
      <c r="V64" s="740">
        <f t="shared" si="71"/>
        <v>0.25598501384030992</v>
      </c>
      <c r="W64" s="704">
        <f t="shared" si="109"/>
        <v>-0.45169144362644886</v>
      </c>
      <c r="X64" s="704">
        <f t="shared" si="110"/>
        <v>0.64508223487758098</v>
      </c>
      <c r="Y64" s="704">
        <f t="shared" si="103"/>
        <v>-0.23660027999480654</v>
      </c>
      <c r="Z64" s="704">
        <f t="shared" si="104"/>
        <v>0.33790021826920907</v>
      </c>
      <c r="AA64" s="9"/>
      <c r="AB64" s="9"/>
      <c r="AC64" s="802">
        <f t="shared" ca="1" si="17"/>
        <v>-163.66781385889851</v>
      </c>
      <c r="AD64" s="800">
        <f t="shared" ca="1" si="94"/>
        <v>7.020897858927321</v>
      </c>
      <c r="AE64" s="800">
        <f t="shared" ca="1" si="95"/>
        <v>-2.0573361844682228</v>
      </c>
      <c r="AF64" s="705"/>
      <c r="AG64" s="705"/>
      <c r="AH64" s="705"/>
      <c r="AI64" s="705"/>
    </row>
    <row r="65" spans="12:35" ht="10.199999999999999" customHeight="1">
      <c r="L65" s="503"/>
      <c r="M65" s="739"/>
      <c r="N65" s="706">
        <f ca="1">$N$53*COS(-M63/360*2*PI())-$O$53*SIN(-M63/360*2*PI())</f>
        <v>3.8711723381473622</v>
      </c>
      <c r="O65" s="706">
        <f ca="1">$N$53*SIN(-M63/360*2*PI())+$O$53*COS(-M63/360*2*PI())</f>
        <v>-6.2080939891695168</v>
      </c>
      <c r="P65" s="704">
        <f ca="1">$P$53*COS(-M63/360*2*PI())-$Q$53*SIN(-M63/360*2*PI())</f>
        <v>-4.217140902130903</v>
      </c>
      <c r="Q65" s="704">
        <f ca="1">$P$53*SIN(-M63/360*2*PI())+$Q$53*COS(-M63/360*2*PI())</f>
        <v>0.18813738670827651</v>
      </c>
      <c r="R65" s="704">
        <f t="shared" ref="R65" ca="1" si="125">$R$53*COS(-M63/360*2*PI())-$S$53*SIN(-M63/360*2*PI())</f>
        <v>6.2562180701147219E-2</v>
      </c>
      <c r="S65" s="704">
        <f t="shared" ref="S65" ca="1" si="126">$R$53*SIN(-M63/360*2*PI())+$S$53*COS(-M63/360*2*PI())</f>
        <v>-0.2170125643071045</v>
      </c>
      <c r="T65" s="739">
        <f t="shared" si="16"/>
        <v>130</v>
      </c>
      <c r="U65" s="740">
        <f t="shared" si="2"/>
        <v>-0.20087112802704354</v>
      </c>
      <c r="V65" s="740">
        <f t="shared" si="71"/>
        <v>0.23938888847468062</v>
      </c>
      <c r="W65" s="9"/>
      <c r="X65" s="9"/>
      <c r="Y65" s="704">
        <f t="shared" si="103"/>
        <v>-0.26514988899569747</v>
      </c>
      <c r="Z65" s="704">
        <f t="shared" si="104"/>
        <v>0.31599333278657843</v>
      </c>
      <c r="AA65" s="9"/>
      <c r="AB65" s="9"/>
      <c r="AC65" s="802">
        <f t="shared" ca="1" si="17"/>
        <v>-166.61452641325445</v>
      </c>
      <c r="AD65" s="800">
        <f t="shared" ca="1" si="94"/>
        <v>7.1173764942209798</v>
      </c>
      <c r="AE65" s="800">
        <f t="shared" ca="1" si="95"/>
        <v>-1.6936914597774817</v>
      </c>
      <c r="AF65" s="705"/>
      <c r="AG65" s="705"/>
      <c r="AH65" s="705"/>
      <c r="AI65" s="705"/>
    </row>
    <row r="66" spans="12:35" ht="10.199999999999999" customHeight="1">
      <c r="L66" s="503"/>
      <c r="M66" s="739"/>
      <c r="N66" s="706">
        <f ca="1">$N$54*COS(-M63/360*2*PI())-$O$54*SIN(-M63/360*2*PI())</f>
        <v>2.2091305471717506</v>
      </c>
      <c r="O66" s="706">
        <f ca="1">$N$54*SIN(-M63/360*2*PI())+$O$54*COS(-M63/360*2*PI())</f>
        <v>-0.44288652672286355</v>
      </c>
      <c r="P66" s="704">
        <f ca="1">$P$54*COS(-M63/360*2*PI())-$Q$54*SIN(-M63/360*2*PI())</f>
        <v>-3.7809094609299554</v>
      </c>
      <c r="Q66" s="704">
        <f ca="1">$P$54*SIN(-M63/360*2*PI())+$Q$54*COS(-M63/360*2*PI())</f>
        <v>-1.3250404249575121</v>
      </c>
      <c r="R66" s="704">
        <f t="shared" ref="R66" ca="1" si="127">$R$54*COS(-M63/360*2*PI())-$S$54*SIN(-M63/360*2*PI())</f>
        <v>-0.37366926049980065</v>
      </c>
      <c r="S66" s="704">
        <f t="shared" ref="S66" ca="1" si="128">$R$54*SIN(-M63/360*2*PI())+$S$54*COS(-M63/360*2*PI())</f>
        <v>1.296165247358684</v>
      </c>
      <c r="T66" s="739">
        <f t="shared" si="16"/>
        <v>135</v>
      </c>
      <c r="U66" s="740">
        <f t="shared" si="2"/>
        <v>-0.22097086912079608</v>
      </c>
      <c r="V66" s="740">
        <f t="shared" si="71"/>
        <v>0.22097086912079611</v>
      </c>
      <c r="W66" s="704">
        <f t="shared" si="109"/>
        <v>-0.55684659018440608</v>
      </c>
      <c r="X66" s="704">
        <f t="shared" si="110"/>
        <v>0.55684659018440619</v>
      </c>
      <c r="Y66" s="704">
        <f t="shared" si="103"/>
        <v>-0.29168154723945083</v>
      </c>
      <c r="Z66" s="704">
        <f t="shared" si="104"/>
        <v>0.29168154723945083</v>
      </c>
      <c r="AA66" s="9"/>
      <c r="AB66" s="9"/>
      <c r="AC66" s="802">
        <f t="shared" ca="1" si="17"/>
        <v>-169.56123896761039</v>
      </c>
      <c r="AD66" s="800">
        <f t="shared" ca="1" si="94"/>
        <v>7.1950336182135937</v>
      </c>
      <c r="AE66" s="800">
        <f t="shared" ca="1" si="95"/>
        <v>-1.325567861027378</v>
      </c>
      <c r="AF66" s="705"/>
      <c r="AG66" s="705"/>
      <c r="AH66" s="705"/>
      <c r="AI66" s="705"/>
    </row>
    <row r="67" spans="12:35" ht="10.199999999999999" customHeight="1">
      <c r="L67" s="503"/>
      <c r="M67" s="739"/>
      <c r="N67" s="706">
        <f ca="1">N63</f>
        <v>-1.6343410944593519</v>
      </c>
      <c r="O67" s="706">
        <f ca="1">O63</f>
        <v>-1.5509143873732709</v>
      </c>
      <c r="P67" s="704">
        <f ca="1">P63</f>
        <v>3.9060338223322497</v>
      </c>
      <c r="Q67" s="704">
        <f ca="1">Q63</f>
        <v>0.89101529634330301</v>
      </c>
      <c r="R67" s="705"/>
      <c r="S67" s="705"/>
      <c r="T67" s="739">
        <f t="shared" si="16"/>
        <v>140</v>
      </c>
      <c r="U67" s="740">
        <f t="shared" ref="U67:U75" si="129">COS(RADIANS(T67))*PivitDia/2</f>
        <v>-0.23938888847468059</v>
      </c>
      <c r="V67" s="740">
        <f t="shared" si="71"/>
        <v>0.2008711280270436</v>
      </c>
      <c r="W67" s="704">
        <f t="shared" si="109"/>
        <v>-0.60325999895619509</v>
      </c>
      <c r="X67" s="704">
        <f t="shared" si="110"/>
        <v>0.50619524262814986</v>
      </c>
      <c r="Y67" s="704">
        <f t="shared" si="103"/>
        <v>-0.31599333278657837</v>
      </c>
      <c r="Z67" s="704">
        <f t="shared" si="104"/>
        <v>0.26514988899569752</v>
      </c>
      <c r="AA67" s="9"/>
      <c r="AB67" s="9"/>
      <c r="AC67" s="802">
        <f t="shared" ca="1" si="17"/>
        <v>-172.50795152196633</v>
      </c>
      <c r="AD67" s="800">
        <f t="shared" ref="AD67:AD75" ca="1" si="130">COS(RADIANS(AC67))*HBeamMin</f>
        <v>7.2536638709051662</v>
      </c>
      <c r="AE67" s="800">
        <f t="shared" ref="AE67:AE75" ca="1" si="131">-SIN(RADIANS(AC67))*HBeamMin</f>
        <v>-0.9539388708599611</v>
      </c>
      <c r="AF67" s="705"/>
      <c r="AG67" s="705"/>
      <c r="AH67" s="705"/>
      <c r="AI67" s="705"/>
    </row>
    <row r="68" spans="12:35" ht="10.199999999999999" customHeight="1">
      <c r="L68" s="503"/>
      <c r="M68" s="739"/>
      <c r="N68" s="705"/>
      <c r="O68" s="705"/>
      <c r="P68" s="705"/>
      <c r="Q68" s="705"/>
      <c r="R68" s="704">
        <f t="shared" ref="R68" ca="1" si="132">$R$56*COS(-M63/360*2*PI())-$S$56*SIN(-M63/360*2*PI())</f>
        <v>-0.10013497338221702</v>
      </c>
      <c r="S68" s="704">
        <f t="shared" ref="S68" ca="1" si="133">$R$56*SIN(-M63/360*2*PI())+$S$56*COS(-M63/360*2*PI())</f>
        <v>1.1450518999300889</v>
      </c>
      <c r="T68" s="739">
        <f t="shared" si="16"/>
        <v>145</v>
      </c>
      <c r="U68" s="740">
        <f t="shared" si="129"/>
        <v>-0.25598501384030997</v>
      </c>
      <c r="V68" s="740">
        <f t="shared" si="71"/>
        <v>0.17924263635970186</v>
      </c>
      <c r="W68" s="704">
        <f t="shared" si="109"/>
        <v>-0.6450822348775811</v>
      </c>
      <c r="X68" s="704">
        <f t="shared" si="110"/>
        <v>0.45169144362644864</v>
      </c>
      <c r="Y68" s="704">
        <f t="shared" si="103"/>
        <v>-0.33790021826920913</v>
      </c>
      <c r="Z68" s="704">
        <f t="shared" si="104"/>
        <v>0.23660027999480643</v>
      </c>
      <c r="AA68" s="9"/>
      <c r="AB68" s="9"/>
      <c r="AC68" s="802">
        <f t="shared" ca="1" si="17"/>
        <v>-175.45466407632227</v>
      </c>
      <c r="AD68" s="800">
        <f t="shared" ca="1" si="130"/>
        <v>7.2931122078120278</v>
      </c>
      <c r="AE68" s="800">
        <f t="shared" ca="1" si="131"/>
        <v>-0.57978724173239471</v>
      </c>
      <c r="AF68" s="705"/>
      <c r="AG68" s="705"/>
      <c r="AH68" s="705"/>
      <c r="AI68" s="705"/>
    </row>
    <row r="69" spans="12:35" ht="10.199999999999999" customHeight="1">
      <c r="L69" s="503"/>
      <c r="M69" s="503"/>
      <c r="N69" s="706">
        <f ca="1">$N$57*COS(-M63/360*2*PI())-$O$57*SIN(-M63/360*2*PI())</f>
        <v>-1.4796067350130546</v>
      </c>
      <c r="O69" s="706">
        <f ca="1">$N$57*SIN(-M63/360*2*PI())+$O$57*COS(-M63/360*2*PI())</f>
        <v>-1.6363970055289179</v>
      </c>
      <c r="P69" s="705"/>
      <c r="Q69" s="705"/>
      <c r="R69" s="704">
        <f t="shared" ref="R69" ca="1" si="134">$R$57*COS(-M63/360*2*PI())-$S$57*SIN(-M63/360*2*PI())</f>
        <v>-0.37366926049980065</v>
      </c>
      <c r="S69" s="704">
        <f t="shared" ref="S69" ca="1" si="135">$R$57*SIN(-M63/360*2*PI())+$S$57*COS(-M63/360*2*PI())</f>
        <v>1.296165247358684</v>
      </c>
      <c r="T69" s="739">
        <f t="shared" ref="T69:T74" si="136">T68+5</f>
        <v>150</v>
      </c>
      <c r="U69" s="740">
        <f t="shared" si="129"/>
        <v>-0.2706329386826371</v>
      </c>
      <c r="V69" s="740">
        <f t="shared" si="71"/>
        <v>0.15624999999999997</v>
      </c>
      <c r="W69" s="9"/>
      <c r="X69" s="9"/>
      <c r="Y69" s="704">
        <f t="shared" si="103"/>
        <v>-0.35723547906108094</v>
      </c>
      <c r="Z69" s="704">
        <f t="shared" si="104"/>
        <v>0.20624999999999996</v>
      </c>
      <c r="AA69" s="9"/>
      <c r="AB69" s="9"/>
      <c r="AC69" s="802">
        <f t="shared" ref="AC69:AC74" ca="1" si="137">AC68+(AC$75-AC$3)/72</f>
        <v>-178.40137663067821</v>
      </c>
      <c r="AD69" s="800">
        <f t="shared" ca="1" si="130"/>
        <v>7.3132743099734654</v>
      </c>
      <c r="AE69" s="800">
        <f t="shared" ca="1" si="131"/>
        <v>-0.20410239708203703</v>
      </c>
      <c r="AF69" s="705"/>
      <c r="AG69" s="705"/>
      <c r="AH69" s="705"/>
      <c r="AI69" s="705"/>
    </row>
    <row r="70" spans="12:35" ht="10.199999999999999" customHeight="1">
      <c r="L70" s="503"/>
      <c r="M70" s="503"/>
      <c r="N70" s="706">
        <f ca="1">$N$58*COS(-M63/360*2*PI())-$O$58*SIN(-M63/360*2*PI())</f>
        <v>0.11318331467190612</v>
      </c>
      <c r="O70" s="706">
        <f ca="1">$N$58*SIN(-M63/360*2*PI())+$O$58*COS(-M63/360*2*PI())</f>
        <v>-7.1613874903736274</v>
      </c>
      <c r="P70" s="705"/>
      <c r="Q70" s="705"/>
      <c r="R70" s="704">
        <f t="shared" ref="R70" ca="1" si="138">$R$58*COS(-M63/360*2*PI())-$S$58*SIN(-M63/360*2*PI())</f>
        <v>-0.52478260792839593</v>
      </c>
      <c r="S70" s="704">
        <f t="shared" ref="S70" ca="1" si="139">$R$58*SIN(-M63/360*2*PI())+$S$58*COS(-M63/360*2*PI())</f>
        <v>1.0226309602411006</v>
      </c>
      <c r="T70" s="739">
        <f t="shared" si="136"/>
        <v>155</v>
      </c>
      <c r="U70" s="740">
        <f t="shared" si="129"/>
        <v>-0.28322118344895308</v>
      </c>
      <c r="V70" s="740">
        <f t="shared" si="71"/>
        <v>0.13206820679396858</v>
      </c>
      <c r="W70" s="704">
        <f t="shared" si="109"/>
        <v>-0.71371738229136183</v>
      </c>
      <c r="X70" s="704">
        <f t="shared" si="110"/>
        <v>0.33281188112080085</v>
      </c>
      <c r="Y70" s="704">
        <f t="shared" si="103"/>
        <v>-0.37385196215261807</v>
      </c>
      <c r="Z70" s="704">
        <f t="shared" si="104"/>
        <v>0.17433003296803853</v>
      </c>
      <c r="AA70" s="9"/>
      <c r="AB70" s="9"/>
      <c r="AC70" s="802">
        <f t="shared" ca="1" si="137"/>
        <v>-181.34808918503415</v>
      </c>
      <c r="AD70" s="800">
        <f t="shared" ca="1" si="130"/>
        <v>7.3140968598174769</v>
      </c>
      <c r="AE70" s="800">
        <f t="shared" ca="1" si="131"/>
        <v>0.17212218514948832</v>
      </c>
      <c r="AF70" s="705"/>
      <c r="AG70" s="705"/>
      <c r="AH70" s="705"/>
      <c r="AI70" s="705"/>
    </row>
    <row r="71" spans="12:35" ht="10.199999999999999" customHeight="1">
      <c r="L71" s="503"/>
      <c r="M71" s="503"/>
      <c r="N71" s="706">
        <f ca="1">$N$59*COS(-M63/360*2*PI())-$O$59*SIN(-M63/360*2*PI())</f>
        <v>3.7164379787010646</v>
      </c>
      <c r="O71" s="706">
        <f ca="1">$N$59*SIN(-M63/360*2*PI())+$O$59*COS(-M63/360*2*PI())</f>
        <v>-6.1226113710138694</v>
      </c>
      <c r="P71" s="705"/>
      <c r="Q71" s="705"/>
      <c r="R71" s="705"/>
      <c r="S71" s="705"/>
      <c r="T71" s="739">
        <f t="shared" si="136"/>
        <v>160</v>
      </c>
      <c r="U71" s="740">
        <f t="shared" si="129"/>
        <v>-0.29365394399559636</v>
      </c>
      <c r="V71" s="740">
        <f t="shared" si="71"/>
        <v>0.10688129478927152</v>
      </c>
      <c r="W71" s="704">
        <f t="shared" si="109"/>
        <v>-0.74000793886890281</v>
      </c>
      <c r="X71" s="704">
        <f t="shared" si="110"/>
        <v>0.26934086286896425</v>
      </c>
      <c r="Y71" s="704">
        <f t="shared" si="103"/>
        <v>-0.38762320607418715</v>
      </c>
      <c r="Z71" s="704">
        <f t="shared" si="104"/>
        <v>0.14108330912183842</v>
      </c>
      <c r="AA71" s="9"/>
      <c r="AB71" s="9"/>
      <c r="AC71" s="802">
        <f t="shared" ca="1" si="137"/>
        <v>-184.2948017393901</v>
      </c>
      <c r="AD71" s="800">
        <f t="shared" ca="1" si="130"/>
        <v>7.2955776821561669</v>
      </c>
      <c r="AE71" s="800">
        <f t="shared" ca="1" si="131"/>
        <v>0.5478915997141659</v>
      </c>
      <c r="AF71" s="705"/>
      <c r="AG71" s="705"/>
      <c r="AH71" s="705"/>
      <c r="AI71" s="705"/>
    </row>
    <row r="72" spans="12:35" ht="10.199999999999999" customHeight="1">
      <c r="L72" s="503"/>
      <c r="M72" s="503"/>
      <c r="N72" s="706">
        <f ca="1">$N$60*COS(-M63/360*2*PI())-$O$60*SIN(-M63/360*2*PI())</f>
        <v>2.1236479290161041</v>
      </c>
      <c r="O72" s="706">
        <f ca="1">$N$60*SIN(-M63/360*2*PI())+$O$60*COS(-M63/360*2*PI())</f>
        <v>-0.59762088616916076</v>
      </c>
      <c r="P72" s="705"/>
      <c r="Q72" s="705"/>
      <c r="R72" s="705"/>
      <c r="S72" s="705"/>
      <c r="T72" s="739">
        <f t="shared" si="136"/>
        <v>165</v>
      </c>
      <c r="U72" s="740">
        <f t="shared" si="129"/>
        <v>-0.30185182071533379</v>
      </c>
      <c r="V72" s="740">
        <f t="shared" si="71"/>
        <v>8.0880951594537814E-2</v>
      </c>
      <c r="W72" s="704">
        <f t="shared" si="109"/>
        <v>-0.76066658820264121</v>
      </c>
      <c r="X72" s="704">
        <f t="shared" si="110"/>
        <v>0.2038199980182353</v>
      </c>
      <c r="Y72" s="704">
        <f t="shared" si="103"/>
        <v>-0.39844440334424064</v>
      </c>
      <c r="Z72" s="704">
        <f t="shared" si="104"/>
        <v>0.10676285610478992</v>
      </c>
      <c r="AA72" s="9"/>
      <c r="AB72" s="9"/>
      <c r="AC72" s="802">
        <f t="shared" ca="1" si="137"/>
        <v>-187.24151429374604</v>
      </c>
      <c r="AD72" s="800">
        <f t="shared" ca="1" si="130"/>
        <v>7.2577657499379162</v>
      </c>
      <c r="AE72" s="800">
        <f t="shared" ca="1" si="131"/>
        <v>0.92221214502988058</v>
      </c>
      <c r="AF72" s="705"/>
      <c r="AG72" s="705"/>
      <c r="AH72" s="705"/>
      <c r="AI72" s="705"/>
    </row>
    <row r="73" spans="12:35" ht="10.199999999999999" customHeight="1">
      <c r="L73" s="503"/>
      <c r="M73" s="503"/>
      <c r="N73" s="706">
        <f ca="1">N69</f>
        <v>-1.4796067350130546</v>
      </c>
      <c r="O73" s="706">
        <f ca="1">O69</f>
        <v>-1.6363970055289179</v>
      </c>
      <c r="P73" s="705"/>
      <c r="Q73" s="705"/>
      <c r="R73" s="705"/>
      <c r="S73" s="705"/>
      <c r="T73" s="739">
        <f t="shared" si="136"/>
        <v>170</v>
      </c>
      <c r="U73" s="740">
        <f t="shared" si="129"/>
        <v>-0.30775242281631499</v>
      </c>
      <c r="V73" s="740">
        <f t="shared" si="71"/>
        <v>5.4265055520915713E-2</v>
      </c>
      <c r="W73" s="9"/>
      <c r="X73" s="9"/>
      <c r="Y73" s="704">
        <f t="shared" si="103"/>
        <v>-0.40623319811753578</v>
      </c>
      <c r="Z73" s="704">
        <f t="shared" si="104"/>
        <v>7.1629873287608739E-2</v>
      </c>
      <c r="AA73" s="9"/>
      <c r="AB73" s="9"/>
      <c r="AC73" s="802">
        <f t="shared" ca="1" si="137"/>
        <v>-190.18822684810198</v>
      </c>
      <c r="AD73" s="800">
        <f t="shared" ca="1" si="130"/>
        <v>7.2007610547411005</v>
      </c>
      <c r="AE73" s="800">
        <f t="shared" ca="1" si="131"/>
        <v>1.2940939509696845</v>
      </c>
      <c r="AF73" s="705"/>
      <c r="AG73" s="705"/>
      <c r="AH73" s="705"/>
      <c r="AI73" s="705"/>
    </row>
    <row r="74" spans="12:35" ht="10.199999999999999" customHeight="1">
      <c r="L74" s="503"/>
      <c r="M74" s="503"/>
      <c r="N74" s="705"/>
      <c r="O74" s="705"/>
      <c r="P74" s="705"/>
      <c r="Q74" s="705"/>
      <c r="R74" s="705"/>
      <c r="S74" s="705"/>
      <c r="T74" s="739">
        <f t="shared" si="136"/>
        <v>175</v>
      </c>
      <c r="U74" s="740">
        <f t="shared" si="129"/>
        <v>-0.31131084315367047</v>
      </c>
      <c r="V74" s="740">
        <f t="shared" si="71"/>
        <v>2.7236169608643186E-2</v>
      </c>
      <c r="W74" s="9"/>
      <c r="X74" s="9"/>
      <c r="Y74" s="704">
        <f t="shared" si="103"/>
        <v>-0.41093031296284499</v>
      </c>
      <c r="Z74" s="704">
        <f t="shared" si="104"/>
        <v>3.5951743883409E-2</v>
      </c>
      <c r="AA74" s="9"/>
      <c r="AB74" s="9"/>
      <c r="AC74" s="802">
        <f t="shared" ca="1" si="137"/>
        <v>-193.13493940245792</v>
      </c>
      <c r="AD74" s="800">
        <f t="shared" ca="1" si="130"/>
        <v>7.1247143423518597</v>
      </c>
      <c r="AE74" s="800">
        <f t="shared" ca="1" si="131"/>
        <v>1.6625535965189862</v>
      </c>
      <c r="AF74" s="705"/>
      <c r="AG74" s="705"/>
      <c r="AH74" s="705"/>
      <c r="AI74" s="705"/>
    </row>
    <row r="75" spans="12:35" ht="10.199999999999999" customHeight="1">
      <c r="L75" s="503"/>
      <c r="M75" s="801">
        <f>-45</f>
        <v>-45</v>
      </c>
      <c r="N75" s="706">
        <f t="shared" ref="N75" ca="1" si="140">$N$51*COS(-M75/360*2*PI())-$O$51*SIN(-M75/360*2*PI())</f>
        <v>-0.68059027689205209</v>
      </c>
      <c r="O75" s="706">
        <f t="shared" ref="O75" ca="1" si="141">$N$51*SIN(-M75/360*2*PI())+$O$51*COS(-M75/360*2*PI())</f>
        <v>-2.1478368478541379</v>
      </c>
      <c r="P75" s="704">
        <f t="shared" ref="P75" si="142">$P$51*COS(-M75/360*2*PI())-$Q$51*SIN(-M75/360*2*PI())</f>
        <v>2.9881275936265728</v>
      </c>
      <c r="Q75" s="704">
        <f t="shared" ref="Q75" si="143">$P$51*SIN(-M75/360*2*PI())+$Q$51*COS(-M75/360*2*PI())</f>
        <v>2.6687266558658074</v>
      </c>
      <c r="R75" s="704">
        <f t="shared" ref="R75" ca="1" si="144">$R$51*COS(-M75/360*2*PI())-$S$51*SIN(-M75/360*2*PI())</f>
        <v>0.13354005974884409</v>
      </c>
      <c r="S75" s="704">
        <f t="shared" ref="S75" ca="1" si="145">$R$51*SIN(-M75/360*2*PI())+$S$51*COS(-M75/360*2*PI())</f>
        <v>-0.18586087801192128</v>
      </c>
      <c r="T75" s="739">
        <f>T74+5</f>
        <v>180</v>
      </c>
      <c r="U75" s="740">
        <f t="shared" si="129"/>
        <v>-0.3125</v>
      </c>
      <c r="V75" s="740">
        <f t="shared" si="71"/>
        <v>3.8285889215894375E-17</v>
      </c>
      <c r="W75" s="9"/>
      <c r="X75" s="9"/>
      <c r="Y75" s="704">
        <f t="shared" si="103"/>
        <v>-0.41249999999999998</v>
      </c>
      <c r="Z75" s="704">
        <f t="shared" si="104"/>
        <v>5.0537373764980575E-17</v>
      </c>
      <c r="AA75" s="9"/>
      <c r="AB75" s="9"/>
      <c r="AC75" s="802">
        <f ca="1">-270+MaxWidAng</f>
        <v>-196.08165195681369</v>
      </c>
      <c r="AD75" s="800">
        <f t="shared" ca="1" si="130"/>
        <v>7.0298267141251403</v>
      </c>
      <c r="AE75" s="800">
        <f t="shared" ca="1" si="131"/>
        <v>2.0266167103784172</v>
      </c>
      <c r="AF75" s="705"/>
      <c r="AG75" s="705"/>
      <c r="AH75" s="705"/>
      <c r="AI75" s="705"/>
    </row>
    <row r="76" spans="12:35" ht="10.199999999999999" customHeight="1">
      <c r="L76" s="503"/>
      <c r="M76" s="739"/>
      <c r="N76" s="706">
        <f t="shared" ref="N76" ca="1" si="146">$N$52*COS(-M75/360*2*PI())-$O$52*SIN(-M75/360*2*PI())</f>
        <v>3.5620504102272328</v>
      </c>
      <c r="O76" s="706">
        <f t="shared" ref="O76" ca="1" si="147">$N$52*SIN(-M75/360*2*PI())+$O$52*COS(-M75/360*2*PI())</f>
        <v>-6.3904775349734235</v>
      </c>
      <c r="P76" s="704">
        <f t="shared" ref="P76" ca="1" si="148">$P$52*COS(-M75/360*2*PI())-$Q$52*SIN(-M75/360*2*PI())</f>
        <v>1.8745736075060258</v>
      </c>
      <c r="Q76" s="704">
        <f t="shared" ref="Q76" ca="1" si="149">$P$52*SIN(-M75/360*2*PI())+$Q$52*COS(-M75/360*2*PI())</f>
        <v>3.7822806419863548</v>
      </c>
      <c r="R76" s="704">
        <f t="shared" ref="R76" ca="1" si="150">$R$52*COS(-M75/360*2*PI())-$S$52*SIN(-M75/360*2*PI())</f>
        <v>0.18586087801192125</v>
      </c>
      <c r="S76" s="704">
        <f t="shared" ref="S76" ca="1" si="151">$R$52*SIN(-M75/360*2*PI())+$S$52*COS(-M75/360*2*PI())</f>
        <v>-0.13354005974884411</v>
      </c>
      <c r="T76" s="503"/>
      <c r="U76" s="739"/>
      <c r="V76" s="503"/>
      <c r="W76" s="503"/>
      <c r="X76" s="503"/>
      <c r="Y76" s="503"/>
      <c r="Z76" s="9"/>
      <c r="AA76" s="9"/>
      <c r="AB76" s="9"/>
      <c r="AC76" s="9"/>
      <c r="AD76" s="9"/>
      <c r="AE76" s="9"/>
      <c r="AF76" s="705"/>
      <c r="AG76" s="705"/>
      <c r="AH76" s="705"/>
      <c r="AI76" s="705"/>
    </row>
    <row r="77" spans="12:35" ht="10.199999999999999" customHeight="1">
      <c r="L77" s="503"/>
      <c r="M77" s="739"/>
      <c r="N77" s="706">
        <f t="shared" ref="N77" ca="1" si="152">$N$53*COS(-M75/360*2*PI())-$O$53*SIN(-M75/360*2*PI())</f>
        <v>6.3904775349734226</v>
      </c>
      <c r="O77" s="706">
        <f t="shared" ref="O77" ca="1" si="153">$N$53*SIN(-M75/360*2*PI())+$O$53*COS(-M75/360*2*PI())</f>
        <v>-3.5620504102272337</v>
      </c>
      <c r="P77" s="704">
        <f t="shared" ref="P77" ca="1" si="154">$P$53*COS(-M75/360*2*PI())-$Q$53*SIN(-M75/360*2*PI())</f>
        <v>-3.7822806419863548</v>
      </c>
      <c r="Q77" s="704">
        <f t="shared" ref="Q77" ca="1" si="155">$P$53*SIN(-M75/360*2*PI())+$Q$53*COS(-M75/360*2*PI())</f>
        <v>-1.8745736075060251</v>
      </c>
      <c r="R77" s="704">
        <f t="shared" ref="R77" si="156">$R$53*COS(-M75/360*2*PI())-$S$53*SIN(-M75/360*2*PI())</f>
        <v>0.15970046888038267</v>
      </c>
      <c r="S77" s="704">
        <f t="shared" ref="S77" si="157">$R$53*SIN(-M75/360*2*PI())+$S$53*COS(-M75/360*2*PI())</f>
        <v>-0.1597004688803827</v>
      </c>
      <c r="T77" s="503"/>
      <c r="U77" s="739"/>
      <c r="V77" s="503"/>
      <c r="W77" s="503"/>
      <c r="X77" s="503"/>
      <c r="Y77" s="503"/>
      <c r="Z77" s="9"/>
      <c r="AA77" s="9"/>
      <c r="AB77" s="9"/>
      <c r="AC77" s="9"/>
      <c r="AD77" s="9"/>
      <c r="AE77" s="9"/>
      <c r="AF77" s="705"/>
      <c r="AG77" s="705"/>
      <c r="AH77" s="705"/>
      <c r="AI77" s="705"/>
    </row>
    <row r="78" spans="12:35" ht="10.199999999999999" customHeight="1">
      <c r="L78" s="503"/>
      <c r="M78" s="739"/>
      <c r="N78" s="706">
        <f t="shared" ref="N78" ca="1" si="158">$N$54*COS(-M75/360*2*PI())-$O$54*SIN(-M75/360*2*PI())</f>
        <v>2.1478368478541383</v>
      </c>
      <c r="O78" s="706">
        <f t="shared" ref="O78" ca="1" si="159">$N$54*SIN(-M75/360*2*PI())+$O$54*COS(-M75/360*2*PI())</f>
        <v>0.68059027689205176</v>
      </c>
      <c r="P78" s="704">
        <f t="shared" ref="P78" si="160">$P$54*COS(-M75/360*2*PI())-$Q$54*SIN(-M75/360*2*PI())</f>
        <v>-2.6687266558658078</v>
      </c>
      <c r="Q78" s="704">
        <f t="shared" ref="Q78" si="161">$P$54*SIN(-M75/360*2*PI())+$Q$54*COS(-M75/360*2*PI())</f>
        <v>-2.9881275936265723</v>
      </c>
      <c r="R78" s="704">
        <f t="shared" ref="R78" ca="1" si="162">$R$54*COS(-M75/360*2*PI())-$S$54*SIN(-M75/360*2*PI())</f>
        <v>-0.95385351724016465</v>
      </c>
      <c r="S78" s="704">
        <f t="shared" ref="S78" ca="1" si="163">$R$54*SIN(-M75/360*2*PI())+$S$54*COS(-M75/360*2*PI())</f>
        <v>0.95385351724016476</v>
      </c>
      <c r="T78" s="503"/>
      <c r="U78" s="739"/>
      <c r="V78" s="503"/>
      <c r="W78" s="503"/>
      <c r="X78" s="503"/>
      <c r="Y78" s="503"/>
      <c r="Z78" s="9"/>
      <c r="AA78" s="9"/>
      <c r="AB78" s="9"/>
      <c r="AC78" s="9"/>
      <c r="AD78" s="9"/>
      <c r="AE78" s="9"/>
      <c r="AF78" s="705"/>
      <c r="AG78" s="705"/>
      <c r="AH78" s="705"/>
      <c r="AI78" s="705"/>
    </row>
    <row r="79" spans="12:35" ht="10.199999999999999" customHeight="1">
      <c r="L79" s="503"/>
      <c r="M79" s="739"/>
      <c r="N79" s="706">
        <f t="shared" ref="N79:O79" ca="1" si="164">N75</f>
        <v>-0.68059027689205209</v>
      </c>
      <c r="O79" s="706">
        <f t="shared" ca="1" si="164"/>
        <v>-2.1478368478541379</v>
      </c>
      <c r="P79" s="704">
        <f t="shared" ref="P79:Q79" si="165">P75</f>
        <v>2.9881275936265728</v>
      </c>
      <c r="Q79" s="704">
        <f t="shared" si="165"/>
        <v>2.6687266558658074</v>
      </c>
      <c r="R79" s="705"/>
      <c r="S79" s="705"/>
      <c r="T79" s="503"/>
      <c r="U79" s="739"/>
      <c r="V79" s="503"/>
      <c r="W79" s="503"/>
      <c r="X79" s="503"/>
      <c r="Y79" s="503"/>
      <c r="Z79" s="9"/>
      <c r="AA79" s="9"/>
      <c r="AB79" s="9"/>
      <c r="AC79" s="9"/>
      <c r="AD79" s="9"/>
      <c r="AE79" s="9"/>
      <c r="AF79" s="705"/>
      <c r="AG79" s="705"/>
      <c r="AH79" s="705"/>
      <c r="AI79" s="705"/>
    </row>
    <row r="80" spans="12:35" ht="10.199999999999999" customHeight="1">
      <c r="L80" s="503"/>
      <c r="M80" s="739"/>
      <c r="N80" s="705"/>
      <c r="O80" s="705"/>
      <c r="P80" s="705"/>
      <c r="Q80" s="705"/>
      <c r="R80" s="704">
        <f t="shared" ref="R80" ca="1" si="166">$R$56*COS(-M75/360*2*PI())-$S$56*SIN(-M75/360*2*PI())</f>
        <v>-0.64135351724016465</v>
      </c>
      <c r="S80" s="704">
        <f t="shared" ref="S80" ca="1" si="167">$R$56*SIN(-M75/360*2*PI())+$S$56*COS(-M75/360*2*PI())</f>
        <v>0.95385351724016476</v>
      </c>
      <c r="T80" s="503"/>
      <c r="U80" s="739"/>
      <c r="V80" s="503"/>
      <c r="W80" s="503"/>
      <c r="X80" s="503"/>
      <c r="Y80" s="503"/>
      <c r="Z80" s="9"/>
      <c r="AA80" s="9"/>
      <c r="AB80" s="9"/>
      <c r="AC80" s="9"/>
      <c r="AD80" s="9"/>
      <c r="AE80" s="9"/>
      <c r="AF80" s="705"/>
      <c r="AG80" s="705"/>
      <c r="AH80" s="705"/>
      <c r="AI80" s="705"/>
    </row>
    <row r="81" spans="12:35" ht="10.199999999999999" customHeight="1">
      <c r="L81" s="503"/>
      <c r="M81" s="503"/>
      <c r="N81" s="706">
        <f t="shared" ref="N81" ca="1" si="168">$N$57*COS(-M75/360*2*PI())-$O$57*SIN(-M75/360*2*PI())</f>
        <v>-0.50381358159541512</v>
      </c>
      <c r="O81" s="706">
        <f t="shared" ref="O81" ca="1" si="169">$N$57*SIN(-M75/360*2*PI())+$O$57*COS(-M75/360*2*PI())</f>
        <v>-2.1478368478541379</v>
      </c>
      <c r="P81" s="705"/>
      <c r="Q81" s="705"/>
      <c r="R81" s="704">
        <f t="shared" ref="R81" ca="1" si="170">$R$57*COS(-M75/360*2*PI())-$S$57*SIN(-M75/360*2*PI())</f>
        <v>-0.95385351724016465</v>
      </c>
      <c r="S81" s="704">
        <f t="shared" ref="S81" ca="1" si="171">$R$57*SIN(-M75/360*2*PI())+$S$57*COS(-M75/360*2*PI())</f>
        <v>0.95385351724016476</v>
      </c>
      <c r="T81" s="503"/>
      <c r="U81" s="739"/>
      <c r="V81" s="503"/>
      <c r="W81" s="503"/>
      <c r="X81" s="503"/>
      <c r="Y81" s="503"/>
      <c r="Z81" s="9"/>
      <c r="AA81" s="9"/>
      <c r="AB81" s="9"/>
      <c r="AC81" s="9"/>
      <c r="AD81" s="9"/>
      <c r="AE81" s="9"/>
      <c r="AF81" s="705"/>
      <c r="AG81" s="705"/>
      <c r="AH81" s="705"/>
      <c r="AI81" s="705"/>
    </row>
    <row r="82" spans="12:35" ht="10.199999999999999" customHeight="1">
      <c r="L82" s="503"/>
      <c r="M82" s="503"/>
      <c r="N82" s="706">
        <f t="shared" ref="N82" ca="1" si="172">$N$58*COS(-M75/360*2*PI())-$O$58*SIN(-M75/360*2*PI())</f>
        <v>3.5620504102272328</v>
      </c>
      <c r="O82" s="706">
        <f t="shared" ref="O82" ca="1" si="173">$N$58*SIN(-M75/360*2*PI())+$O$58*COS(-M75/360*2*PI())</f>
        <v>-6.2137008396767861</v>
      </c>
      <c r="P82" s="705"/>
      <c r="Q82" s="705"/>
      <c r="R82" s="704">
        <f t="shared" ref="R82" ca="1" si="174">$R$58*COS(-M75/360*2*PI())-$S$58*SIN(-M75/360*2*PI())</f>
        <v>-0.95385351724016465</v>
      </c>
      <c r="S82" s="704">
        <f t="shared" ref="S82" ca="1" si="175">$R$58*SIN(-M75/360*2*PI())+$S$58*COS(-M75/360*2*PI())</f>
        <v>0.64135351724016476</v>
      </c>
      <c r="T82" s="503"/>
      <c r="U82" s="739"/>
      <c r="V82" s="503"/>
      <c r="W82" s="503"/>
      <c r="X82" s="503"/>
      <c r="Y82" s="503"/>
      <c r="Z82" s="9"/>
      <c r="AA82" s="9"/>
      <c r="AB82" s="9"/>
      <c r="AC82" s="9"/>
      <c r="AD82" s="9"/>
      <c r="AE82" s="9"/>
      <c r="AF82" s="705"/>
      <c r="AG82" s="705"/>
      <c r="AH82" s="705"/>
      <c r="AI82" s="705"/>
    </row>
    <row r="83" spans="12:35" ht="10.199999999999999" customHeight="1">
      <c r="L83" s="503"/>
      <c r="M83" s="503"/>
      <c r="N83" s="706">
        <f t="shared" ref="N83" ca="1" si="176">$N$59*COS(-M75/360*2*PI())-$O$59*SIN(-M75/360*2*PI())</f>
        <v>6.2137008396767861</v>
      </c>
      <c r="O83" s="706">
        <f t="shared" ref="O83" ca="1" si="177">$N$59*SIN(-M75/360*2*PI())+$O$59*COS(-M75/360*2*PI())</f>
        <v>-3.5620504102272328</v>
      </c>
      <c r="P83" s="705"/>
      <c r="Q83" s="705"/>
      <c r="R83" s="705"/>
      <c r="S83" s="705"/>
      <c r="T83" s="503"/>
      <c r="U83" s="739"/>
      <c r="V83" s="503"/>
      <c r="W83" s="503"/>
      <c r="X83" s="503"/>
      <c r="Y83" s="503"/>
      <c r="Z83" s="9"/>
      <c r="AA83" s="9"/>
      <c r="AB83" s="9"/>
      <c r="AC83" s="9"/>
      <c r="AD83" s="9"/>
      <c r="AE83" s="9"/>
      <c r="AF83" s="705"/>
      <c r="AG83" s="705"/>
      <c r="AH83" s="705"/>
      <c r="AI83" s="705"/>
    </row>
    <row r="84" spans="12:35" ht="10.199999999999999" customHeight="1">
      <c r="L84" s="503"/>
      <c r="M84" s="503"/>
      <c r="N84" s="706">
        <f t="shared" ref="N84" ca="1" si="178">$N$60*COS(-M75/360*2*PI())-$O$60*SIN(-M75/360*2*PI())</f>
        <v>2.1478368478541383</v>
      </c>
      <c r="O84" s="706">
        <f t="shared" ref="O84" ca="1" si="179">$N$60*SIN(-M75/360*2*PI())+$O$60*COS(-M75/360*2*PI())</f>
        <v>0.50381358159541478</v>
      </c>
      <c r="P84" s="705"/>
      <c r="Q84" s="705"/>
      <c r="R84" s="705"/>
      <c r="S84" s="705"/>
      <c r="T84" s="503"/>
      <c r="U84" s="739"/>
      <c r="V84" s="503"/>
      <c r="W84" s="503"/>
      <c r="X84" s="503"/>
      <c r="Y84" s="503"/>
      <c r="Z84" s="9"/>
      <c r="AA84" s="9"/>
      <c r="AB84" s="9"/>
      <c r="AC84" s="9"/>
      <c r="AD84" s="9"/>
      <c r="AE84" s="9"/>
      <c r="AF84" s="705"/>
      <c r="AG84" s="705"/>
      <c r="AH84" s="705"/>
      <c r="AI84" s="705"/>
    </row>
    <row r="85" spans="12:35" ht="10.199999999999999" customHeight="1">
      <c r="L85" s="503"/>
      <c r="M85" s="503"/>
      <c r="N85" s="706">
        <f t="shared" ref="N85:O85" ca="1" si="180">N81</f>
        <v>-0.50381358159541512</v>
      </c>
      <c r="O85" s="706">
        <f t="shared" ca="1" si="180"/>
        <v>-2.1478368478541379</v>
      </c>
      <c r="P85" s="705"/>
      <c r="Q85" s="705"/>
      <c r="R85" s="705"/>
      <c r="S85" s="705"/>
      <c r="T85" s="503"/>
      <c r="U85" s="739"/>
      <c r="V85" s="503"/>
      <c r="W85" s="503"/>
      <c r="X85" s="503"/>
      <c r="Y85" s="503"/>
      <c r="Z85" s="9"/>
      <c r="AA85" s="9"/>
      <c r="AB85" s="9"/>
      <c r="AC85" s="9"/>
      <c r="AD85" s="9"/>
      <c r="AE85" s="9"/>
      <c r="AF85" s="705"/>
      <c r="AG85" s="705"/>
      <c r="AH85" s="705"/>
      <c r="AI85" s="705"/>
    </row>
    <row r="86" spans="12:35" ht="10.199999999999999" customHeight="1">
      <c r="L86" s="503"/>
      <c r="M86" s="503"/>
      <c r="N86" s="705"/>
      <c r="O86" s="705"/>
      <c r="P86" s="705"/>
      <c r="Q86" s="705"/>
      <c r="R86" s="705"/>
      <c r="S86" s="705"/>
      <c r="T86" s="503"/>
      <c r="U86" s="739"/>
      <c r="V86" s="503"/>
      <c r="W86" s="503"/>
      <c r="X86" s="503"/>
      <c r="Y86" s="503"/>
      <c r="Z86" s="9"/>
      <c r="AA86" s="9"/>
      <c r="AB86" s="9"/>
      <c r="AC86" s="9"/>
      <c r="AD86" s="9"/>
      <c r="AE86" s="9"/>
      <c r="AF86" s="705"/>
      <c r="AG86" s="705"/>
      <c r="AH86" s="705"/>
      <c r="AI86" s="705"/>
    </row>
    <row r="87" spans="12:35" ht="10.199999999999999" customHeight="1">
      <c r="L87" s="503"/>
      <c r="M87" s="801">
        <f ca="1">-MaxWidAng</f>
        <v>-73.918348043186299</v>
      </c>
      <c r="N87" s="706">
        <f t="shared" ref="N87" ca="1" si="181">$N$51*COS(-M87/360*2*PI())-$O$51*SIN(-M87/360*2*PI())</f>
        <v>0.44288652672286333</v>
      </c>
      <c r="O87" s="706">
        <f t="shared" ref="O87" ca="1" si="182">$N$51*SIN(-M87/360*2*PI())+$O$51*COS(-M87/360*2*PI())</f>
        <v>-2.2091305471717506</v>
      </c>
      <c r="P87" s="704">
        <f t="shared" ref="P87" ca="1" si="183">$P$51*COS(-M87/360*2*PI())-$Q$51*SIN(-M87/360*2*PI())</f>
        <v>1.3250404249575123</v>
      </c>
      <c r="Q87" s="704">
        <f t="shared" ref="Q87" ca="1" si="184">$P$51*SIN(-M87/360*2*PI())+$Q$51*COS(-M87/360*2*PI())</f>
        <v>3.7809094609299549</v>
      </c>
      <c r="R87" s="704">
        <f t="shared" ref="R87" ca="1" si="185">$R$51*COS(-M87/360*2*PI())-$S$51*SIN(-M87/360*2*PI())</f>
        <v>0.20676430232780416</v>
      </c>
      <c r="S87" s="704">
        <f t="shared" ref="S87" ca="1" si="186">$R$51*SIN(-M87/360*2*PI())+$S$51*COS(-M87/360*2*PI())</f>
        <v>-9.8110839441845205E-2</v>
      </c>
      <c r="T87" s="503"/>
      <c r="U87" s="739"/>
      <c r="V87" s="503"/>
      <c r="W87" s="503"/>
      <c r="X87" s="503"/>
      <c r="Y87" s="503"/>
      <c r="Z87" s="9"/>
      <c r="AA87" s="9"/>
      <c r="AB87" s="9"/>
      <c r="AC87" s="9"/>
      <c r="AD87" s="9"/>
      <c r="AE87" s="9"/>
      <c r="AF87" s="705"/>
      <c r="AG87" s="705"/>
      <c r="AH87" s="705"/>
      <c r="AI87" s="705"/>
    </row>
    <row r="88" spans="12:35" ht="10.199999999999999" customHeight="1">
      <c r="L88" s="503"/>
      <c r="M88" s="739"/>
      <c r="N88" s="706">
        <f t="shared" ref="N88" ca="1" si="187">$N$52*COS(-M87/360*2*PI())-$O$52*SIN(-M87/360*2*PI())</f>
        <v>6.2080939891695159</v>
      </c>
      <c r="O88" s="706">
        <f t="shared" ref="O88" ca="1" si="188">$N$52*SIN(-M87/360*2*PI())+$O$52*COS(-M87/360*2*PI())</f>
        <v>-3.8711723381473622</v>
      </c>
      <c r="P88" s="704">
        <f t="shared" ref="P88" ca="1" si="189">$P$52*COS(-M87/360*2*PI())-$Q$52*SIN(-M87/360*2*PI())</f>
        <v>-0.18813738670827629</v>
      </c>
      <c r="Q88" s="704">
        <f t="shared" ref="Q88" ca="1" si="190">$P$52*SIN(-M87/360*2*PI())+$Q$52*COS(-M87/360*2*PI())</f>
        <v>4.217140902130903</v>
      </c>
      <c r="R88" s="704">
        <f t="shared" ref="R88" ca="1" si="191">$R$52*COS(-M87/360*2*PI())-$S$52*SIN(-M87/360*2*PI())</f>
        <v>0.22726082628640479</v>
      </c>
      <c r="S88" s="704">
        <f t="shared" ref="S88" ca="1" si="192">$R$52*SIN(-M87/360*2*PI())+$S$52*COS(-M87/360*2*PI())</f>
        <v>-2.7013521960449267E-2</v>
      </c>
      <c r="T88" s="503"/>
      <c r="U88" s="739"/>
      <c r="V88" s="503"/>
      <c r="W88" s="503"/>
      <c r="X88" s="503"/>
      <c r="Y88" s="503"/>
      <c r="Z88" s="9"/>
      <c r="AA88" s="9"/>
      <c r="AB88" s="9"/>
      <c r="AC88" s="9"/>
      <c r="AD88" s="9"/>
      <c r="AE88" s="9"/>
      <c r="AF88" s="705"/>
      <c r="AG88" s="705"/>
      <c r="AH88" s="705"/>
      <c r="AI88" s="705"/>
    </row>
    <row r="89" spans="12:35" ht="10.199999999999999" customHeight="1">
      <c r="L89" s="503"/>
      <c r="M89" s="739"/>
      <c r="N89" s="706">
        <f t="shared" ref="N89" ca="1" si="193">$N$53*COS(-M87/360*2*PI())-$O$53*SIN(-M87/360*2*PI())</f>
        <v>7.3161218498199236</v>
      </c>
      <c r="O89" s="706">
        <f t="shared" ref="O89" ca="1" si="194">$N$53*SIN(-M87/360*2*PI())+$O$53*COS(-M87/360*2*PI())</f>
        <v>-2.7700696516259837E-2</v>
      </c>
      <c r="P89" s="704">
        <f t="shared" ref="P89" ca="1" si="195">$P$53*COS(-M87/360*2*PI())-$Q$53*SIN(-M87/360*2*PI())</f>
        <v>-2.4041931080090917</v>
      </c>
      <c r="Q89" s="704">
        <f t="shared" ref="Q89" ca="1" si="196">$P$53*SIN(-M87/360*2*PI())+$Q$53*COS(-M87/360*2*PI())</f>
        <v>-3.4698023811313012</v>
      </c>
      <c r="R89" s="704">
        <f t="shared" ref="R89" ca="1" si="197">$R$53*COS(-M87/360*2*PI())-$S$53*SIN(-M87/360*2*PI())</f>
        <v>0.21701256430710447</v>
      </c>
      <c r="S89" s="704">
        <f t="shared" ref="S89" ca="1" si="198">$R$53*SIN(-M87/360*2*PI())+$S$53*COS(-M87/360*2*PI())</f>
        <v>-6.2562180701147233E-2</v>
      </c>
      <c r="T89" s="503"/>
      <c r="U89" s="739"/>
      <c r="V89" s="503"/>
      <c r="W89" s="503"/>
      <c r="X89" s="503"/>
      <c r="Y89" s="503"/>
      <c r="Z89" s="9"/>
      <c r="AA89" s="9"/>
      <c r="AB89" s="9"/>
      <c r="AC89" s="9"/>
      <c r="AD89" s="9"/>
      <c r="AE89" s="9"/>
      <c r="AF89" s="705"/>
      <c r="AG89" s="705"/>
      <c r="AH89" s="705"/>
      <c r="AI89" s="705"/>
    </row>
    <row r="90" spans="12:35" ht="10.199999999999999" customHeight="1">
      <c r="L90" s="503"/>
      <c r="M90" s="739"/>
      <c r="N90" s="706">
        <f t="shared" ref="N90" ca="1" si="199">$N$54*COS(-M87/360*2*PI())-$O$54*SIN(-M87/360*2*PI())</f>
        <v>1.5509143873732709</v>
      </c>
      <c r="O90" s="706">
        <f t="shared" ref="O90" ca="1" si="200">$N$54*SIN(-M87/360*2*PI())+$O$54*COS(-M87/360*2*PI())</f>
        <v>1.6343410944593515</v>
      </c>
      <c r="P90" s="704">
        <f t="shared" ref="P90" ca="1" si="201">$P$54*COS(-M87/360*2*PI())-$Q$54*SIN(-M87/360*2*PI())</f>
        <v>-0.89101529634330323</v>
      </c>
      <c r="Q90" s="704">
        <f t="shared" ref="Q90" ca="1" si="202">$P$54*SIN(-M87/360*2*PI())+$Q$54*COS(-M87/360*2*PI())</f>
        <v>-3.9060338223322493</v>
      </c>
      <c r="R90" s="704">
        <f t="shared" ref="R90" ca="1" si="203">$R$54*COS(-M87/360*2*PI())-$S$54*SIN(-M87/360*2*PI())</f>
        <v>-1.296165247358684</v>
      </c>
      <c r="S90" s="704">
        <f t="shared" ref="S90" ca="1" si="204">$R$54*SIN(-M87/360*2*PI())+$S$54*COS(-M87/360*2*PI())</f>
        <v>0.37366926049980076</v>
      </c>
      <c r="T90" s="503"/>
      <c r="U90" s="739"/>
      <c r="V90" s="503"/>
      <c r="W90" s="503"/>
      <c r="X90" s="503"/>
      <c r="Y90" s="503"/>
      <c r="Z90" s="9"/>
      <c r="AA90" s="9"/>
      <c r="AB90" s="9"/>
      <c r="AC90" s="9"/>
      <c r="AD90" s="9"/>
      <c r="AE90" s="9"/>
      <c r="AF90" s="705"/>
      <c r="AG90" s="705"/>
      <c r="AH90" s="705"/>
      <c r="AI90" s="705"/>
    </row>
    <row r="91" spans="12:35" ht="10.199999999999999" customHeight="1">
      <c r="L91" s="503"/>
      <c r="M91" s="739"/>
      <c r="N91" s="706">
        <f t="shared" ref="N91:O91" ca="1" si="205">N87</f>
        <v>0.44288652672286333</v>
      </c>
      <c r="O91" s="706">
        <f t="shared" ca="1" si="205"/>
        <v>-2.2091305471717506</v>
      </c>
      <c r="P91" s="704">
        <f t="shared" ref="P91:Q91" ca="1" si="206">P87</f>
        <v>1.3250404249575123</v>
      </c>
      <c r="Q91" s="704">
        <f t="shared" ca="1" si="206"/>
        <v>3.7809094609299549</v>
      </c>
      <c r="R91" s="705"/>
      <c r="S91" s="705"/>
      <c r="T91" s="503"/>
      <c r="U91" s="739"/>
      <c r="V91" s="503"/>
      <c r="W91" s="503"/>
      <c r="X91" s="503"/>
      <c r="Y91" s="503"/>
      <c r="Z91" s="9"/>
      <c r="AA91" s="9"/>
      <c r="AB91" s="9"/>
      <c r="AC91" s="9"/>
      <c r="AD91" s="9"/>
      <c r="AE91" s="9"/>
      <c r="AF91" s="705"/>
      <c r="AG91" s="705"/>
      <c r="AH91" s="705"/>
      <c r="AI91" s="705"/>
    </row>
    <row r="92" spans="12:35" ht="10.199999999999999" customHeight="1">
      <c r="M92" s="739"/>
      <c r="N92" s="705"/>
      <c r="O92" s="705"/>
      <c r="P92" s="705"/>
      <c r="Q92" s="705"/>
      <c r="R92" s="704">
        <f t="shared" ref="R92" ca="1" si="207">$R$56*COS(-M87/360*2*PI())-$S$56*SIN(-M87/360*2*PI())</f>
        <v>-1.0226309602411003</v>
      </c>
      <c r="S92" s="704">
        <f t="shared" ref="S92" ca="1" si="208">$R$56*SIN(-M87/360*2*PI())+$S$56*COS(-M87/360*2*PI())</f>
        <v>0.52478260792839593</v>
      </c>
      <c r="AF92" s="705"/>
      <c r="AG92" s="705"/>
      <c r="AH92" s="705"/>
      <c r="AI92" s="705"/>
    </row>
    <row r="93" spans="12:35" ht="10.199999999999999" customHeight="1">
      <c r="M93" s="503"/>
      <c r="N93" s="706">
        <f t="shared" ref="N93" ca="1" si="209">$N$57*COS(-M87/360*2*PI())-$O$57*SIN(-M87/360*2*PI())</f>
        <v>0.59762088616916054</v>
      </c>
      <c r="O93" s="706">
        <f t="shared" ref="O93" ca="1" si="210">$N$57*SIN(-M87/360*2*PI())+$O$57*COS(-M87/360*2*PI())</f>
        <v>-2.1236479290161037</v>
      </c>
      <c r="P93" s="705"/>
      <c r="Q93" s="705"/>
      <c r="R93" s="704">
        <f t="shared" ref="R93" ca="1" si="211">$R$57*COS(-M87/360*2*PI())-$S$57*SIN(-M87/360*2*PI())</f>
        <v>-1.296165247358684</v>
      </c>
      <c r="S93" s="704">
        <f t="shared" ref="S93" ca="1" si="212">$R$57*SIN(-M87/360*2*PI())+$S$57*COS(-M87/360*2*PI())</f>
        <v>0.37366926049980076</v>
      </c>
      <c r="AF93" s="705"/>
      <c r="AG93" s="705"/>
      <c r="AH93" s="705"/>
      <c r="AI93" s="705"/>
    </row>
    <row r="94" spans="12:35" ht="10.199999999999999" customHeight="1">
      <c r="M94" s="503"/>
      <c r="N94" s="706">
        <f t="shared" ref="N94" ca="1" si="213">$N$58*COS(-M87/360*2*PI())-$O$58*SIN(-M87/360*2*PI())</f>
        <v>6.1226113710138694</v>
      </c>
      <c r="O94" s="706">
        <f t="shared" ref="O94" ca="1" si="214">$N$58*SIN(-M87/360*2*PI())+$O$58*COS(-M87/360*2*PI())</f>
        <v>-3.7164379787010651</v>
      </c>
      <c r="P94" s="705"/>
      <c r="Q94" s="705"/>
      <c r="R94" s="704">
        <f t="shared" ref="R94" ca="1" si="215">$R$58*COS(-M87/360*2*PI())-$S$58*SIN(-M87/360*2*PI())</f>
        <v>-1.1450518999300887</v>
      </c>
      <c r="S94" s="704">
        <f t="shared" ref="S94" ca="1" si="216">$R$58*SIN(-M87/360*2*PI())+$S$58*COS(-M87/360*2*PI())</f>
        <v>0.10013497338221711</v>
      </c>
      <c r="AF94" s="705"/>
      <c r="AG94" s="705"/>
      <c r="AH94" s="705"/>
      <c r="AI94" s="705"/>
    </row>
    <row r="95" spans="12:35" ht="10.199999999999999" customHeight="1">
      <c r="M95" s="503"/>
      <c r="N95" s="706">
        <f t="shared" ref="N95" ca="1" si="217">$N$59*COS(-M87/360*2*PI())-$O$59*SIN(-M87/360*2*PI())</f>
        <v>7.1613874903736274</v>
      </c>
      <c r="O95" s="706">
        <f t="shared" ref="O95" ca="1" si="218">$N$59*SIN(-M87/360*2*PI())+$O$59*COS(-M87/360*2*PI())</f>
        <v>-0.11318331467190679</v>
      </c>
      <c r="P95" s="705"/>
      <c r="Q95" s="705"/>
      <c r="R95" s="705"/>
      <c r="S95" s="705"/>
      <c r="AF95" s="705"/>
      <c r="AG95" s="705"/>
      <c r="AH95" s="705"/>
      <c r="AI95" s="705"/>
    </row>
    <row r="96" spans="12:35" ht="10.199999999999999" customHeight="1">
      <c r="M96" s="503"/>
      <c r="N96" s="706">
        <f t="shared" ref="N96" ca="1" si="219">$N$60*COS(-M87/360*2*PI())-$O$60*SIN(-M87/360*2*PI())</f>
        <v>1.6363970055289176</v>
      </c>
      <c r="O96" s="706">
        <f t="shared" ref="O96" ca="1" si="220">$N$60*SIN(-M87/360*2*PI())+$O$60*COS(-M87/360*2*PI())</f>
        <v>1.4796067350130544</v>
      </c>
      <c r="P96" s="705"/>
      <c r="Q96" s="705"/>
      <c r="R96" s="705"/>
      <c r="S96" s="705"/>
      <c r="AF96" s="705"/>
      <c r="AG96" s="705"/>
      <c r="AH96" s="705"/>
      <c r="AI96" s="705"/>
    </row>
    <row r="97" spans="13:35" ht="10.199999999999999" customHeight="1">
      <c r="M97" s="503"/>
      <c r="N97" s="706">
        <f t="shared" ref="N97:O97" ca="1" si="221">N93</f>
        <v>0.59762088616916054</v>
      </c>
      <c r="O97" s="706">
        <f t="shared" ca="1" si="221"/>
        <v>-2.1236479290161037</v>
      </c>
      <c r="P97" s="705"/>
      <c r="Q97" s="705"/>
      <c r="R97" s="705"/>
      <c r="S97" s="705"/>
      <c r="AF97" s="705"/>
      <c r="AG97" s="705"/>
      <c r="AH97" s="705"/>
      <c r="AI97" s="705"/>
    </row>
    <row r="98" spans="13:35" ht="10.199999999999999" customHeight="1">
      <c r="M98" s="503"/>
      <c r="N98" s="705"/>
      <c r="O98" s="705"/>
      <c r="P98" s="705"/>
      <c r="Q98" s="705"/>
      <c r="R98" s="705"/>
      <c r="S98" s="705"/>
      <c r="AF98" s="705"/>
      <c r="AG98" s="705"/>
      <c r="AH98" s="705"/>
      <c r="AI98" s="705"/>
    </row>
    <row r="99" spans="13:35" ht="10.199999999999999" customHeight="1">
      <c r="M99" s="801">
        <f>-M3</f>
        <v>-90</v>
      </c>
      <c r="N99" s="706">
        <f t="shared" ref="N99" ca="1" si="222">$N$51*COS(-M99/360*2*PI())-$O$51*SIN(-M99/360*2*PI())</f>
        <v>1.0374999999999999</v>
      </c>
      <c r="O99" s="706">
        <f t="shared" ref="O99" ca="1" si="223">$N$51*SIN(-M99/360*2*PI())+$O$51*COS(-M99/360*2*PI())</f>
        <v>-2</v>
      </c>
      <c r="P99" s="704">
        <f t="shared" ref="P99" si="224">$P$51*COS(-M99/360*2*PI())-$Q$51*SIN(-M99/360*2*PI())</f>
        <v>0.22585056900797987</v>
      </c>
      <c r="Q99" s="704">
        <f t="shared" ref="Q99" si="225">$P$51*SIN(-M99/360*2*PI())+$Q$51*COS(-M99/360*2*PI())</f>
        <v>4</v>
      </c>
      <c r="R99" s="704">
        <f t="shared" ref="R99" ca="1" si="226">$R$51*COS(-M99/360*2*PI())-$S$51*SIN(-M99/360*2*PI())</f>
        <v>0.22585056900797962</v>
      </c>
      <c r="S99" s="704">
        <f t="shared" ref="S99" ca="1" si="227">$R$51*SIN(-M99/360*2*PI())+$S$51*COS(-M99/360*2*PI())</f>
        <v>-3.6996405391050834E-2</v>
      </c>
      <c r="AF99" s="705"/>
      <c r="AG99" s="705"/>
      <c r="AH99" s="705"/>
      <c r="AI99" s="705"/>
    </row>
    <row r="100" spans="13:35" ht="10.199999999999999" customHeight="1">
      <c r="M100" s="739"/>
      <c r="N100" s="706">
        <f t="shared" ref="N100" ca="1" si="228">$N$52*COS(-M99/360*2*PI())-$O$52*SIN(-M99/360*2*PI())</f>
        <v>7.0374999999999996</v>
      </c>
      <c r="O100" s="706">
        <f t="shared" ref="O100" ca="1" si="229">$N$52*SIN(-M99/360*2*PI())+$O$52*COS(-M99/360*2*PI())</f>
        <v>-2.0000000000000004</v>
      </c>
      <c r="P100" s="704">
        <f t="shared" ref="P100" ca="1" si="230">$P$52*COS(-M99/360*2*PI())-$Q$52*SIN(-M99/360*2*PI())</f>
        <v>-1.3489525805983196</v>
      </c>
      <c r="Q100" s="704">
        <f t="shared" ref="Q100" ca="1" si="231">$P$52*SIN(-M99/360*2*PI())+$Q$52*COS(-M99/360*2*PI())</f>
        <v>4</v>
      </c>
      <c r="R100" s="704">
        <f t="shared" ref="R100" ca="1" si="232">$R$52*COS(-M99/360*2*PI())-$S$52*SIN(-M99/360*2*PI())</f>
        <v>0.22585056900797962</v>
      </c>
      <c r="S100" s="704">
        <f t="shared" ref="S100" ca="1" si="233">$R$52*SIN(-M99/360*2*PI())+$S$52*COS(-M99/360*2*PI())</f>
        <v>3.6996405391050806E-2</v>
      </c>
      <c r="AF100" s="705"/>
      <c r="AG100" s="705"/>
      <c r="AH100" s="705"/>
      <c r="AI100" s="705"/>
    </row>
    <row r="101" spans="13:35" ht="10.199999999999999" customHeight="1">
      <c r="M101" s="739"/>
      <c r="N101" s="706">
        <f t="shared" ref="N101" ca="1" si="234">$N$53*COS(-M99/360*2*PI())-$O$53*SIN(-M99/360*2*PI())</f>
        <v>7.0374999999999996</v>
      </c>
      <c r="O101" s="706">
        <f t="shared" ref="O101" ca="1" si="235">$N$53*SIN(-M99/360*2*PI())+$O$53*COS(-M99/360*2*PI())</f>
        <v>1.9999999999999996</v>
      </c>
      <c r="P101" s="704">
        <f t="shared" ref="P101" ca="1" si="236">$P$53*COS(-M99/360*2*PI())-$Q$53*SIN(-M99/360*2*PI())</f>
        <v>-1.34895258059832</v>
      </c>
      <c r="Q101" s="704">
        <f t="shared" ref="Q101" ca="1" si="237">$P$53*SIN(-M99/360*2*PI())+$Q$53*COS(-M99/360*2*PI())</f>
        <v>-4</v>
      </c>
      <c r="R101" s="704">
        <f t="shared" ref="R101" si="238">$R$53*COS(-M99/360*2*PI())-$S$53*SIN(-M99/360*2*PI())</f>
        <v>0.22585056900797962</v>
      </c>
      <c r="S101" s="704">
        <f t="shared" ref="S101" si="239">$R$53*SIN(-M99/360*2*PI())+$S$53*COS(-M99/360*2*PI())</f>
        <v>-1.3835023783017944E-17</v>
      </c>
      <c r="AF101" s="705"/>
      <c r="AG101" s="705"/>
      <c r="AH101" s="705"/>
      <c r="AI101" s="705"/>
    </row>
    <row r="102" spans="13:35" ht="10.199999999999999" customHeight="1">
      <c r="M102" s="739"/>
      <c r="N102" s="706">
        <f t="shared" ref="N102" ca="1" si="240">$N$54*COS(-M99/360*2*PI())-$O$54*SIN(-M99/360*2*PI())</f>
        <v>1.0375000000000003</v>
      </c>
      <c r="O102" s="706">
        <f t="shared" ref="O102" ca="1" si="241">$N$54*SIN(-M99/360*2*PI())+$O$54*COS(-M99/360*2*PI())</f>
        <v>2</v>
      </c>
      <c r="P102" s="704">
        <f t="shared" ref="P102" si="242">$P$54*COS(-M99/360*2*PI())-$Q$54*SIN(-M99/360*2*PI())</f>
        <v>0.22585056900797937</v>
      </c>
      <c r="Q102" s="704">
        <f t="shared" ref="Q102" si="243">$P$54*SIN(-M99/360*2*PI())+$Q$54*COS(-M99/360*2*PI())</f>
        <v>-4</v>
      </c>
      <c r="R102" s="704">
        <f t="shared" ref="R102" ca="1" si="244">$R$54*COS(-M99/360*2*PI())-$S$54*SIN(-M99/360*2*PI())</f>
        <v>-1.3489525805983198</v>
      </c>
      <c r="S102" s="704">
        <f t="shared" ref="S102" ca="1" si="245">$R$54*SIN(-M99/360*2*PI())+$S$54*COS(-M99/360*2*PI())</f>
        <v>8.2633358493251362E-17</v>
      </c>
      <c r="AF102" s="705"/>
      <c r="AG102" s="705"/>
      <c r="AH102" s="705"/>
      <c r="AI102" s="705"/>
    </row>
    <row r="103" spans="13:35" ht="10.199999999999999" customHeight="1">
      <c r="M103" s="739"/>
      <c r="N103" s="706">
        <f t="shared" ref="N103:O103" ca="1" si="246">N99</f>
        <v>1.0374999999999999</v>
      </c>
      <c r="O103" s="706">
        <f t="shared" ca="1" si="246"/>
        <v>-2</v>
      </c>
      <c r="P103" s="704">
        <f t="shared" ref="P103:Q103" si="247">P99</f>
        <v>0.22585056900797987</v>
      </c>
      <c r="Q103" s="704">
        <f t="shared" si="247"/>
        <v>4</v>
      </c>
      <c r="R103" s="705"/>
      <c r="S103" s="705"/>
      <c r="AF103" s="705"/>
      <c r="AG103" s="705"/>
      <c r="AH103" s="705"/>
      <c r="AI103" s="705"/>
    </row>
    <row r="104" spans="13:35" ht="10.199999999999999" customHeight="1">
      <c r="M104" s="739"/>
      <c r="N104" s="705"/>
      <c r="O104" s="705"/>
      <c r="P104" s="705"/>
      <c r="Q104" s="705"/>
      <c r="R104" s="704">
        <f t="shared" ref="R104" ca="1" si="248">$R$56*COS(-M99/360*2*PI())-$S$56*SIN(-M99/360*2*PI())</f>
        <v>-1.1279817114775237</v>
      </c>
      <c r="S104" s="704">
        <f t="shared" ref="S104" ca="1" si="249">$R$56*SIN(-M99/360*2*PI())+$S$56*COS(-M99/360*2*PI())</f>
        <v>0.22097086912079617</v>
      </c>
      <c r="AF104" s="705"/>
      <c r="AG104" s="705"/>
      <c r="AH104" s="705"/>
      <c r="AI104" s="705"/>
    </row>
    <row r="105" spans="13:35" ht="10.199999999999999" customHeight="1">
      <c r="M105" s="503"/>
      <c r="N105" s="706">
        <f t="shared" ref="N105" ca="1" si="250">$N$57*COS(-M99/360*2*PI())-$O$57*SIN(-M99/360*2*PI())</f>
        <v>1.1624999999999999</v>
      </c>
      <c r="O105" s="706">
        <f t="shared" ref="O105" ca="1" si="251">$N$57*SIN(-M99/360*2*PI())+$O$57*COS(-M99/360*2*PI())</f>
        <v>-1.875</v>
      </c>
      <c r="P105" s="705"/>
      <c r="Q105" s="705"/>
      <c r="R105" s="704">
        <f t="shared" ref="R105" ca="1" si="252">$R$57*COS(-M99/360*2*PI())-$S$57*SIN(-M99/360*2*PI())</f>
        <v>-1.3489525805983198</v>
      </c>
      <c r="S105" s="704">
        <f t="shared" ref="S105" ca="1" si="253">$R$57*SIN(-M99/360*2*PI())+$S$57*COS(-M99/360*2*PI())</f>
        <v>8.2633358493251362E-17</v>
      </c>
      <c r="AF105" s="705"/>
      <c r="AG105" s="705"/>
      <c r="AH105" s="705"/>
      <c r="AI105" s="705"/>
    </row>
    <row r="106" spans="13:35" ht="10.199999999999999" customHeight="1">
      <c r="M106" s="503"/>
      <c r="N106" s="706">
        <f t="shared" ref="N106" ca="1" si="254">$N$58*COS(-M99/360*2*PI())-$O$58*SIN(-M99/360*2*PI())</f>
        <v>6.9124999999999996</v>
      </c>
      <c r="O106" s="706">
        <f t="shared" ref="O106" ca="1" si="255">$N$58*SIN(-M99/360*2*PI())+$O$58*COS(-M99/360*2*PI())</f>
        <v>-1.8750000000000004</v>
      </c>
      <c r="P106" s="705"/>
      <c r="Q106" s="705"/>
      <c r="R106" s="704">
        <f t="shared" ref="R106" ca="1" si="256">$R$58*COS(-M99/360*2*PI())-$S$58*SIN(-M99/360*2*PI())</f>
        <v>-1.1279817114775237</v>
      </c>
      <c r="S106" s="704">
        <f t="shared" ref="S106" ca="1" si="257">$R$58*SIN(-M99/360*2*PI())+$S$58*COS(-M99/360*2*PI())</f>
        <v>-0.22097086912079605</v>
      </c>
      <c r="AF106" s="705"/>
      <c r="AG106" s="705"/>
      <c r="AH106" s="705"/>
      <c r="AI106" s="705"/>
    </row>
    <row r="107" spans="13:35" ht="10.199999999999999" customHeight="1">
      <c r="M107" s="503"/>
      <c r="N107" s="706">
        <f t="shared" ref="N107" ca="1" si="258">$N$59*COS(-M99/360*2*PI())-$O$59*SIN(-M99/360*2*PI())</f>
        <v>6.9124999999999996</v>
      </c>
      <c r="O107" s="706">
        <f t="shared" ref="O107" ca="1" si="259">$N$59*SIN(-M99/360*2*PI())+$O$59*COS(-M99/360*2*PI())</f>
        <v>1.8749999999999996</v>
      </c>
      <c r="P107" s="705"/>
      <c r="Q107" s="705"/>
      <c r="R107" s="705"/>
      <c r="S107" s="705"/>
      <c r="AF107" s="705"/>
      <c r="AG107" s="705"/>
      <c r="AH107" s="705"/>
      <c r="AI107" s="705"/>
    </row>
    <row r="108" spans="13:35" ht="10.199999999999999" customHeight="1">
      <c r="M108" s="503"/>
      <c r="N108" s="706">
        <f t="shared" ref="N108" ca="1" si="260">$N$60*COS(-M99/360*2*PI())-$O$60*SIN(-M99/360*2*PI())</f>
        <v>1.1625000000000003</v>
      </c>
      <c r="O108" s="706">
        <f t="shared" ref="O108" ca="1" si="261">$N$60*SIN(-M99/360*2*PI())+$O$60*COS(-M99/360*2*PI())</f>
        <v>1.875</v>
      </c>
      <c r="P108" s="705"/>
      <c r="Q108" s="705"/>
      <c r="R108" s="705"/>
      <c r="S108" s="705"/>
      <c r="AF108" s="705"/>
      <c r="AG108" s="705"/>
      <c r="AH108" s="705"/>
      <c r="AI108" s="705"/>
    </row>
    <row r="109" spans="13:35" ht="10.199999999999999" customHeight="1">
      <c r="M109" s="503"/>
      <c r="N109" s="706">
        <f t="shared" ref="N109:O109" ca="1" si="262">N105</f>
        <v>1.1624999999999999</v>
      </c>
      <c r="O109" s="706">
        <f t="shared" ca="1" si="262"/>
        <v>-1.875</v>
      </c>
      <c r="P109" s="705"/>
      <c r="Q109" s="705"/>
      <c r="R109" s="705"/>
      <c r="S109" s="705"/>
      <c r="AF109" s="705"/>
      <c r="AG109" s="705"/>
      <c r="AH109" s="705"/>
      <c r="AI109" s="705"/>
    </row>
    <row r="110" spans="13:35" ht="10.199999999999999" customHeight="1">
      <c r="M110" s="503"/>
      <c r="N110" s="705"/>
      <c r="O110" s="705"/>
      <c r="P110" s="705"/>
      <c r="Q110" s="705"/>
      <c r="R110" s="705"/>
      <c r="S110" s="705"/>
      <c r="AH110" s="705"/>
      <c r="AI110" s="705"/>
    </row>
    <row r="111" spans="13:35" ht="10.199999999999999" customHeight="1">
      <c r="M111" s="739"/>
      <c r="N111" s="888">
        <f>PivitDia*SQRT(2)/4</f>
        <v>0.22097086912079611</v>
      </c>
      <c r="O111" s="740">
        <f>N111</f>
        <v>0.22097086912079611</v>
      </c>
      <c r="P111" s="705"/>
      <c r="Q111" s="705"/>
      <c r="R111" s="705"/>
      <c r="S111" s="705"/>
      <c r="AH111" s="705"/>
      <c r="AI111" s="705"/>
    </row>
    <row r="112" spans="13:35" ht="10.199999999999999" customHeight="1">
      <c r="M112" s="739"/>
      <c r="N112" s="740">
        <f>-N111</f>
        <v>-0.22097086912079611</v>
      </c>
      <c r="O112" s="740">
        <f>-N111</f>
        <v>-0.22097086912079611</v>
      </c>
      <c r="P112" s="705"/>
      <c r="Q112" s="705"/>
      <c r="R112" s="705"/>
      <c r="S112" s="705"/>
      <c r="AH112" s="705"/>
      <c r="AI112" s="705"/>
    </row>
    <row r="113" spans="13:35" ht="10.199999999999999" customHeight="1">
      <c r="M113" s="503"/>
      <c r="N113" s="705"/>
      <c r="O113" s="705"/>
      <c r="P113" s="705"/>
      <c r="Q113" s="705"/>
      <c r="R113" s="705"/>
      <c r="S113" s="705"/>
      <c r="AH113" s="705"/>
      <c r="AI113" s="705"/>
    </row>
    <row r="114" spans="13:35" ht="10.199999999999999" customHeight="1">
      <c r="M114" s="503"/>
      <c r="N114" s="740">
        <f>-N111</f>
        <v>-0.22097086912079611</v>
      </c>
      <c r="O114" s="740">
        <f>N111</f>
        <v>0.22097086912079611</v>
      </c>
      <c r="P114" s="705"/>
      <c r="Q114" s="705"/>
      <c r="R114" s="705"/>
      <c r="S114" s="705"/>
      <c r="AH114" s="705"/>
      <c r="AI114" s="705"/>
    </row>
    <row r="115" spans="13:35" ht="10.199999999999999" customHeight="1">
      <c r="M115" s="503"/>
      <c r="N115" s="740">
        <f>N111</f>
        <v>0.22097086912079611</v>
      </c>
      <c r="O115" s="740">
        <f>-N111</f>
        <v>-0.22097086912079611</v>
      </c>
      <c r="P115" s="705"/>
      <c r="Q115" s="705"/>
      <c r="R115" s="705"/>
      <c r="S115" s="705"/>
      <c r="AH115" s="705"/>
      <c r="AI115" s="705"/>
    </row>
    <row r="116" spans="13:35" ht="10.199999999999999" customHeight="1"/>
    <row r="117" spans="13:35" ht="10.199999999999999" customHeight="1">
      <c r="N117" s="888">
        <f>N111*10</f>
        <v>2.2097086912079611</v>
      </c>
      <c r="O117" s="888">
        <f>O111*10</f>
        <v>2.2097086912079611</v>
      </c>
    </row>
    <row r="118" spans="13:35" ht="10.199999999999999" customHeight="1">
      <c r="N118" s="888">
        <f>N112*10</f>
        <v>-2.2097086912079611</v>
      </c>
      <c r="O118" s="888">
        <f>O112*10</f>
        <v>-2.2097086912079611</v>
      </c>
    </row>
    <row r="119" spans="13:35" ht="10.199999999999999" customHeight="1">
      <c r="N119" s="705"/>
      <c r="O119" s="705"/>
    </row>
    <row r="120" spans="13:35" ht="10.199999999999999" customHeight="1">
      <c r="N120" s="888">
        <f t="shared" ref="N120:O120" si="263">N114*10</f>
        <v>-2.2097086912079611</v>
      </c>
      <c r="O120" s="888">
        <f t="shared" si="263"/>
        <v>2.2097086912079611</v>
      </c>
    </row>
    <row r="121" spans="13:35" ht="10.199999999999999" customHeight="1">
      <c r="N121" s="888">
        <f t="shared" ref="N121:O121" si="264">N115*10</f>
        <v>2.2097086912079611</v>
      </c>
      <c r="O121" s="888">
        <f t="shared" si="264"/>
        <v>-2.2097086912079611</v>
      </c>
    </row>
    <row r="122" spans="13:35" ht="10.199999999999999" customHeight="1"/>
    <row r="123" spans="13:35" ht="10.199999999999999" customHeight="1"/>
    <row r="124" spans="13:35" ht="10.199999999999999" customHeight="1"/>
    <row r="125" spans="13:35" ht="10.199999999999999" customHeight="1"/>
    <row r="126" spans="13:35" ht="10.199999999999999" customHeight="1"/>
    <row r="127" spans="13:35" ht="10.199999999999999" customHeight="1"/>
    <row r="128" spans="13:35" ht="10.199999999999999" customHeight="1"/>
    <row r="129" ht="10.199999999999999" customHeight="1"/>
    <row r="130" ht="10.199999999999999" customHeight="1"/>
  </sheetData>
  <sheetProtection sheet="1" objects="1" scenarios="1"/>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J210"/>
  <sheetViews>
    <sheetView topLeftCell="B1" workbookViewId="0">
      <selection activeCell="AD4" sqref="AD4"/>
    </sheetView>
  </sheetViews>
  <sheetFormatPr defaultRowHeight="13.8"/>
  <cols>
    <col min="1" max="1" width="2.21875" style="202" hidden="1" customWidth="1"/>
    <col min="2" max="2" width="70.109375" style="202" customWidth="1"/>
    <col min="3" max="3" width="5.77734375" style="466" customWidth="1"/>
    <col min="4" max="4" width="8.109375" style="481" customWidth="1"/>
    <col min="5" max="5" width="5.109375" style="503" bestFit="1" customWidth="1"/>
    <col min="6" max="7" width="3.5546875" style="504" customWidth="1"/>
    <col min="8" max="13" width="3.88671875" style="504" customWidth="1"/>
    <col min="14" max="14" width="4.6640625" style="503" customWidth="1"/>
    <col min="15" max="16" width="3.44140625" style="503" customWidth="1"/>
    <col min="17" max="17" width="3.44140625" style="505" customWidth="1"/>
    <col min="18" max="18" width="3.88671875" style="505" customWidth="1"/>
    <col min="19" max="21" width="3.44140625" style="505" customWidth="1"/>
    <col min="22" max="22" width="3.109375" style="505" customWidth="1"/>
    <col min="23" max="23" width="2.6640625" style="505" customWidth="1"/>
    <col min="24" max="24" width="3.109375" style="505" customWidth="1"/>
    <col min="25" max="25" width="2.6640625" style="505" customWidth="1"/>
    <col min="26" max="26" width="3.109375" style="505" customWidth="1"/>
    <col min="27" max="27" width="2.6640625" style="505" customWidth="1"/>
    <col min="28" max="28" width="3.109375" style="505" customWidth="1"/>
    <col min="29" max="29" width="2.6640625" style="505" customWidth="1"/>
    <col min="30" max="31" width="3.88671875" style="505" customWidth="1"/>
    <col min="32" max="32" width="3.5546875" style="202" customWidth="1"/>
    <col min="33" max="33" width="4.109375" style="202" customWidth="1"/>
    <col min="34" max="34" width="3.5546875" style="202" customWidth="1"/>
    <col min="35" max="35" width="4.109375" style="202" customWidth="1"/>
    <col min="36" max="36" width="3.5546875" style="202" customWidth="1"/>
    <col min="37" max="16384" width="8.88671875" style="202"/>
  </cols>
  <sheetData>
    <row r="1" spans="1:36" ht="2.4" customHeight="1">
      <c r="A1" s="465" t="s">
        <v>491</v>
      </c>
    </row>
    <row r="2" spans="1:36" s="416" customFormat="1" ht="10.199999999999999" customHeight="1" thickBot="1">
      <c r="A2" s="202" t="s">
        <v>493</v>
      </c>
      <c r="B2" s="474"/>
      <c r="C2" s="476" t="s">
        <v>528</v>
      </c>
      <c r="D2" s="482">
        <v>0.6</v>
      </c>
      <c r="E2" s="368">
        <v>0.6</v>
      </c>
      <c r="F2" s="368">
        <f>F9</f>
        <v>0.9329160378516449</v>
      </c>
    </row>
    <row r="3" spans="1:36" s="416" customFormat="1" ht="10.199999999999999" customHeight="1" thickTop="1" thickBot="1">
      <c r="A3" s="202"/>
      <c r="B3" s="474"/>
      <c r="C3" s="476" t="s">
        <v>529</v>
      </c>
      <c r="D3" s="482">
        <v>-1.1000000000000001</v>
      </c>
      <c r="E3" s="368">
        <v>-1.1000000000000001</v>
      </c>
      <c r="F3" s="368">
        <f>G9</f>
        <v>-0.36009396873481281</v>
      </c>
      <c r="G3" s="506"/>
      <c r="H3" s="507"/>
      <c r="I3" s="507"/>
      <c r="J3" s="507"/>
      <c r="K3" s="507"/>
      <c r="L3" s="507"/>
      <c r="M3" s="507"/>
      <c r="N3" s="508"/>
      <c r="O3" s="509"/>
      <c r="P3" s="510"/>
      <c r="Q3" s="511" t="s">
        <v>532</v>
      </c>
      <c r="R3" s="512"/>
      <c r="S3" s="512"/>
      <c r="T3" s="507"/>
      <c r="U3" s="507"/>
      <c r="V3" s="513"/>
      <c r="W3" s="513"/>
      <c r="X3" s="513"/>
      <c r="Y3" s="507"/>
      <c r="Z3" s="507"/>
      <c r="AA3" s="507"/>
      <c r="AB3" s="507"/>
      <c r="AC3" s="507"/>
      <c r="AD3" s="507"/>
      <c r="AE3" s="507"/>
    </row>
    <row r="4" spans="1:36" ht="10.199999999999999" customHeight="1" thickTop="1" thickBot="1">
      <c r="A4" s="202" t="s">
        <v>494</v>
      </c>
      <c r="B4" s="474"/>
      <c r="C4" s="476" t="s">
        <v>530</v>
      </c>
      <c r="D4" s="483">
        <f>-RedActX</f>
        <v>-0.6</v>
      </c>
      <c r="E4" s="368">
        <f>-E2</f>
        <v>-0.6</v>
      </c>
      <c r="F4" s="368">
        <f>-F2</f>
        <v>-0.9329160378516449</v>
      </c>
      <c r="G4" s="506"/>
      <c r="H4" s="514"/>
      <c r="I4" s="514"/>
      <c r="J4" s="515"/>
      <c r="K4" s="515"/>
      <c r="L4" s="515"/>
      <c r="M4" s="516" t="s">
        <v>535</v>
      </c>
      <c r="N4" s="517" t="s">
        <v>522</v>
      </c>
      <c r="O4" s="518" t="s">
        <v>523</v>
      </c>
      <c r="P4" s="519" t="s">
        <v>524</v>
      </c>
      <c r="Q4" s="520"/>
      <c r="R4" s="521" t="s">
        <v>538</v>
      </c>
      <c r="S4" s="522"/>
      <c r="T4" s="523" t="s">
        <v>534</v>
      </c>
      <c r="U4" s="524"/>
      <c r="V4" s="525"/>
      <c r="W4" s="526"/>
      <c r="X4" s="507"/>
      <c r="Y4" s="507"/>
      <c r="Z4" s="507"/>
      <c r="AA4" s="507"/>
      <c r="AB4" s="507"/>
      <c r="AC4" s="507"/>
      <c r="AD4" s="527">
        <v>1</v>
      </c>
      <c r="AE4" s="527">
        <f ca="1">(PThickIn)/(PWIn/2)</f>
        <v>8.0645161290322578E-2</v>
      </c>
    </row>
    <row r="5" spans="1:36" ht="10.199999999999999" customHeight="1" thickTop="1" thickBot="1">
      <c r="A5" s="202" t="s">
        <v>495</v>
      </c>
      <c r="B5" s="475"/>
      <c r="C5" s="476" t="s">
        <v>531</v>
      </c>
      <c r="D5" s="483">
        <f>RedActY</f>
        <v>-1.1000000000000001</v>
      </c>
      <c r="E5" s="368">
        <f>E3</f>
        <v>-1.1000000000000001</v>
      </c>
      <c r="F5" s="368">
        <f>F3</f>
        <v>-0.36009396873481281</v>
      </c>
      <c r="G5" s="506"/>
      <c r="H5" s="514"/>
      <c r="I5" s="514"/>
      <c r="J5" s="515"/>
      <c r="K5" s="515"/>
      <c r="L5" s="516" t="s">
        <v>525</v>
      </c>
      <c r="M5" s="528"/>
      <c r="N5" s="529" t="s">
        <v>523</v>
      </c>
      <c r="O5" s="530">
        <f ca="1">MAX(O7:OFFSET(O7,StepAng*$E$6,))</f>
        <v>0.93153400910448791</v>
      </c>
      <c r="P5" s="531">
        <f ca="1">MAX(P7:OFFSET(P7,StepAng*$E$6,))</f>
        <v>0.91449320548681634</v>
      </c>
      <c r="Q5" s="532">
        <f ca="1">MAX(Q7:OFFSET(Q7,StepAng*$E$6,))</f>
        <v>1.6123978882550509</v>
      </c>
      <c r="R5" s="533"/>
      <c r="S5" s="534" t="s">
        <v>539</v>
      </c>
      <c r="T5" s="530">
        <f ca="1">MAX(T7:OFFSET(T7,StepAng*$E$6,))</f>
        <v>1.7021435057613048</v>
      </c>
      <c r="U5" s="535">
        <f ca="1">MAX(U7:OFFSET(U7,StepAng*$E$6,))</f>
        <v>1.702143505761305</v>
      </c>
      <c r="V5" s="536"/>
      <c r="W5" s="537"/>
      <c r="X5" s="538" t="s">
        <v>526</v>
      </c>
      <c r="Y5" s="538"/>
      <c r="Z5" s="539"/>
      <c r="AA5" s="540"/>
      <c r="AB5" s="540"/>
      <c r="AC5" s="541"/>
      <c r="AD5" s="542" t="s">
        <v>533</v>
      </c>
      <c r="AE5" s="543"/>
    </row>
    <row r="6" spans="1:36" ht="10.199999999999999" customHeight="1" thickTop="1" thickBot="1">
      <c r="A6" s="202" t="s">
        <v>496</v>
      </c>
      <c r="B6" s="475"/>
      <c r="C6" s="467" t="s">
        <v>513</v>
      </c>
      <c r="D6" s="484">
        <f ca="1">+T5</f>
        <v>1.7021435057613048</v>
      </c>
      <c r="E6" s="544">
        <v>4</v>
      </c>
      <c r="F6" s="545" t="s">
        <v>499</v>
      </c>
      <c r="G6" s="851" t="s">
        <v>500</v>
      </c>
      <c r="H6" s="630" t="s">
        <v>501</v>
      </c>
      <c r="I6" s="630" t="s">
        <v>502</v>
      </c>
      <c r="J6" s="631" t="s">
        <v>503</v>
      </c>
      <c r="K6" s="632" t="s">
        <v>504</v>
      </c>
      <c r="L6" s="546" t="s">
        <v>520</v>
      </c>
      <c r="M6" s="546" t="s">
        <v>520</v>
      </c>
      <c r="N6" s="547" t="s">
        <v>524</v>
      </c>
      <c r="O6" s="530">
        <f ca="1">MIN(O7:OFFSET(O7,StepAng*$E$6,))</f>
        <v>0</v>
      </c>
      <c r="P6" s="531">
        <f ca="1">MIN(P7:OFFSET(P7,StepAng*$E$6,))</f>
        <v>0</v>
      </c>
      <c r="Q6" s="532">
        <f ca="1">MIN(Q7:OFFSET(Q7,StepAng*$E$6,))</f>
        <v>0</v>
      </c>
      <c r="R6" s="548" t="s">
        <v>9</v>
      </c>
      <c r="S6" s="548" t="s">
        <v>10</v>
      </c>
      <c r="T6" s="530">
        <f ca="1">MIN(T7:OFFSET(T7,StepAng*$E$6,))</f>
        <v>0.25383116973800707</v>
      </c>
      <c r="U6" s="549">
        <f ca="1">MIN(U7:OFFSET(U7,StepAng*$E$6,))</f>
        <v>0.25383116973800707</v>
      </c>
      <c r="V6" s="550">
        <v>1</v>
      </c>
      <c r="W6" s="551"/>
      <c r="X6" s="550">
        <v>0.75</v>
      </c>
      <c r="Y6" s="551"/>
      <c r="Z6" s="550">
        <v>0.5</v>
      </c>
      <c r="AA6" s="551"/>
      <c r="AB6" s="550">
        <v>0.25</v>
      </c>
      <c r="AC6" s="551"/>
      <c r="AD6" s="552" t="s">
        <v>9</v>
      </c>
      <c r="AE6" s="553" t="s">
        <v>10</v>
      </c>
    </row>
    <row r="7" spans="1:36" ht="10.199999999999999" customHeight="1">
      <c r="A7" s="202" t="s">
        <v>497</v>
      </c>
      <c r="B7" s="475"/>
      <c r="C7" s="467" t="s">
        <v>515</v>
      </c>
      <c r="D7" s="484">
        <f ca="1">+D6-D8</f>
        <v>1.4483123360232977</v>
      </c>
      <c r="E7" s="554">
        <v>0</v>
      </c>
      <c r="F7" s="555">
        <f>IF(WindFactor=1,M7,L7)*DualRadius</f>
        <v>-0.87033233368081153</v>
      </c>
      <c r="G7" s="852">
        <f>IF(WindFactor=1,M8,L8)*DualRadius</f>
        <v>0.33593743856635588</v>
      </c>
      <c r="H7" s="570">
        <f ca="1">((H8-H9)/((H8-H9)^2+(I8-I9)^2)^0.5)*ActBodyLenFact+H8</f>
        <v>0.6</v>
      </c>
      <c r="I7" s="570">
        <f ca="1">((I8-I9)/((H8-H9)^2+(I8-I9)^2)^0.5)*ActBodyLenFact+I8</f>
        <v>-1.1000000000000001</v>
      </c>
      <c r="J7" s="531">
        <f ca="1">IFERROR(((J8-J9)/((J8-J9)^2+(K8-K9)^2)^0.5)*ActBodyLenFact,0)+J8</f>
        <v>-0.6</v>
      </c>
      <c r="K7" s="531">
        <f ca="1">IFERROR(((K8-K9)/((J8-J9)^2+(K8-K9)^2)^0.5)*ActBodyLenFact,0)+K8</f>
        <v>-1.1000000000000001</v>
      </c>
      <c r="L7" s="557">
        <f>SIN(RADIANS(E8))</f>
        <v>-0.93291603785164479</v>
      </c>
      <c r="M7" s="558">
        <f>L7*SIN(RADIANS(ABS(E8)))</f>
        <v>-0.87033233368081153</v>
      </c>
      <c r="N7" s="559">
        <f>IFERROR(DEGREES(ACOS(ABS(1+(H8-H9)^2+(I8-I9)^2-RedActX^2-RedActY^2)/ABS(2*((H8-H9)^2+(I8-I9)^2)^0.5)-0.00000000001)),90)</f>
        <v>86.88090561021798</v>
      </c>
      <c r="O7" s="556">
        <f>ABS(SIN(RADIANS(N7))*IF(WindFactor=1,SIN(RADIANS(E8)),1))</f>
        <v>0.93153400910448791</v>
      </c>
      <c r="P7" s="560"/>
      <c r="Q7" s="561">
        <f>+O7+P8</f>
        <v>1.6123978882550509</v>
      </c>
      <c r="R7" s="562">
        <f>-F9*Q7/2</f>
        <v>-0.75211592467563071</v>
      </c>
      <c r="S7" s="563">
        <f>-G9*Q7/2</f>
        <v>0.29030737738069623</v>
      </c>
      <c r="T7" s="564">
        <f>((H8-H9)^2+(I8-I9)^2)^0.5</f>
        <v>0.81135320506018715</v>
      </c>
      <c r="U7" s="565">
        <f>((J8-J9)^2+(K8-K9)^2)^0.5</f>
        <v>1.702143505761305</v>
      </c>
      <c r="V7" s="616">
        <f>-F9*1</f>
        <v>-0.9329160378516449</v>
      </c>
      <c r="W7" s="617">
        <f>-G9*1</f>
        <v>0.36009396873481281</v>
      </c>
      <c r="X7" s="617">
        <f>-F9*0.75</f>
        <v>-0.69968702838873365</v>
      </c>
      <c r="Y7" s="617">
        <f>-G9*0.75</f>
        <v>0.27007047655110961</v>
      </c>
      <c r="Z7" s="617">
        <f>-F9*0.5</f>
        <v>-0.46645801892582245</v>
      </c>
      <c r="AA7" s="617">
        <f>-G9*0.5</f>
        <v>0.1800469843674064</v>
      </c>
      <c r="AB7" s="617">
        <f>-F9*0.25</f>
        <v>-0.23322900946291122</v>
      </c>
      <c r="AC7" s="618">
        <f>-G9*0.25</f>
        <v>9.0023492183703202E-2</v>
      </c>
      <c r="AD7" s="566">
        <f>-G9*$AD$4*DualRadius</f>
        <v>0.36009396873481281</v>
      </c>
      <c r="AE7" s="567">
        <f>F9*$AD$4*DualRadius</f>
        <v>0.9329160378516449</v>
      </c>
    </row>
    <row r="8" spans="1:36" ht="10.199999999999999" customHeight="1">
      <c r="A8" s="202" t="s">
        <v>498</v>
      </c>
      <c r="B8" s="475"/>
      <c r="C8" s="467" t="s">
        <v>514</v>
      </c>
      <c r="D8" s="484">
        <f ca="1">+T6</f>
        <v>0.25383116973800707</v>
      </c>
      <c r="E8" s="568">
        <f>StartAng+DualIncAng*E7</f>
        <v>-68.894032923589904</v>
      </c>
      <c r="F8" s="569">
        <v>0</v>
      </c>
      <c r="G8" s="569">
        <v>0</v>
      </c>
      <c r="H8" s="570">
        <f>RedActX</f>
        <v>0.6</v>
      </c>
      <c r="I8" s="570">
        <f>RedActY</f>
        <v>-1.1000000000000001</v>
      </c>
      <c r="J8" s="531">
        <f>IF(DualSingle=2,GrnActX,0)</f>
        <v>-0.6</v>
      </c>
      <c r="K8" s="531">
        <f>IF(DualSingle=2,GrnActY,0)</f>
        <v>-1.1000000000000001</v>
      </c>
      <c r="L8" s="571">
        <f>ABS(COS(RADIANS(ABS(E8))))</f>
        <v>0.36009396873481309</v>
      </c>
      <c r="M8" s="572">
        <f>L8*SIN(RADIANS(ABS(E8)))</f>
        <v>0.33593743856635588</v>
      </c>
      <c r="N8" s="573">
        <f>IF(DualSingle=2,DEGREES(ACOS(ABS(1+(J8-J9)^2+(K8-K9)^2-GrnActX^2-GrnActY^2)/ABS(2*((J8-J9)^2+(K8-K9)^2)^0.5)-0.00000000001)),0)</f>
        <v>46.871584313415489</v>
      </c>
      <c r="O8" s="574"/>
      <c r="P8" s="531">
        <f>ABS(SIN(RADIANS(N8))*IF(WindFactor=1,SIN(RADIANS(E8)),1))</f>
        <v>0.68086387915056301</v>
      </c>
      <c r="Q8" s="575"/>
      <c r="R8" s="576">
        <f>R11</f>
        <v>-0.73148670233824542</v>
      </c>
      <c r="S8" s="534">
        <f>S11</f>
        <v>0.32356590441433136</v>
      </c>
      <c r="T8" s="577"/>
      <c r="U8" s="578"/>
      <c r="V8" s="619">
        <f t="shared" ref="V8:AC8" si="0">V11</f>
        <v>-0.91452437187538305</v>
      </c>
      <c r="W8" s="620">
        <f t="shared" si="0"/>
        <v>0.40453080630025712</v>
      </c>
      <c r="X8" s="620">
        <f t="shared" si="0"/>
        <v>-0.68589327890653728</v>
      </c>
      <c r="Y8" s="620">
        <f t="shared" si="0"/>
        <v>0.30339810472519285</v>
      </c>
      <c r="Z8" s="620">
        <f t="shared" si="0"/>
        <v>-0.45726218593769152</v>
      </c>
      <c r="AA8" s="620">
        <f t="shared" si="0"/>
        <v>0.20226540315012856</v>
      </c>
      <c r="AB8" s="620">
        <f t="shared" si="0"/>
        <v>-0.22863109296884576</v>
      </c>
      <c r="AC8" s="621">
        <f t="shared" si="0"/>
        <v>0.10113270157506428</v>
      </c>
      <c r="AD8" s="579">
        <f>G9*$AD$4*DualRadius</f>
        <v>-0.36009396873481281</v>
      </c>
      <c r="AE8" s="580">
        <f>-F9*$AD$4*DualRadius</f>
        <v>-0.9329160378516449</v>
      </c>
      <c r="AF8" s="416"/>
      <c r="AG8" s="416"/>
      <c r="AH8" s="416"/>
      <c r="AI8" s="416"/>
      <c r="AJ8" s="416"/>
    </row>
    <row r="9" spans="1:36" ht="10.199999999999999" customHeight="1">
      <c r="B9" s="475"/>
      <c r="C9" s="467" t="s">
        <v>585</v>
      </c>
      <c r="D9" s="483">
        <f ca="1">(DualActDeltaMove-DualActMin)*0</f>
        <v>0</v>
      </c>
      <c r="E9" s="568"/>
      <c r="F9" s="569">
        <f>SIN(RADIANS(E8-180))*DualRadius</f>
        <v>0.9329160378516449</v>
      </c>
      <c r="G9" s="569">
        <f>COS(RADIANS(E8-180))*DualRadius</f>
        <v>-0.36009396873481281</v>
      </c>
      <c r="H9" s="570">
        <f>F9</f>
        <v>0.9329160378516449</v>
      </c>
      <c r="I9" s="570">
        <f>G9</f>
        <v>-0.36009396873481281</v>
      </c>
      <c r="J9" s="531">
        <f>IF(DualSingle=2,F9,0)</f>
        <v>0.9329160378516449</v>
      </c>
      <c r="K9" s="531">
        <f>IF(DualSingle=2,G9,0)</f>
        <v>-0.36009396873481281</v>
      </c>
      <c r="L9" s="574"/>
      <c r="M9" s="578"/>
      <c r="N9" s="577"/>
      <c r="O9" s="574"/>
      <c r="P9" s="574"/>
      <c r="Q9" s="575"/>
      <c r="R9" s="581"/>
      <c r="S9" s="512"/>
      <c r="T9" s="577"/>
      <c r="U9" s="578"/>
      <c r="V9" s="622"/>
      <c r="W9" s="623"/>
      <c r="X9" s="623"/>
      <c r="Y9" s="623"/>
      <c r="Z9" s="623"/>
      <c r="AA9" s="623"/>
      <c r="AB9" s="623"/>
      <c r="AC9" s="624"/>
      <c r="AD9" s="579">
        <f ca="1">G9*$AD$4*DualRadius-F9*$AE$4*DualRadius</f>
        <v>-0.43532913307768739</v>
      </c>
      <c r="AE9" s="580">
        <f ca="1">-F9*$AD$4*DualRadius-G9*$AE$4*DualRadius</f>
        <v>-0.90387620166335358</v>
      </c>
      <c r="AF9" s="416"/>
      <c r="AG9" s="416"/>
      <c r="AH9" s="416"/>
      <c r="AI9" s="416"/>
      <c r="AJ9" s="416"/>
    </row>
    <row r="10" spans="1:36" ht="10.199999999999999" customHeight="1" thickBot="1">
      <c r="B10" s="475"/>
      <c r="C10" s="467" t="s">
        <v>477</v>
      </c>
      <c r="D10" s="484">
        <v>1</v>
      </c>
      <c r="E10" s="582"/>
      <c r="F10" s="583"/>
      <c r="G10" s="583"/>
      <c r="H10" s="583"/>
      <c r="I10" s="583"/>
      <c r="J10" s="583"/>
      <c r="K10" s="583"/>
      <c r="L10" s="583"/>
      <c r="M10" s="584"/>
      <c r="N10" s="585"/>
      <c r="O10" s="586"/>
      <c r="P10" s="586"/>
      <c r="Q10" s="587"/>
      <c r="R10" s="588"/>
      <c r="S10" s="589"/>
      <c r="T10" s="585"/>
      <c r="U10" s="584"/>
      <c r="V10" s="625"/>
      <c r="W10" s="583"/>
      <c r="X10" s="583"/>
      <c r="Y10" s="583"/>
      <c r="Z10" s="583"/>
      <c r="AA10" s="583"/>
      <c r="AB10" s="583"/>
      <c r="AC10" s="626"/>
      <c r="AD10" s="579">
        <f ca="1">-G9*$AD$4*DualRadius-F9*$AE$4*DualRadius</f>
        <v>0.28485880439193823</v>
      </c>
      <c r="AE10" s="580">
        <f ca="1">F9*$AD$4*DualRadius-G9*$AE$4*DualRadius</f>
        <v>0.96195587403993621</v>
      </c>
    </row>
    <row r="11" spans="1:36" ht="10.199999999999999" customHeight="1" thickBot="1">
      <c r="B11" s="475"/>
      <c r="C11" s="467" t="s">
        <v>505</v>
      </c>
      <c r="D11" s="485">
        <f>-D23</f>
        <v>-68.894032923589904</v>
      </c>
      <c r="E11" s="554">
        <f>E7+1</f>
        <v>1</v>
      </c>
      <c r="F11" s="555">
        <f>IF(WindFactor=1,M11,L11)*DualRadius</f>
        <v>-0.83635482675406436</v>
      </c>
      <c r="G11" s="555">
        <f>IF(WindFactor=1,M12,L12)*DualRadius</f>
        <v>0.3699532815359845</v>
      </c>
      <c r="H11" s="570">
        <f ca="1">((H12-H13)/((H12-H13)^2+(I12-I13)^2)^0.5)*ActBodyLenFact+H12</f>
        <v>0.6</v>
      </c>
      <c r="I11" s="570">
        <f ca="1">((I12-I13)/((H12-H13)^2+(I12-I13)^2)^0.5)*ActBodyLenFact+I12</f>
        <v>-1.1000000000000001</v>
      </c>
      <c r="J11" s="531">
        <f ca="1">IFERROR(((J12-J13)/((J12-J13)^2+(K12-K13)^2)^0.5)*ActBodyLenFact,0)+J12</f>
        <v>-0.6</v>
      </c>
      <c r="K11" s="531">
        <f ca="1">IFERROR(((K12-K13)/((J12-J13)^2+(K12-K13)^2)^0.5)*ActBodyLenFact,0)+K12</f>
        <v>-1.1000000000000001</v>
      </c>
      <c r="L11" s="557">
        <f>SIN(RADIANS(E12))</f>
        <v>-0.91452437187538327</v>
      </c>
      <c r="M11" s="558">
        <f>L11*SIN(RADIANS(ABS(E12)))</f>
        <v>-0.83635482675406436</v>
      </c>
      <c r="N11" s="559">
        <f>IFERROR(DEGREES(ACOS(ABS(1+(H12-H13)^2+(I12-I13)^2-RedActX^2-RedActY^2)/ABS(2*((H12-H13)^2+(I12-I13)^2)^0.5)-0.00000000001)),90)</f>
        <v>89.526974599407751</v>
      </c>
      <c r="O11" s="556">
        <f>ABS(SIN(RADIANS(N11))*IF(WindFactor=1,SIN(RADIANS(E12)),1))</f>
        <v>0.91449320548681634</v>
      </c>
      <c r="P11" s="560"/>
      <c r="Q11" s="561">
        <f>+O11+P12</f>
        <v>1.5997095863901611</v>
      </c>
      <c r="R11" s="562">
        <f t="shared" ref="R11" si="1">-F13*Q11/2</f>
        <v>-0.73148670233824542</v>
      </c>
      <c r="S11" s="563">
        <f t="shared" ref="S11" si="2">-G13*Q11/2</f>
        <v>0.32356590441433136</v>
      </c>
      <c r="T11" s="564">
        <f>((H12-H13)^2+(I12-I13)^2)^0.5</f>
        <v>0.76328433751058644</v>
      </c>
      <c r="U11" s="565">
        <f>((J12-J13)^2+(K12-K13)^2)^0.5</f>
        <v>1.6665717723488223</v>
      </c>
      <c r="V11" s="616">
        <f>-F13*1</f>
        <v>-0.91452437187538305</v>
      </c>
      <c r="W11" s="617">
        <f>-G13*1</f>
        <v>0.40453080630025712</v>
      </c>
      <c r="X11" s="617">
        <f>-F13*0.75</f>
        <v>-0.68589327890653728</v>
      </c>
      <c r="Y11" s="617">
        <f>-G13*0.75</f>
        <v>0.30339810472519285</v>
      </c>
      <c r="Z11" s="617">
        <f>-F13*0.5</f>
        <v>-0.45726218593769152</v>
      </c>
      <c r="AA11" s="617">
        <f>-G13*0.5</f>
        <v>0.20226540315012856</v>
      </c>
      <c r="AB11" s="617">
        <f>-F13*0.25</f>
        <v>-0.22863109296884576</v>
      </c>
      <c r="AC11" s="618">
        <f>-G13*0.25</f>
        <v>0.10113270157506428</v>
      </c>
      <c r="AD11" s="590">
        <f>-G9*$AD$4*DualRadius</f>
        <v>0.36009396873481281</v>
      </c>
      <c r="AE11" s="591">
        <f>F9*$AD$4*DualRadius</f>
        <v>0.9329160378516449</v>
      </c>
    </row>
    <row r="12" spans="1:36" ht="10.199999999999999" customHeight="1" thickBot="1">
      <c r="B12" s="475"/>
      <c r="C12" s="467" t="s">
        <v>506</v>
      </c>
      <c r="D12" s="485">
        <f>-StartAng</f>
        <v>68.894032923589904</v>
      </c>
      <c r="E12" s="568">
        <f>StartAng+DualIncAng*E11</f>
        <v>-66.138271606646313</v>
      </c>
      <c r="F12" s="569">
        <v>0</v>
      </c>
      <c r="G12" s="569">
        <v>0</v>
      </c>
      <c r="H12" s="570">
        <f>RedActX</f>
        <v>0.6</v>
      </c>
      <c r="I12" s="570">
        <f>RedActY</f>
        <v>-1.1000000000000001</v>
      </c>
      <c r="J12" s="531">
        <f>IF(DualSingle=2,GrnActX,0)</f>
        <v>-0.6</v>
      </c>
      <c r="K12" s="531">
        <f>IF(DualSingle=2,GrnActY,0)</f>
        <v>-1.1000000000000001</v>
      </c>
      <c r="L12" s="571">
        <f>ABS(COS(RADIANS(ABS(E12))))</f>
        <v>0.40453080630025662</v>
      </c>
      <c r="M12" s="572">
        <f>L12*SIN(RADIANS(ABS(E12)))</f>
        <v>0.3699532815359845</v>
      </c>
      <c r="N12" s="573">
        <f>IF(DualSingle=2,DEGREES(ACOS(ABS(1+(J12-J13)^2+(K12-K13)^2-GrnActX^2-GrnActY^2)/ABS(2*((J12-J13)^2+(K12-K13)^2)^0.5)-0.00000000001)),0)</f>
        <v>48.526303220851823</v>
      </c>
      <c r="O12" s="574"/>
      <c r="P12" s="531">
        <f>ABS(SIN(RADIANS(N12))*IF(WindFactor=1,SIN(RADIANS(E12)),1))</f>
        <v>0.68521638090334491</v>
      </c>
      <c r="Q12" s="575"/>
      <c r="R12" s="576">
        <f t="shared" ref="R12:S12" si="3">R15</f>
        <v>-0.70630126564842322</v>
      </c>
      <c r="S12" s="534">
        <f t="shared" si="3"/>
        <v>0.35395903375675292</v>
      </c>
      <c r="T12" s="577"/>
      <c r="U12" s="578"/>
      <c r="V12" s="619">
        <f t="shared" ref="V12:AC12" si="4">V15</f>
        <v>-0.89401751536487639</v>
      </c>
      <c r="W12" s="620">
        <f t="shared" si="4"/>
        <v>0.44803201026356693</v>
      </c>
      <c r="X12" s="620">
        <f t="shared" si="4"/>
        <v>-0.67051313652365729</v>
      </c>
      <c r="Y12" s="620">
        <f t="shared" si="4"/>
        <v>0.33602400769767521</v>
      </c>
      <c r="Z12" s="620">
        <f t="shared" si="4"/>
        <v>-0.4470087576824382</v>
      </c>
      <c r="AA12" s="620">
        <f t="shared" si="4"/>
        <v>0.22401600513178346</v>
      </c>
      <c r="AB12" s="620">
        <f t="shared" si="4"/>
        <v>-0.2235043788412191</v>
      </c>
      <c r="AC12" s="621">
        <f t="shared" si="4"/>
        <v>0.11200800256589173</v>
      </c>
    </row>
    <row r="13" spans="1:36" ht="10.199999999999999" customHeight="1">
      <c r="B13" s="475"/>
      <c r="C13" s="467" t="s">
        <v>512</v>
      </c>
      <c r="D13" s="486">
        <f>+ABS(StartAng-StopAng)</f>
        <v>137.78806584717981</v>
      </c>
      <c r="E13" s="568"/>
      <c r="F13" s="569">
        <f>SIN(RADIANS(E12-180))*DualRadius</f>
        <v>0.91452437187538305</v>
      </c>
      <c r="G13" s="569">
        <f>COS(RADIANS(E12-180))*DualRadius</f>
        <v>-0.40453080630025712</v>
      </c>
      <c r="H13" s="570">
        <f t="shared" ref="H13" si="5">F13</f>
        <v>0.91452437187538305</v>
      </c>
      <c r="I13" s="570">
        <f t="shared" ref="I13" si="6">G13</f>
        <v>-0.40453080630025712</v>
      </c>
      <c r="J13" s="531">
        <f>IF(DualSingle=2,F13,0)</f>
        <v>0.91452437187538305</v>
      </c>
      <c r="K13" s="531">
        <f>IF(DualSingle=2,G13,0)</f>
        <v>-0.40453080630025712</v>
      </c>
      <c r="L13" s="574"/>
      <c r="M13" s="578"/>
      <c r="N13" s="577"/>
      <c r="O13" s="574"/>
      <c r="P13" s="574"/>
      <c r="Q13" s="575"/>
      <c r="R13" s="581"/>
      <c r="S13" s="512"/>
      <c r="T13" s="577"/>
      <c r="U13" s="578"/>
      <c r="V13" s="622"/>
      <c r="W13" s="623"/>
      <c r="X13" s="623"/>
      <c r="Y13" s="623"/>
      <c r="Z13" s="623"/>
      <c r="AA13" s="623"/>
      <c r="AB13" s="623"/>
      <c r="AC13" s="624"/>
      <c r="AD13" s="566">
        <f ca="1">-OFFSET(G9,StepAng*$E$6,)*$AD$4*DualRadius</f>
        <v>0.36009396873481297</v>
      </c>
      <c r="AE13" s="567">
        <f ca="1">OFFSET(F9,StepAng*$E$6,)*$AD$4*DualRadius</f>
        <v>-0.93291603785164479</v>
      </c>
    </row>
    <row r="14" spans="1:36" ht="10.199999999999999" customHeight="1" thickBot="1">
      <c r="B14" s="475"/>
      <c r="C14" s="467" t="s">
        <v>507</v>
      </c>
      <c r="D14" s="487">
        <v>50</v>
      </c>
      <c r="E14" s="582"/>
      <c r="F14" s="583"/>
      <c r="G14" s="583"/>
      <c r="H14" s="583"/>
      <c r="I14" s="583"/>
      <c r="J14" s="583"/>
      <c r="K14" s="583"/>
      <c r="L14" s="583"/>
      <c r="M14" s="584"/>
      <c r="N14" s="585"/>
      <c r="O14" s="586"/>
      <c r="P14" s="586"/>
      <c r="Q14" s="587"/>
      <c r="R14" s="588"/>
      <c r="S14" s="589"/>
      <c r="T14" s="585"/>
      <c r="U14" s="584"/>
      <c r="V14" s="625"/>
      <c r="W14" s="583"/>
      <c r="X14" s="583"/>
      <c r="Y14" s="583"/>
      <c r="Z14" s="583"/>
      <c r="AA14" s="583"/>
      <c r="AB14" s="583"/>
      <c r="AC14" s="626"/>
      <c r="AD14" s="579">
        <f ca="1">OFFSET(G9,StepAng*$E$6,)*$AD$4*DualRadius</f>
        <v>-0.36009396873481297</v>
      </c>
      <c r="AE14" s="580">
        <f ca="1">-OFFSET(F9,StepAng*$E$6,)*$AD$4*DualRadius</f>
        <v>0.93291603785164479</v>
      </c>
    </row>
    <row r="15" spans="1:36" ht="10.199999999999999" customHeight="1">
      <c r="B15" s="475"/>
      <c r="C15" s="467" t="s">
        <v>509</v>
      </c>
      <c r="D15" s="486">
        <f>+($D$12-$D$11)/$D$14</f>
        <v>2.7557613169435964</v>
      </c>
      <c r="E15" s="554">
        <f t="shared" ref="E15" si="7">E11+1</f>
        <v>2</v>
      </c>
      <c r="F15" s="555">
        <f>IF(WindFactor=1,M15,L15)*DualRadius</f>
        <v>-0.79926731777918725</v>
      </c>
      <c r="G15" s="555">
        <f>IF(WindFactor=1,M16,L16)*DualRadius</f>
        <v>0.40054846461976484</v>
      </c>
      <c r="H15" s="570">
        <f ca="1">((H16-H17)/((H16-H17)^2+(I16-I17)^2)^0.5)*ActBodyLenFact+H16</f>
        <v>0.6</v>
      </c>
      <c r="I15" s="570">
        <f ca="1">((I16-I17)/((H16-H17)^2+(I16-I17)^2)^0.5)*ActBodyLenFact+I16</f>
        <v>-1.1000000000000001</v>
      </c>
      <c r="J15" s="531">
        <f ca="1">IFERROR(((J16-J17)/((J16-J17)^2+(K16-K17)^2)^0.5)*ActBodyLenFact,0)+J16</f>
        <v>-0.6</v>
      </c>
      <c r="K15" s="531">
        <f ca="1">IFERROR(((K16-K17)/((J16-J17)^2+(K16-K17)^2)^0.5)*ActBodyLenFact,0)+K16</f>
        <v>-1.1000000000000001</v>
      </c>
      <c r="L15" s="557">
        <f t="shared" ref="L15" si="8">SIN(RADIANS(E16))</f>
        <v>-0.8940175153648765</v>
      </c>
      <c r="M15" s="558">
        <f t="shared" ref="M15" si="9">L15*SIN(RADIANS(ABS(E16)))</f>
        <v>-0.79926731777918725</v>
      </c>
      <c r="N15" s="559">
        <f>IFERROR(DEGREES(ACOS(ABS(1+(H16-H17)^2+(I16-I17)^2-RedActX^2-RedActY^2)/ABS(2*((H16-H17)^2+(I16-I17)^2)^0.5)-0.00000000001)),90)</f>
        <v>87.656420920102093</v>
      </c>
      <c r="O15" s="556">
        <f>ABS(SIN(RADIANS(N15))*IF(WindFactor=1,SIN(RADIANS(E16)),1))</f>
        <v>0.89326974294857941</v>
      </c>
      <c r="P15" s="560"/>
      <c r="Q15" s="561">
        <f t="shared" ref="Q15" si="10">+O15+P16</f>
        <v>1.5800613601181173</v>
      </c>
      <c r="R15" s="562">
        <f t="shared" ref="R15" si="11">-F17*Q15/2</f>
        <v>-0.70630126564842322</v>
      </c>
      <c r="S15" s="563">
        <f t="shared" ref="S15" si="12">-G17*Q15/2</f>
        <v>0.35395903375675292</v>
      </c>
      <c r="T15" s="564">
        <f t="shared" ref="T15" si="13">((H16-H17)^2+(I16-I17)^2)^0.5</f>
        <v>0.71519826550565768</v>
      </c>
      <c r="U15" s="565">
        <f t="shared" ref="U15" si="14">((J16-J17)^2+(K16-K17)^2)^0.5</f>
        <v>1.6300768680826081</v>
      </c>
      <c r="V15" s="616">
        <f>-F17*1</f>
        <v>-0.89401751536487639</v>
      </c>
      <c r="W15" s="617">
        <f>-G17*1</f>
        <v>0.44803201026356693</v>
      </c>
      <c r="X15" s="617">
        <f>-F17*0.75</f>
        <v>-0.67051313652365729</v>
      </c>
      <c r="Y15" s="617">
        <f>-G17*0.75</f>
        <v>0.33602400769767521</v>
      </c>
      <c r="Z15" s="617">
        <f>-F17*0.5</f>
        <v>-0.4470087576824382</v>
      </c>
      <c r="AA15" s="617">
        <f>-G17*0.5</f>
        <v>0.22401600513178346</v>
      </c>
      <c r="AB15" s="617">
        <f>-F17*0.25</f>
        <v>-0.2235043788412191</v>
      </c>
      <c r="AC15" s="618">
        <f>-G17*0.25</f>
        <v>0.11200800256589173</v>
      </c>
      <c r="AD15" s="579">
        <f ca="1">OFFSET(G9,StepAng*$E$6,)*$AD$4*DualRadius-OFFSET(F9,StepAng*$E$6,)*$AE$4*DualRadius</f>
        <v>-0.28485880439193839</v>
      </c>
      <c r="AE15" s="580">
        <f ca="1">-OFFSET(F9,StepAng*$E$6,)*$AD$4*DualRadius-OFFSET(G9,StepAng*$E$6,)*$AE$4*DualRadius</f>
        <v>0.9619558740399361</v>
      </c>
    </row>
    <row r="16" spans="1:36" ht="10.199999999999999" customHeight="1">
      <c r="B16" s="475"/>
      <c r="C16" s="467" t="s">
        <v>508</v>
      </c>
      <c r="D16" s="487">
        <v>1</v>
      </c>
      <c r="E16" s="568">
        <f>StartAng+DualIncAng*E15</f>
        <v>-63.382510289702708</v>
      </c>
      <c r="F16" s="569">
        <v>0</v>
      </c>
      <c r="G16" s="569">
        <v>0</v>
      </c>
      <c r="H16" s="570">
        <f>RedActX</f>
        <v>0.6</v>
      </c>
      <c r="I16" s="570">
        <f>RedActY</f>
        <v>-1.1000000000000001</v>
      </c>
      <c r="J16" s="531">
        <f>IF(DualSingle=2,GrnActX,0)</f>
        <v>-0.6</v>
      </c>
      <c r="K16" s="531">
        <f>IF(DualSingle=2,GrnActY,0)</f>
        <v>-1.1000000000000001</v>
      </c>
      <c r="L16" s="571">
        <f t="shared" ref="L16" si="15">ABS(COS(RADIANS(ABS(E16))))</f>
        <v>0.44803201026356682</v>
      </c>
      <c r="M16" s="572">
        <f t="shared" ref="M16" si="16">L16*SIN(RADIANS(ABS(E16)))</f>
        <v>0.40054846461976484</v>
      </c>
      <c r="N16" s="573">
        <f>IF(DualSingle=2,DEGREES(ACOS(ABS(1+(J16-J17)^2+(K16-K17)^2-GrnActX^2-GrnActY^2)/ABS(2*((J16-J17)^2+(K16-K17)^2)^0.5)-0.00000000001)),0)</f>
        <v>50.19326140846124</v>
      </c>
      <c r="O16" s="574"/>
      <c r="P16" s="531">
        <f>ABS(SIN(RADIANS(N16))*IF(WindFactor=1,SIN(RADIANS(E16)),1))</f>
        <v>0.68679161716953785</v>
      </c>
      <c r="Q16" s="575"/>
      <c r="R16" s="576">
        <f t="shared" ref="R16:S16" si="17">R19</f>
        <v>-0.67673786157642601</v>
      </c>
      <c r="S16" s="534">
        <f t="shared" si="17"/>
        <v>0.38090604604710188</v>
      </c>
      <c r="T16" s="577"/>
      <c r="U16" s="578"/>
      <c r="V16" s="619">
        <f t="shared" ref="V16:AC16" si="18">V19</f>
        <v>-0.87144289833961042</v>
      </c>
      <c r="W16" s="620">
        <f t="shared" si="18"/>
        <v>0.4904969673030195</v>
      </c>
      <c r="X16" s="620">
        <f t="shared" si="18"/>
        <v>-0.65358217375470784</v>
      </c>
      <c r="Y16" s="620">
        <f t="shared" si="18"/>
        <v>0.36787272547726463</v>
      </c>
      <c r="Z16" s="620">
        <f t="shared" si="18"/>
        <v>-0.43572144916980521</v>
      </c>
      <c r="AA16" s="620">
        <f t="shared" si="18"/>
        <v>0.24524848365150975</v>
      </c>
      <c r="AB16" s="620">
        <f t="shared" si="18"/>
        <v>-0.2178607245849026</v>
      </c>
      <c r="AC16" s="621">
        <f t="shared" si="18"/>
        <v>0.12262424182575488</v>
      </c>
      <c r="AD16" s="579">
        <f ca="1">-OFFSET(G9,StepAng*$E$6,)*$AD$4*DualRadius-OFFSET(F9,StepAng*$E$6,)*$AE$4*DualRadius</f>
        <v>0.43532913307768756</v>
      </c>
      <c r="AE16" s="580">
        <f ca="1">OFFSET(F9,StepAng*$E$6,)*$AD$4*DualRadius-OFFSET(G9,StepAng*$E$6,)*$AE$4*DualRadius</f>
        <v>-0.90387620166335347</v>
      </c>
    </row>
    <row r="17" spans="2:31" ht="10.199999999999999" customHeight="1" thickBot="1">
      <c r="B17" s="475"/>
      <c r="C17" s="467" t="s">
        <v>527</v>
      </c>
      <c r="D17" s="487">
        <v>2</v>
      </c>
      <c r="E17" s="568"/>
      <c r="F17" s="569">
        <f>SIN(RADIANS(E16-180))*DualRadius</f>
        <v>0.89401751536487639</v>
      </c>
      <c r="G17" s="569">
        <f>COS(RADIANS(E16-180))*DualRadius</f>
        <v>-0.44803201026356693</v>
      </c>
      <c r="H17" s="570">
        <f t="shared" ref="H17" si="19">F17</f>
        <v>0.89401751536487639</v>
      </c>
      <c r="I17" s="570">
        <f t="shared" ref="I17" si="20">G17</f>
        <v>-0.44803201026356693</v>
      </c>
      <c r="J17" s="531">
        <f>IF(DualSingle=2,F17,0)</f>
        <v>0.89401751536487639</v>
      </c>
      <c r="K17" s="531">
        <f>IF(DualSingle=2,G17,0)</f>
        <v>-0.44803201026356693</v>
      </c>
      <c r="L17" s="574"/>
      <c r="M17" s="578"/>
      <c r="N17" s="577"/>
      <c r="O17" s="574"/>
      <c r="P17" s="574"/>
      <c r="Q17" s="575"/>
      <c r="R17" s="581"/>
      <c r="S17" s="512"/>
      <c r="T17" s="577"/>
      <c r="U17" s="578"/>
      <c r="V17" s="622"/>
      <c r="W17" s="623"/>
      <c r="X17" s="623"/>
      <c r="Y17" s="623"/>
      <c r="Z17" s="623"/>
      <c r="AA17" s="623"/>
      <c r="AB17" s="623"/>
      <c r="AC17" s="624"/>
      <c r="AD17" s="590">
        <f ca="1">-OFFSET(G9,StepAng*$E$6,)*$AD$4*DualRadius</f>
        <v>0.36009396873481297</v>
      </c>
      <c r="AE17" s="591">
        <f ca="1">OFFSET(F9,StepAng*$E$6,)*$AD$4*DualRadius</f>
        <v>-0.93291603785164479</v>
      </c>
    </row>
    <row r="18" spans="2:31" ht="10.199999999999999" customHeight="1" thickBot="1">
      <c r="B18" s="475"/>
      <c r="C18" s="467" t="s">
        <v>575</v>
      </c>
      <c r="D18" s="488">
        <v>54</v>
      </c>
      <c r="E18" s="582"/>
      <c r="F18" s="583"/>
      <c r="G18" s="583"/>
      <c r="H18" s="583"/>
      <c r="I18" s="583"/>
      <c r="J18" s="583"/>
      <c r="K18" s="583"/>
      <c r="L18" s="583"/>
      <c r="M18" s="584"/>
      <c r="N18" s="585"/>
      <c r="O18" s="586"/>
      <c r="P18" s="586"/>
      <c r="Q18" s="587"/>
      <c r="R18" s="588"/>
      <c r="S18" s="589"/>
      <c r="T18" s="585"/>
      <c r="U18" s="584"/>
      <c r="V18" s="625"/>
      <c r="W18" s="583"/>
      <c r="X18" s="583"/>
      <c r="Y18" s="583"/>
      <c r="Z18" s="583"/>
      <c r="AA18" s="583"/>
      <c r="AB18" s="583"/>
      <c r="AC18" s="626"/>
    </row>
    <row r="19" spans="2:31" ht="10.199999999999999" customHeight="1">
      <c r="B19" s="475"/>
      <c r="C19" s="467" t="s">
        <v>575</v>
      </c>
      <c r="D19" s="501">
        <f>CONVERT(DualActLength,"in","mm")</f>
        <v>1371.6</v>
      </c>
      <c r="E19" s="554">
        <f t="shared" ref="E19" si="21">E15+1</f>
        <v>3</v>
      </c>
      <c r="F19" s="555">
        <f>IF(WindFactor=1,M19,L19)*DualRadius</f>
        <v>-0.75941272506654078</v>
      </c>
      <c r="G19" s="555">
        <f>IF(WindFactor=1,M20,L20)*DualRadius</f>
        <v>0.42744009881333245</v>
      </c>
      <c r="H19" s="570">
        <f ca="1">((H20-H21)/((H20-H21)^2+(I20-I21)^2)^0.5)*ActBodyLenFact+H20</f>
        <v>0.6</v>
      </c>
      <c r="I19" s="570">
        <f ca="1">((I20-I21)/((H20-H21)^2+(I20-I21)^2)^0.5)*ActBodyLenFact+I20</f>
        <v>-1.1000000000000001</v>
      </c>
      <c r="J19" s="531">
        <f ca="1">IFERROR(((J20-J21)/((J20-J21)^2+(K20-K21)^2)^0.5)*ActBodyLenFact,0)+J20</f>
        <v>-0.6</v>
      </c>
      <c r="K19" s="531">
        <f ca="1">IFERROR(((K20-K21)/((J20-J21)^2+(K20-K21)^2)^0.5)*ActBodyLenFact,0)+K20</f>
        <v>-1.1000000000000001</v>
      </c>
      <c r="L19" s="557">
        <f t="shared" ref="L19" si="22">SIN(RADIANS(E20))</f>
        <v>-0.87144289833961053</v>
      </c>
      <c r="M19" s="558">
        <f t="shared" ref="M19" si="23">L19*SIN(RADIANS(ABS(E20)))</f>
        <v>-0.75941272506654078</v>
      </c>
      <c r="N19" s="559">
        <f>IFERROR(DEGREES(ACOS(ABS(1+(H20-H21)^2+(I20-I21)^2-RedActX^2-RedActY^2)/ABS(2*((H20-H21)^2+(I20-I21)^2)^0.5)-0.00000000001)),90)</f>
        <v>84.63260631960425</v>
      </c>
      <c r="O19" s="556">
        <f>ABS(SIN(RADIANS(N19))*IF(WindFactor=1,SIN(RADIANS(E20)),1))</f>
        <v>0.86762193431006462</v>
      </c>
      <c r="P19" s="560"/>
      <c r="Q19" s="561">
        <f t="shared" ref="Q19" si="24">+O19+P20</f>
        <v>1.5531433278435971</v>
      </c>
      <c r="R19" s="562">
        <f t="shared" ref="R19" si="25">-F21*Q19/2</f>
        <v>-0.67673786157642601</v>
      </c>
      <c r="S19" s="563">
        <f t="shared" ref="S19" si="26">-G21*Q19/2</f>
        <v>0.38090604604710188</v>
      </c>
      <c r="T19" s="564">
        <f t="shared" ref="T19" si="27">((H20-H21)^2+(I20-I21)^2)^0.5</f>
        <v>0.66721450368365398</v>
      </c>
      <c r="U19" s="565">
        <f t="shared" ref="U19" si="28">((J20-J21)^2+(K20-K21)^2)^0.5</f>
        <v>1.5926826896594592</v>
      </c>
      <c r="V19" s="616">
        <f>-F21*1</f>
        <v>-0.87144289833961042</v>
      </c>
      <c r="W19" s="617">
        <f>-G21*1</f>
        <v>0.4904969673030195</v>
      </c>
      <c r="X19" s="617">
        <f>-F21*0.75</f>
        <v>-0.65358217375470784</v>
      </c>
      <c r="Y19" s="617">
        <f>-G21*0.75</f>
        <v>0.36787272547726463</v>
      </c>
      <c r="Z19" s="617">
        <f>-F21*0.5</f>
        <v>-0.43572144916980521</v>
      </c>
      <c r="AA19" s="617">
        <f>-G21*0.5</f>
        <v>0.24524848365150975</v>
      </c>
      <c r="AB19" s="617">
        <f>-F21*0.25</f>
        <v>-0.2178607245849026</v>
      </c>
      <c r="AC19" s="618">
        <f>-G21*0.25</f>
        <v>0.12262424182575488</v>
      </c>
      <c r="AD19" s="592"/>
      <c r="AE19" s="593"/>
    </row>
    <row r="20" spans="2:31" ht="10.199999999999999" customHeight="1">
      <c r="B20" s="475"/>
      <c r="C20" s="467" t="s">
        <v>568</v>
      </c>
      <c r="D20" s="853">
        <f>RowsOfMounts*ColumnsOfMounts</f>
        <v>8</v>
      </c>
      <c r="E20" s="568">
        <f>StartAng+DualIncAng*E19</f>
        <v>-60.626748972759117</v>
      </c>
      <c r="F20" s="569">
        <v>0</v>
      </c>
      <c r="G20" s="569">
        <v>0</v>
      </c>
      <c r="H20" s="570">
        <f>RedActX</f>
        <v>0.6</v>
      </c>
      <c r="I20" s="570">
        <f>RedActY</f>
        <v>-1.1000000000000001</v>
      </c>
      <c r="J20" s="531">
        <f>IF(DualSingle=2,GrnActX,0)</f>
        <v>-0.6</v>
      </c>
      <c r="K20" s="531">
        <f>IF(DualSingle=2,GrnActY,0)</f>
        <v>-1.1000000000000001</v>
      </c>
      <c r="L20" s="571">
        <f t="shared" ref="L20" si="29">ABS(COS(RADIANS(ABS(E20))))</f>
        <v>0.49049696730301945</v>
      </c>
      <c r="M20" s="572">
        <f t="shared" ref="M20" si="30">L20*SIN(RADIANS(ABS(E20)))</f>
        <v>0.42744009881333245</v>
      </c>
      <c r="N20" s="573">
        <f>IF(DualSingle=2,DEGREES(ACOS(ABS(1+(J20-J21)^2+(K20-K21)^2-GrnActX^2-GrnActY^2)/ABS(2*((J20-J21)^2+(K20-K21)^2)^0.5)-0.00000000001)),0)</f>
        <v>51.87363084719248</v>
      </c>
      <c r="O20" s="574"/>
      <c r="P20" s="531">
        <f>ABS(SIN(RADIANS(N20))*IF(WindFactor=1,SIN(RADIANS(E20)),1))</f>
        <v>0.68552139353353259</v>
      </c>
      <c r="Q20" s="575"/>
      <c r="R20" s="576">
        <f t="shared" ref="R20:S20" si="31">R23</f>
        <v>-0.64300768400003472</v>
      </c>
      <c r="S20" s="534">
        <f t="shared" si="31"/>
        <v>0.40381182042142294</v>
      </c>
      <c r="T20" s="577"/>
      <c r="U20" s="578"/>
      <c r="V20" s="619">
        <f t="shared" ref="V20:AC20" si="32">V23</f>
        <v>-0.84685273331323085</v>
      </c>
      <c r="W20" s="620">
        <f t="shared" si="32"/>
        <v>0.53182746081780119</v>
      </c>
      <c r="X20" s="620">
        <f t="shared" si="32"/>
        <v>-0.63513954998492317</v>
      </c>
      <c r="Y20" s="620">
        <f t="shared" si="32"/>
        <v>0.39887059561335092</v>
      </c>
      <c r="Z20" s="620">
        <f t="shared" si="32"/>
        <v>-0.42342636665661543</v>
      </c>
      <c r="AA20" s="620">
        <f t="shared" si="32"/>
        <v>0.26591373040890059</v>
      </c>
      <c r="AB20" s="620">
        <f t="shared" si="32"/>
        <v>-0.21171318332830771</v>
      </c>
      <c r="AC20" s="621">
        <f t="shared" si="32"/>
        <v>0.1329568652044503</v>
      </c>
      <c r="AD20" s="592"/>
      <c r="AE20" s="593"/>
    </row>
    <row r="21" spans="2:31" ht="10.199999999999999" customHeight="1">
      <c r="B21" s="475"/>
      <c r="E21" s="568"/>
      <c r="F21" s="569">
        <f>SIN(RADIANS(E20-180))*DualRadius</f>
        <v>0.87144289833961042</v>
      </c>
      <c r="G21" s="569">
        <f>COS(RADIANS(E20-180))*DualRadius</f>
        <v>-0.4904969673030195</v>
      </c>
      <c r="H21" s="570">
        <f t="shared" ref="H21" si="33">F21</f>
        <v>0.87144289833961042</v>
      </c>
      <c r="I21" s="570">
        <f t="shared" ref="I21" si="34">G21</f>
        <v>-0.4904969673030195</v>
      </c>
      <c r="J21" s="531">
        <f>IF(DualSingle=2,F21,0)</f>
        <v>0.87144289833961042</v>
      </c>
      <c r="K21" s="531">
        <f>IF(DualSingle=2,G21,0)</f>
        <v>-0.4904969673030195</v>
      </c>
      <c r="L21" s="574"/>
      <c r="M21" s="578"/>
      <c r="N21" s="577"/>
      <c r="O21" s="574"/>
      <c r="P21" s="574"/>
      <c r="Q21" s="575"/>
      <c r="R21" s="581"/>
      <c r="S21" s="512"/>
      <c r="T21" s="577"/>
      <c r="U21" s="578"/>
      <c r="V21" s="622"/>
      <c r="W21" s="623"/>
      <c r="X21" s="623"/>
      <c r="Y21" s="623"/>
      <c r="Z21" s="623"/>
      <c r="AA21" s="623"/>
      <c r="AB21" s="623"/>
      <c r="AC21" s="624"/>
      <c r="AD21" s="592"/>
      <c r="AE21" s="593"/>
    </row>
    <row r="22" spans="2:31" ht="10.199999999999999" customHeight="1" thickBot="1">
      <c r="B22" s="475"/>
      <c r="C22" s="467"/>
      <c r="D22" s="489" t="s">
        <v>516</v>
      </c>
      <c r="E22" s="582"/>
      <c r="F22" s="583"/>
      <c r="G22" s="583"/>
      <c r="H22" s="583"/>
      <c r="I22" s="583"/>
      <c r="J22" s="583"/>
      <c r="K22" s="583"/>
      <c r="L22" s="583"/>
      <c r="M22" s="584"/>
      <c r="N22" s="585"/>
      <c r="O22" s="586"/>
      <c r="P22" s="586"/>
      <c r="Q22" s="587"/>
      <c r="R22" s="588"/>
      <c r="S22" s="589"/>
      <c r="T22" s="585"/>
      <c r="U22" s="584"/>
      <c r="V22" s="625"/>
      <c r="W22" s="583"/>
      <c r="X22" s="583"/>
      <c r="Y22" s="583"/>
      <c r="Z22" s="583"/>
      <c r="AA22" s="583"/>
      <c r="AB22" s="583"/>
      <c r="AC22" s="626"/>
      <c r="AD22" s="592"/>
      <c r="AE22" s="593"/>
    </row>
    <row r="23" spans="2:31" ht="10.199999999999999" customHeight="1">
      <c r="B23" s="475"/>
      <c r="C23" s="467" t="s">
        <v>517</v>
      </c>
      <c r="D23" s="490">
        <f>EWRotate</f>
        <v>68.894032923589904</v>
      </c>
      <c r="E23" s="554">
        <f t="shared" ref="E23" si="35">E19+1</f>
        <v>4</v>
      </c>
      <c r="F23" s="555">
        <f>IF(WindFactor=1,M23,L23)*DualRadius</f>
        <v>-0.71715955192008995</v>
      </c>
      <c r="G23" s="555">
        <f>IF(WindFactor=1,M24,L24)*DualRadius</f>
        <v>0.45037953884459025</v>
      </c>
      <c r="H23" s="570">
        <f ca="1">((H24-H25)/((H24-H25)^2+(I24-I25)^2)^0.5)*ActBodyLenFact+H24</f>
        <v>0.6</v>
      </c>
      <c r="I23" s="570">
        <f ca="1">((I24-I25)/((H24-H25)^2+(I24-I25)^2)^0.5)*ActBodyLenFact+I24</f>
        <v>-1.1000000000000001</v>
      </c>
      <c r="J23" s="531">
        <f ca="1">IFERROR(((J24-J25)/((J24-J25)^2+(K24-K25)^2)^0.5)*ActBodyLenFact,0)+J24</f>
        <v>-0.6</v>
      </c>
      <c r="K23" s="531">
        <f ca="1">IFERROR(((K24-K25)/((J24-J25)^2+(K24-K25)^2)^0.5)*ActBodyLenFact,0)+K24</f>
        <v>-1.1000000000000001</v>
      </c>
      <c r="L23" s="557">
        <f t="shared" ref="L23" si="36">SIN(RADIANS(E24))</f>
        <v>-0.84685273331323074</v>
      </c>
      <c r="M23" s="558">
        <f t="shared" ref="M23" si="37">L23*SIN(RADIANS(ABS(E24)))</f>
        <v>-0.71715955192008995</v>
      </c>
      <c r="N23" s="559">
        <f>IFERROR(DEGREES(ACOS(ABS(1+(H24-H25)^2+(I24-I25)^2-RedActX^2-RedActY^2)/ABS(2*((H24-H25)^2+(I24-I25)^2)^0.5)-0.00000000001)),90)</f>
        <v>81.354387083821223</v>
      </c>
      <c r="O23" s="556">
        <f>ABS(SIN(RADIANS(N23))*IF(WindFactor=1,SIN(RADIANS(E24)),1))</f>
        <v>0.83722996544824868</v>
      </c>
      <c r="P23" s="560"/>
      <c r="Q23" s="561">
        <f t="shared" ref="Q23" si="38">+O23+P24</f>
        <v>1.5185820596795578</v>
      </c>
      <c r="R23" s="562">
        <f t="shared" ref="R23" si="39">-F25*Q23/2</f>
        <v>-0.64300768400003472</v>
      </c>
      <c r="S23" s="563">
        <f t="shared" ref="S23" si="40">-G25*Q23/2</f>
        <v>0.40381182042142294</v>
      </c>
      <c r="T23" s="564">
        <f t="shared" ref="T23" si="41">((H24-H25)^2+(I24-I25)^2)^0.5</f>
        <v>0.61948067461782896</v>
      </c>
      <c r="U23" s="565">
        <f t="shared" ref="U23" si="42">((J24-J25)^2+(K24-K25)^2)^0.5</f>
        <v>1.5544139944611648</v>
      </c>
      <c r="V23" s="616">
        <f>-F25*1</f>
        <v>-0.84685273331323085</v>
      </c>
      <c r="W23" s="617">
        <f>-G25*1</f>
        <v>0.53182746081780119</v>
      </c>
      <c r="X23" s="617">
        <f>-F25*0.75</f>
        <v>-0.63513954998492317</v>
      </c>
      <c r="Y23" s="617">
        <f>-G25*0.75</f>
        <v>0.39887059561335092</v>
      </c>
      <c r="Z23" s="617">
        <f>-F25*0.5</f>
        <v>-0.42342636665661543</v>
      </c>
      <c r="AA23" s="617">
        <f>-G25*0.5</f>
        <v>0.26591373040890059</v>
      </c>
      <c r="AB23" s="617">
        <f>-F25*0.25</f>
        <v>-0.21171318332830771</v>
      </c>
      <c r="AC23" s="618">
        <f>-G25*0.25</f>
        <v>0.1329568652044503</v>
      </c>
      <c r="AD23" s="592"/>
      <c r="AE23" s="593"/>
    </row>
    <row r="24" spans="2:31" ht="10.199999999999999" customHeight="1">
      <c r="B24" s="475"/>
      <c r="C24" s="467" t="s">
        <v>60</v>
      </c>
      <c r="D24" s="491">
        <f ca="1">WindTorque</f>
        <v>4395.0826224869097</v>
      </c>
      <c r="E24" s="568">
        <f>StartAng+DualIncAng*E23</f>
        <v>-57.870987655815519</v>
      </c>
      <c r="F24" s="569">
        <v>0</v>
      </c>
      <c r="G24" s="569">
        <v>0</v>
      </c>
      <c r="H24" s="570">
        <f>RedActX</f>
        <v>0.6</v>
      </c>
      <c r="I24" s="570">
        <f>RedActY</f>
        <v>-1.1000000000000001</v>
      </c>
      <c r="J24" s="531">
        <f>IF(DualSingle=2,GrnActX,0)</f>
        <v>-0.6</v>
      </c>
      <c r="K24" s="531">
        <f>IF(DualSingle=2,GrnActY,0)</f>
        <v>-1.1000000000000001</v>
      </c>
      <c r="L24" s="571">
        <f t="shared" ref="L24" si="43">ABS(COS(RADIANS(ABS(E24))))</f>
        <v>0.53182746081780141</v>
      </c>
      <c r="M24" s="572">
        <f t="shared" ref="M24" si="44">L24*SIN(RADIANS(ABS(E24)))</f>
        <v>0.45037953884459025</v>
      </c>
      <c r="N24" s="573">
        <f>IF(DualSingle=2,DEGREES(ACOS(ABS(1+(J24-J25)^2+(K24-K25)^2-GrnActX^2-GrnActY^2)/ABS(2*((J24-J25)^2+(K24-K25)^2)^0.5)-0.00000000001)),0)</f>
        <v>53.568724419171097</v>
      </c>
      <c r="O24" s="574"/>
      <c r="P24" s="531">
        <f>ABS(SIN(RADIANS(N24))*IF(WindFactor=1,SIN(RADIANS(E24)),1))</f>
        <v>0.68135209423130916</v>
      </c>
      <c r="Q24" s="575"/>
      <c r="R24" s="576">
        <f t="shared" ref="R24:S24" si="45">R27</f>
        <v>-0.6053445441174633</v>
      </c>
      <c r="S24" s="534">
        <f t="shared" si="45"/>
        <v>0.42205508842059025</v>
      </c>
      <c r="T24" s="577"/>
      <c r="U24" s="578"/>
      <c r="V24" s="619">
        <f t="shared" ref="V24:AC24" si="46">V27</f>
        <v>-0.82030389453195685</v>
      </c>
      <c r="W24" s="620">
        <f t="shared" si="46"/>
        <v>0.57192789809179989</v>
      </c>
      <c r="X24" s="620">
        <f t="shared" si="46"/>
        <v>-0.61522792089896761</v>
      </c>
      <c r="Y24" s="620">
        <f t="shared" si="46"/>
        <v>0.42894592356884992</v>
      </c>
      <c r="Z24" s="620">
        <f t="shared" si="46"/>
        <v>-0.41015194726597842</v>
      </c>
      <c r="AA24" s="620">
        <f t="shared" si="46"/>
        <v>0.28596394904589995</v>
      </c>
      <c r="AB24" s="620">
        <f t="shared" si="46"/>
        <v>-0.20507597363298921</v>
      </c>
      <c r="AC24" s="621">
        <f t="shared" si="46"/>
        <v>0.14298197452294997</v>
      </c>
      <c r="AD24" s="592"/>
      <c r="AE24" s="593"/>
    </row>
    <row r="25" spans="2:31" ht="10.199999999999999" customHeight="1">
      <c r="B25" s="475"/>
      <c r="E25" s="568"/>
      <c r="F25" s="569">
        <f>SIN(RADIANS(E24-180))*DualRadius</f>
        <v>0.84685273331323085</v>
      </c>
      <c r="G25" s="569">
        <f>COS(RADIANS(E24-180))*DualRadius</f>
        <v>-0.53182746081780119</v>
      </c>
      <c r="H25" s="570">
        <f t="shared" ref="H25" si="47">F25</f>
        <v>0.84685273331323085</v>
      </c>
      <c r="I25" s="570">
        <f t="shared" ref="I25" si="48">G25</f>
        <v>-0.53182746081780119</v>
      </c>
      <c r="J25" s="531">
        <f>IF(DualSingle=2,F25,0)</f>
        <v>0.84685273331323085</v>
      </c>
      <c r="K25" s="531">
        <f>IF(DualSingle=2,G25,0)</f>
        <v>-0.53182746081780119</v>
      </c>
      <c r="L25" s="574"/>
      <c r="M25" s="578"/>
      <c r="N25" s="577"/>
      <c r="O25" s="574"/>
      <c r="P25" s="574"/>
      <c r="Q25" s="575"/>
      <c r="R25" s="581"/>
      <c r="S25" s="512"/>
      <c r="T25" s="577"/>
      <c r="U25" s="578"/>
      <c r="V25" s="622"/>
      <c r="W25" s="623"/>
      <c r="X25" s="623"/>
      <c r="Y25" s="623"/>
      <c r="Z25" s="623"/>
      <c r="AA25" s="623"/>
      <c r="AB25" s="623"/>
      <c r="AC25" s="624"/>
      <c r="AD25" s="592"/>
      <c r="AE25" s="593"/>
    </row>
    <row r="26" spans="2:31" ht="10.199999999999999" customHeight="1" thickBot="1">
      <c r="B26" s="475"/>
      <c r="C26" s="467"/>
      <c r="D26" s="492" t="s">
        <v>519</v>
      </c>
      <c r="E26" s="582"/>
      <c r="F26" s="583"/>
      <c r="G26" s="583"/>
      <c r="H26" s="583"/>
      <c r="I26" s="583"/>
      <c r="J26" s="583"/>
      <c r="K26" s="583"/>
      <c r="L26" s="583"/>
      <c r="M26" s="584"/>
      <c r="N26" s="585"/>
      <c r="O26" s="586"/>
      <c r="P26" s="586"/>
      <c r="Q26" s="587"/>
      <c r="R26" s="588"/>
      <c r="S26" s="589"/>
      <c r="T26" s="585"/>
      <c r="U26" s="584"/>
      <c r="V26" s="625"/>
      <c r="W26" s="583"/>
      <c r="X26" s="583"/>
      <c r="Y26" s="583"/>
      <c r="Z26" s="583"/>
      <c r="AA26" s="583"/>
      <c r="AB26" s="583"/>
      <c r="AC26" s="626"/>
      <c r="AD26" s="592"/>
      <c r="AE26" s="593"/>
    </row>
    <row r="27" spans="2:31" ht="10.199999999999999" customHeight="1">
      <c r="B27" s="475"/>
      <c r="C27" s="467" t="s">
        <v>536</v>
      </c>
      <c r="D27" s="493">
        <f ca="1">DualActLength/DualActDeltaMove</f>
        <v>37.284775291129847</v>
      </c>
      <c r="E27" s="554">
        <f t="shared" ref="E27" si="49">E23+1</f>
        <v>5</v>
      </c>
      <c r="F27" s="555">
        <f>IF(WindFactor=1,M27,L27)*DualRadius</f>
        <v>-0.67289847938429537</v>
      </c>
      <c r="G27" s="555">
        <f>IF(WindFactor=1,M28,L28)*DualRadius</f>
        <v>0.46915468219617973</v>
      </c>
      <c r="H27" s="570">
        <f ca="1">((H28-H29)/((H28-H29)^2+(I28-I29)^2)^0.5)*ActBodyLenFact+H28</f>
        <v>0.6</v>
      </c>
      <c r="I27" s="570">
        <f ca="1">((I28-I29)/((H28-H29)^2+(I28-I29)^2)^0.5)*ActBodyLenFact+I28</f>
        <v>-1.1000000000000001</v>
      </c>
      <c r="J27" s="531">
        <f ca="1">IFERROR(((J28-J29)/((J28-J29)^2+(K28-K29)^2)^0.5)*ActBodyLenFact,0)+J28</f>
        <v>-0.6</v>
      </c>
      <c r="K27" s="531">
        <f ca="1">IFERROR(((K28-K29)/((J28-J29)^2+(K28-K29)^2)^0.5)*ActBodyLenFact,0)+K28</f>
        <v>-1.1000000000000001</v>
      </c>
      <c r="L27" s="557">
        <f t="shared" ref="L27" si="50">SIN(RADIANS(E28))</f>
        <v>-0.82030389453195662</v>
      </c>
      <c r="M27" s="558">
        <f t="shared" ref="M27" si="51">L27*SIN(RADIANS(ABS(E28)))</f>
        <v>-0.67289847938429537</v>
      </c>
      <c r="N27" s="559">
        <f>IFERROR(DEGREES(ACOS(ABS(1+(H28-H29)^2+(I28-I29)^2-RedActX^2-RedActY^2)/ABS(2*((H28-H29)^2+(I28-I29)^2)^0.5)-0.00000000001)),90)</f>
        <v>77.760404149021895</v>
      </c>
      <c r="O27" s="556">
        <f>ABS(SIN(RADIANS(N27))*IF(WindFactor=1,SIN(RADIANS(E28)),1))</f>
        <v>0.80165807446117832</v>
      </c>
      <c r="P27" s="560"/>
      <c r="Q27" s="561">
        <f t="shared" ref="Q27" si="52">+O27+P28</f>
        <v>1.475903133345128</v>
      </c>
      <c r="R27" s="562">
        <f t="shared" ref="R27" si="53">-F29*Q27/2</f>
        <v>-0.6053445441174633</v>
      </c>
      <c r="S27" s="563">
        <f t="shared" ref="S27" si="54">-G29*Q27/2</f>
        <v>0.42205508842059025</v>
      </c>
      <c r="T27" s="564">
        <f t="shared" ref="T27" si="55">((H28-H29)^2+(I28-I29)^2)^0.5</f>
        <v>0.57218349395949208</v>
      </c>
      <c r="U27" s="565">
        <f t="shared" ref="U27" si="56">((J28-J29)^2+(K28-K29)^2)^0.5</f>
        <v>1.5152964388648145</v>
      </c>
      <c r="V27" s="616">
        <f>-F29*1</f>
        <v>-0.82030389453195685</v>
      </c>
      <c r="W27" s="617">
        <f>-G29*1</f>
        <v>0.57192789809179989</v>
      </c>
      <c r="X27" s="617">
        <f>-F29*0.75</f>
        <v>-0.61522792089896761</v>
      </c>
      <c r="Y27" s="617">
        <f>-G29*0.75</f>
        <v>0.42894592356884992</v>
      </c>
      <c r="Z27" s="617">
        <f>-F29*0.5</f>
        <v>-0.41015194726597842</v>
      </c>
      <c r="AA27" s="617">
        <f>-G29*0.5</f>
        <v>0.28596394904589995</v>
      </c>
      <c r="AB27" s="617">
        <f>-F29*0.25</f>
        <v>-0.20507597363298921</v>
      </c>
      <c r="AC27" s="618">
        <f>-G29*0.25</f>
        <v>0.14298197452294997</v>
      </c>
      <c r="AD27" s="592"/>
      <c r="AE27" s="593"/>
    </row>
    <row r="28" spans="2:31" ht="10.199999999999999" customHeight="1">
      <c r="B28" s="475"/>
      <c r="C28" s="467" t="s">
        <v>574</v>
      </c>
      <c r="D28" s="597">
        <f ca="1">IFERROR(WindTorque/DualActLength*12/IF(DualSingle=2,Q5,MIN(O7,OFFSET(O7,StepAng*$E$6,))),WindTorque/(DualActuatorAttachmentDistance/12))*DualMountsServed</f>
        <v>4845.8759929351636</v>
      </c>
      <c r="E28" s="568">
        <f>StartAng+DualIncAng*E27</f>
        <v>-55.115226338871921</v>
      </c>
      <c r="F28" s="569">
        <v>0</v>
      </c>
      <c r="G28" s="569">
        <v>0</v>
      </c>
      <c r="H28" s="570">
        <f>RedActX</f>
        <v>0.6</v>
      </c>
      <c r="I28" s="570">
        <f>RedActY</f>
        <v>-1.1000000000000001</v>
      </c>
      <c r="J28" s="531">
        <f>IF(DualSingle=2,GrnActX,0)</f>
        <v>-0.6</v>
      </c>
      <c r="K28" s="531">
        <f>IF(DualSingle=2,GrnActY,0)</f>
        <v>-1.1000000000000001</v>
      </c>
      <c r="L28" s="571">
        <f t="shared" ref="L28" si="57">ABS(COS(RADIANS(ABS(E28))))</f>
        <v>0.57192789809180022</v>
      </c>
      <c r="M28" s="572">
        <f t="shared" ref="M28" si="58">L28*SIN(RADIANS(ABS(E28)))</f>
        <v>0.46915468219617973</v>
      </c>
      <c r="N28" s="573">
        <f>IF(DualSingle=2,DEGREES(ACOS(ABS(1+(J28-J29)^2+(K28-K29)^2-GrnActX^2-GrnActY^2)/ABS(2*((J28-J29)^2+(K28-K29)^2)^0.5)-0.00000000001)),0)</f>
        <v>55.280018245971505</v>
      </c>
      <c r="O28" s="574"/>
      <c r="P28" s="531">
        <f>ABS(SIN(RADIANS(N28))*IF(WindFactor=1,SIN(RADIANS(E28)),1))</f>
        <v>0.6742450588839497</v>
      </c>
      <c r="Q28" s="575"/>
      <c r="R28" s="576">
        <f t="shared" ref="R28:S28" si="59">R31</f>
        <v>-0.56399190891747564</v>
      </c>
      <c r="S28" s="534">
        <f t="shared" si="59"/>
        <v>0.43496822830621695</v>
      </c>
      <c r="T28" s="577"/>
      <c r="U28" s="578"/>
      <c r="V28" s="619">
        <f t="shared" ref="V28:AC28" si="60">V31</f>
        <v>-0.79185778643093707</v>
      </c>
      <c r="W28" s="620">
        <f t="shared" si="60"/>
        <v>0.61070553138865247</v>
      </c>
      <c r="X28" s="620">
        <f t="shared" si="60"/>
        <v>-0.5938933398232028</v>
      </c>
      <c r="Y28" s="620">
        <f t="shared" si="60"/>
        <v>0.45802914854148935</v>
      </c>
      <c r="Z28" s="620">
        <f t="shared" si="60"/>
        <v>-0.39592889321546854</v>
      </c>
      <c r="AA28" s="620">
        <f t="shared" si="60"/>
        <v>0.30535276569432623</v>
      </c>
      <c r="AB28" s="620">
        <f t="shared" si="60"/>
        <v>-0.19796444660773427</v>
      </c>
      <c r="AC28" s="621">
        <f t="shared" si="60"/>
        <v>0.15267638284716312</v>
      </c>
      <c r="AD28" s="592"/>
      <c r="AE28" s="593"/>
    </row>
    <row r="29" spans="2:31" ht="10.199999999999999" customHeight="1">
      <c r="B29" s="475"/>
      <c r="C29" s="467" t="s">
        <v>573</v>
      </c>
      <c r="D29" s="502">
        <f ca="1">CONVERT(DualActLengthIn,"lbf","N")</f>
        <v>21555.532201046037</v>
      </c>
      <c r="E29" s="568"/>
      <c r="F29" s="569">
        <f>SIN(RADIANS(E28-180))*DualRadius</f>
        <v>0.82030389453195685</v>
      </c>
      <c r="G29" s="569">
        <f>COS(RADIANS(E28-180))*DualRadius</f>
        <v>-0.57192789809179989</v>
      </c>
      <c r="H29" s="570">
        <f t="shared" ref="H29" si="61">F29</f>
        <v>0.82030389453195685</v>
      </c>
      <c r="I29" s="570">
        <f t="shared" ref="I29" si="62">G29</f>
        <v>-0.57192789809179989</v>
      </c>
      <c r="J29" s="531">
        <f>IF(DualSingle=2,F29,0)</f>
        <v>0.82030389453195685</v>
      </c>
      <c r="K29" s="531">
        <f>IF(DualSingle=2,G29,0)</f>
        <v>-0.57192789809179989</v>
      </c>
      <c r="L29" s="574"/>
      <c r="M29" s="578"/>
      <c r="N29" s="577"/>
      <c r="O29" s="574"/>
      <c r="P29" s="574"/>
      <c r="Q29" s="575"/>
      <c r="R29" s="581"/>
      <c r="S29" s="512"/>
      <c r="T29" s="577"/>
      <c r="U29" s="578"/>
      <c r="V29" s="622"/>
      <c r="W29" s="623"/>
      <c r="X29" s="623"/>
      <c r="Y29" s="623"/>
      <c r="Z29" s="623"/>
      <c r="AA29" s="623"/>
      <c r="AB29" s="623"/>
      <c r="AC29" s="624"/>
      <c r="AD29" s="592"/>
      <c r="AE29" s="593"/>
    </row>
    <row r="30" spans="2:31" ht="10.199999999999999" customHeight="1" thickBot="1">
      <c r="B30" s="633"/>
      <c r="C30" s="467" t="s">
        <v>537</v>
      </c>
      <c r="D30" s="494" t="str">
        <f ca="1">IF(OR(RedActY&lt;MAX(I8:I210),RedActY&gt;0,GrnActY&lt;MAX(K8:K210),(GrnActY&gt;0)),"Yes","No")</f>
        <v>Yes</v>
      </c>
      <c r="E30" s="582"/>
      <c r="F30" s="583"/>
      <c r="G30" s="583"/>
      <c r="H30" s="583"/>
      <c r="I30" s="583"/>
      <c r="J30" s="583"/>
      <c r="K30" s="583"/>
      <c r="L30" s="583"/>
      <c r="M30" s="584"/>
      <c r="N30" s="585"/>
      <c r="O30" s="586"/>
      <c r="P30" s="586"/>
      <c r="Q30" s="587"/>
      <c r="R30" s="588"/>
      <c r="S30" s="589"/>
      <c r="T30" s="585"/>
      <c r="U30" s="584"/>
      <c r="V30" s="625"/>
      <c r="W30" s="583"/>
      <c r="X30" s="583"/>
      <c r="Y30" s="583"/>
      <c r="Z30" s="583"/>
      <c r="AA30" s="583"/>
      <c r="AB30" s="583"/>
      <c r="AC30" s="626"/>
      <c r="AD30" s="592"/>
      <c r="AE30" s="593"/>
    </row>
    <row r="31" spans="2:31" ht="10.199999999999999" customHeight="1">
      <c r="B31" s="633"/>
      <c r="C31" s="629"/>
      <c r="D31" s="629"/>
      <c r="E31" s="554">
        <f t="shared" ref="E31" si="63">E27+1</f>
        <v>6</v>
      </c>
      <c r="F31" s="555">
        <f>IF(WindFactor=1,M31,L31)*DualRadius</f>
        <v>-0.62703875393130393</v>
      </c>
      <c r="G31" s="555">
        <f>IF(WindFactor=1,M32,L32)*DualRadius</f>
        <v>0.48359193024654745</v>
      </c>
      <c r="H31" s="570">
        <f ca="1">((H32-H33)/((H32-H33)^2+(I32-I33)^2)^0.5)*ActBodyLenFact+H32</f>
        <v>0.6</v>
      </c>
      <c r="I31" s="570">
        <f ca="1">((I32-I33)/((H32-H33)^2+(I32-I33)^2)^0.5)*ActBodyLenFact+I32</f>
        <v>-1.1000000000000001</v>
      </c>
      <c r="J31" s="531">
        <f ca="1">IFERROR(((J32-J33)/((J32-J33)^2+(K32-K33)^2)^0.5)*ActBodyLenFact,0)+J32</f>
        <v>-0.6</v>
      </c>
      <c r="K31" s="531">
        <f ca="1">IFERROR(((K32-K33)/((J32-J33)^2+(K32-K33)^2)^0.5)*ActBodyLenFact,0)+K32</f>
        <v>-1.1000000000000001</v>
      </c>
      <c r="L31" s="557">
        <f t="shared" ref="L31" si="64">SIN(RADIANS(E32))</f>
        <v>-0.79185778643093729</v>
      </c>
      <c r="M31" s="558">
        <f t="shared" ref="M31" si="65">L31*SIN(RADIANS(ABS(E32)))</f>
        <v>-0.62703875393130393</v>
      </c>
      <c r="N31" s="559">
        <f>IFERROR(DEGREES(ACOS(ABS(1+(H32-H33)^2+(I32-I33)^2-RedActX^2-RedActY^2)/ABS(2*((H32-H33)^2+(I32-I33)^2)^0.5)-0.00000000001)),90)</f>
        <v>73.770161338220419</v>
      </c>
      <c r="O31" s="556">
        <f>ABS(SIN(RADIANS(N31))*IF(WindFactor=1,SIN(RADIANS(E32)),1))</f>
        <v>0.76030087712787975</v>
      </c>
      <c r="P31" s="560"/>
      <c r="Q31" s="561">
        <f t="shared" ref="Q31" si="66">+O31+P32</f>
        <v>1.4244777751305597</v>
      </c>
      <c r="R31" s="562">
        <f t="shared" ref="R31" si="67">-F33*Q31/2</f>
        <v>-0.56399190891747564</v>
      </c>
      <c r="S31" s="563">
        <f t="shared" ref="S31" si="68">-G33*Q31/2</f>
        <v>0.43496822830621695</v>
      </c>
      <c r="T31" s="564">
        <f t="shared" ref="T31" si="69">((H32-H33)^2+(I32-I33)^2)^0.5</f>
        <v>0.52556492199141303</v>
      </c>
      <c r="U31" s="565">
        <f t="shared" ref="U31" si="70">((J32-J33)^2+(K32-K33)^2)^0.5</f>
        <v>1.4753566262643381</v>
      </c>
      <c r="V31" s="616">
        <f>-F33*1</f>
        <v>-0.79185778643093707</v>
      </c>
      <c r="W31" s="617">
        <f>-G33*1</f>
        <v>0.61070553138865247</v>
      </c>
      <c r="X31" s="617">
        <f>-F33*0.75</f>
        <v>-0.5938933398232028</v>
      </c>
      <c r="Y31" s="617">
        <f>-G33*0.75</f>
        <v>0.45802914854148935</v>
      </c>
      <c r="Z31" s="617">
        <f>-F33*0.5</f>
        <v>-0.39592889321546854</v>
      </c>
      <c r="AA31" s="617">
        <f>-G33*0.5</f>
        <v>0.30535276569432623</v>
      </c>
      <c r="AB31" s="617">
        <f>-F33*0.25</f>
        <v>-0.19796444660773427</v>
      </c>
      <c r="AC31" s="618">
        <f>-G33*0.25</f>
        <v>0.15267638284716312</v>
      </c>
      <c r="AD31" s="592"/>
      <c r="AE31" s="593"/>
    </row>
    <row r="32" spans="2:31" ht="10.199999999999999" customHeight="1">
      <c r="B32" s="633"/>
      <c r="C32" s="629"/>
      <c r="D32" s="629"/>
      <c r="E32" s="568">
        <f>StartAng+DualIncAng*E31</f>
        <v>-52.35946502192833</v>
      </c>
      <c r="F32" s="569">
        <v>0</v>
      </c>
      <c r="G32" s="569">
        <v>0</v>
      </c>
      <c r="H32" s="570">
        <f>RedActX</f>
        <v>0.6</v>
      </c>
      <c r="I32" s="570">
        <f>RedActY</f>
        <v>-1.1000000000000001</v>
      </c>
      <c r="J32" s="531">
        <f>IF(DualSingle=2,GrnActX,0)</f>
        <v>-0.6</v>
      </c>
      <c r="K32" s="531">
        <f>IF(DualSingle=2,GrnActY,0)</f>
        <v>-1.1000000000000001</v>
      </c>
      <c r="L32" s="571">
        <f t="shared" ref="L32" si="71">ABS(COS(RADIANS(ABS(E32))))</f>
        <v>0.61070553138865225</v>
      </c>
      <c r="M32" s="572">
        <f t="shared" ref="M32" si="72">L32*SIN(RADIANS(ABS(E32)))</f>
        <v>0.48359193024654745</v>
      </c>
      <c r="N32" s="573">
        <f>IF(DualSingle=2,DEGREES(ACOS(ABS(1+(J32-J33)^2+(K32-K33)^2-GrnActX^2-GrnActY^2)/ABS(2*((J32-J33)^2+(K32-K33)^2)^0.5)-0.00000000001)),0)</f>
        <v>57.009178322203255</v>
      </c>
      <c r="O32" s="574"/>
      <c r="P32" s="531">
        <f>ABS(SIN(RADIANS(N32))*IF(WindFactor=1,SIN(RADIANS(E32)),1))</f>
        <v>0.66417689800267987</v>
      </c>
      <c r="Q32" s="575"/>
      <c r="R32" s="576">
        <f t="shared" ref="R32:S32" si="73">R35</f>
        <v>-0.51918796691453351</v>
      </c>
      <c r="S32" s="534">
        <f t="shared" si="73"/>
        <v>0.44180572727910089</v>
      </c>
      <c r="T32" s="577"/>
      <c r="U32" s="578"/>
      <c r="V32" s="619">
        <f t="shared" ref="V32:AC32" si="74">V35</f>
        <v>-0.7615802016127996</v>
      </c>
      <c r="W32" s="620">
        <f t="shared" si="74"/>
        <v>0.64807067246667438</v>
      </c>
      <c r="X32" s="620">
        <f t="shared" si="74"/>
        <v>-0.57118515120959967</v>
      </c>
      <c r="Y32" s="620">
        <f t="shared" si="74"/>
        <v>0.48605300435000576</v>
      </c>
      <c r="Z32" s="620">
        <f t="shared" si="74"/>
        <v>-0.3807901008063998</v>
      </c>
      <c r="AA32" s="620">
        <f t="shared" si="74"/>
        <v>0.32403533623333719</v>
      </c>
      <c r="AB32" s="620">
        <f t="shared" si="74"/>
        <v>-0.1903950504031999</v>
      </c>
      <c r="AC32" s="621">
        <f t="shared" si="74"/>
        <v>0.1620176681166686</v>
      </c>
      <c r="AD32" s="592"/>
      <c r="AE32" s="593"/>
    </row>
    <row r="33" spans="2:31" ht="10.199999999999999" customHeight="1">
      <c r="B33" s="633"/>
      <c r="C33" s="629"/>
      <c r="D33" s="629"/>
      <c r="E33" s="568"/>
      <c r="F33" s="569">
        <f>SIN(RADIANS(E32-180))*DualRadius</f>
        <v>0.79185778643093707</v>
      </c>
      <c r="G33" s="569">
        <f>COS(RADIANS(E32-180))*DualRadius</f>
        <v>-0.61070553138865247</v>
      </c>
      <c r="H33" s="570">
        <f t="shared" ref="H33" si="75">F33</f>
        <v>0.79185778643093707</v>
      </c>
      <c r="I33" s="570">
        <f t="shared" ref="I33" si="76">G33</f>
        <v>-0.61070553138865247</v>
      </c>
      <c r="J33" s="531">
        <f>IF(DualSingle=2,F33,0)</f>
        <v>0.79185778643093707</v>
      </c>
      <c r="K33" s="531">
        <f>IF(DualSingle=2,G33,0)</f>
        <v>-0.61070553138865247</v>
      </c>
      <c r="L33" s="574"/>
      <c r="M33" s="578"/>
      <c r="N33" s="577"/>
      <c r="O33" s="574"/>
      <c r="P33" s="574"/>
      <c r="Q33" s="575"/>
      <c r="R33" s="581"/>
      <c r="S33" s="512"/>
      <c r="T33" s="577"/>
      <c r="U33" s="578"/>
      <c r="V33" s="622"/>
      <c r="W33" s="623"/>
      <c r="X33" s="623"/>
      <c r="Y33" s="623"/>
      <c r="Z33" s="623"/>
      <c r="AA33" s="623"/>
      <c r="AB33" s="623"/>
      <c r="AC33" s="624"/>
      <c r="AD33" s="592"/>
      <c r="AE33" s="593"/>
    </row>
    <row r="34" spans="2:31" ht="10.199999999999999" customHeight="1" thickBot="1">
      <c r="B34" s="633"/>
      <c r="C34" s="629"/>
      <c r="D34" s="629"/>
      <c r="E34" s="582"/>
      <c r="F34" s="583"/>
      <c r="G34" s="583"/>
      <c r="H34" s="583"/>
      <c r="I34" s="583"/>
      <c r="J34" s="583"/>
      <c r="K34" s="583"/>
      <c r="L34" s="583"/>
      <c r="M34" s="584"/>
      <c r="N34" s="585"/>
      <c r="O34" s="586"/>
      <c r="P34" s="586"/>
      <c r="Q34" s="587"/>
      <c r="R34" s="588"/>
      <c r="S34" s="589"/>
      <c r="T34" s="585"/>
      <c r="U34" s="584"/>
      <c r="V34" s="625"/>
      <c r="W34" s="583"/>
      <c r="X34" s="583"/>
      <c r="Y34" s="583"/>
      <c r="Z34" s="583"/>
      <c r="AA34" s="583"/>
      <c r="AB34" s="583"/>
      <c r="AC34" s="626"/>
      <c r="AD34" s="592"/>
      <c r="AE34" s="593"/>
    </row>
    <row r="35" spans="2:31" ht="10.199999999999999" customHeight="1">
      <c r="B35" s="633"/>
      <c r="C35" s="629"/>
      <c r="D35" s="629"/>
      <c r="E35" s="554">
        <f t="shared" ref="E35" si="77">E31+1</f>
        <v>7</v>
      </c>
      <c r="F35" s="555">
        <f>IF(WindFactor=1,M35,L35)*DualRadius</f>
        <v>-0.58000440348859261</v>
      </c>
      <c r="G35" s="555">
        <f>IF(WindFactor=1,M36,L36)*DualRadius</f>
        <v>0.49355779339651246</v>
      </c>
      <c r="H35" s="570">
        <f ca="1">((H36-H37)/((H36-H37)^2+(I36-I37)^2)^0.5)*ActBodyLenFact+H36</f>
        <v>0.6</v>
      </c>
      <c r="I35" s="570">
        <f ca="1">((I36-I37)/((H36-H37)^2+(I36-I37)^2)^0.5)*ActBodyLenFact+I36</f>
        <v>-1.1000000000000001</v>
      </c>
      <c r="J35" s="531">
        <f ca="1">IFERROR(((J36-J37)/((J36-J37)^2+(K36-K37)^2)^0.5)*ActBodyLenFact,0)+J36</f>
        <v>-0.6</v>
      </c>
      <c r="K35" s="531">
        <f ca="1">IFERROR(((K36-K37)/((J36-J37)^2+(K36-K37)^2)^0.5)*ActBodyLenFact,0)+K36</f>
        <v>-1.1000000000000001</v>
      </c>
      <c r="L35" s="557">
        <f t="shared" ref="L35" si="78">SIN(RADIANS(E36))</f>
        <v>-0.76158020161279971</v>
      </c>
      <c r="M35" s="558">
        <f t="shared" ref="M35" si="79">L35*SIN(RADIANS(ABS(E36)))</f>
        <v>-0.58000440348859261</v>
      </c>
      <c r="N35" s="559">
        <f>IFERROR(DEGREES(ACOS(ABS(1+(H36-H37)^2+(I36-I37)^2-RedActX^2-RedActY^2)/ABS(2*((H36-H37)^2+(I36-I37)^2)^0.5)-0.00000000001)),90)</f>
        <v>69.277412374304603</v>
      </c>
      <c r="O35" s="556">
        <f>ABS(SIN(RADIANS(N35))*IF(WindFactor=1,SIN(RADIANS(E36)),1))</f>
        <v>0.71230947216323104</v>
      </c>
      <c r="P35" s="560"/>
      <c r="Q35" s="561">
        <f t="shared" ref="Q35" si="80">+O35+P36</f>
        <v>1.36344922259021</v>
      </c>
      <c r="R35" s="562">
        <f t="shared" ref="R35" si="81">-F37*Q35/2</f>
        <v>-0.51918796691453351</v>
      </c>
      <c r="S35" s="563">
        <f t="shared" ref="S35" si="82">-G37*Q35/2</f>
        <v>0.44180572727910089</v>
      </c>
      <c r="T35" s="564">
        <f t="shared" ref="T35" si="83">((H36-H37)^2+(I36-I37)^2)^0.5</f>
        <v>0.47994612055725272</v>
      </c>
      <c r="U35" s="565">
        <f t="shared" ref="U35" si="84">((J36-J37)^2+(K36-K37)^2)^0.5</f>
        <v>1.4346221671606347</v>
      </c>
      <c r="V35" s="616">
        <f>-F37*1</f>
        <v>-0.7615802016127996</v>
      </c>
      <c r="W35" s="617">
        <f>-G37*1</f>
        <v>0.64807067246667438</v>
      </c>
      <c r="X35" s="617">
        <f>-F37*0.75</f>
        <v>-0.57118515120959967</v>
      </c>
      <c r="Y35" s="617">
        <f>-G37*0.75</f>
        <v>0.48605300435000576</v>
      </c>
      <c r="Z35" s="617">
        <f>-F37*0.5</f>
        <v>-0.3807901008063998</v>
      </c>
      <c r="AA35" s="617">
        <f>-G37*0.5</f>
        <v>0.32403533623333719</v>
      </c>
      <c r="AB35" s="617">
        <f>-F37*0.25</f>
        <v>-0.1903950504031999</v>
      </c>
      <c r="AC35" s="618">
        <f>-G37*0.25</f>
        <v>0.1620176681166686</v>
      </c>
      <c r="AD35" s="592"/>
      <c r="AE35" s="593"/>
    </row>
    <row r="36" spans="2:31" ht="10.199999999999999" customHeight="1">
      <c r="B36" s="633"/>
      <c r="C36" s="629"/>
      <c r="D36" s="598"/>
      <c r="E36" s="568">
        <f>StartAng+DualIncAng*E35</f>
        <v>-49.603703704984731</v>
      </c>
      <c r="F36" s="569">
        <v>0</v>
      </c>
      <c r="G36" s="569">
        <v>0</v>
      </c>
      <c r="H36" s="570">
        <f>RedActX</f>
        <v>0.6</v>
      </c>
      <c r="I36" s="570">
        <f>RedActY</f>
        <v>-1.1000000000000001</v>
      </c>
      <c r="J36" s="531">
        <f>IF(DualSingle=2,GrnActX,0)</f>
        <v>-0.6</v>
      </c>
      <c r="K36" s="531">
        <f>IF(DualSingle=2,GrnActY,0)</f>
        <v>-1.1000000000000001</v>
      </c>
      <c r="L36" s="571">
        <f t="shared" ref="L36" si="85">ABS(COS(RADIANS(ABS(E36))))</f>
        <v>0.64807067246667427</v>
      </c>
      <c r="M36" s="572">
        <f t="shared" ref="M36" si="86">L36*SIN(RADIANS(ABS(E36)))</f>
        <v>0.49355779339651246</v>
      </c>
      <c r="N36" s="573">
        <f>IF(DualSingle=2,DEGREES(ACOS(ABS(1+(J36-J37)^2+(K36-K37)^2-GrnActX^2-GrnActY^2)/ABS(2*((J36-J37)^2+(K36-K37)^2)^0.5)-0.00000000001)),0)</f>
        <v>58.75809244757999</v>
      </c>
      <c r="O36" s="574"/>
      <c r="P36" s="531">
        <f>ABS(SIN(RADIANS(N36))*IF(WindFactor=1,SIN(RADIANS(E36)),1))</f>
        <v>0.6511397504269788</v>
      </c>
      <c r="Q36" s="575"/>
      <c r="R36" s="576">
        <f t="shared" ref="R36:S36" si="87">R39</f>
        <v>-0.471151853125514</v>
      </c>
      <c r="S36" s="534">
        <f t="shared" si="87"/>
        <v>0.44169973087140396</v>
      </c>
      <c r="T36" s="577"/>
      <c r="U36" s="578"/>
      <c r="V36" s="619">
        <f t="shared" ref="V36:AC36" si="88">V39</f>
        <v>-0.72954116867686458</v>
      </c>
      <c r="W36" s="620">
        <f t="shared" si="88"/>
        <v>0.68393690001753416</v>
      </c>
      <c r="X36" s="620">
        <f t="shared" si="88"/>
        <v>-0.54715587650764841</v>
      </c>
      <c r="Y36" s="620">
        <f t="shared" si="88"/>
        <v>0.51295267501315056</v>
      </c>
      <c r="Z36" s="620">
        <f t="shared" si="88"/>
        <v>-0.36477058433843229</v>
      </c>
      <c r="AA36" s="620">
        <f t="shared" si="88"/>
        <v>0.34196845000876708</v>
      </c>
      <c r="AB36" s="620">
        <f t="shared" si="88"/>
        <v>-0.18238529216921615</v>
      </c>
      <c r="AC36" s="621">
        <f t="shared" si="88"/>
        <v>0.17098422500438354</v>
      </c>
      <c r="AD36" s="592"/>
      <c r="AE36" s="593"/>
    </row>
    <row r="37" spans="2:31" ht="10.199999999999999" customHeight="1">
      <c r="B37" s="475"/>
      <c r="E37" s="568"/>
      <c r="F37" s="569">
        <f>SIN(RADIANS(E36-180))*DualRadius</f>
        <v>0.7615802016127996</v>
      </c>
      <c r="G37" s="569">
        <f>COS(RADIANS(E36-180))*DualRadius</f>
        <v>-0.64807067246667438</v>
      </c>
      <c r="H37" s="570">
        <f t="shared" ref="H37" si="89">F37</f>
        <v>0.7615802016127996</v>
      </c>
      <c r="I37" s="570">
        <f t="shared" ref="I37" si="90">G37</f>
        <v>-0.64807067246667438</v>
      </c>
      <c r="J37" s="531">
        <f>IF(DualSingle=2,F37,0)</f>
        <v>0.7615802016127996</v>
      </c>
      <c r="K37" s="531">
        <f>IF(DualSingle=2,G37,0)</f>
        <v>-0.64807067246667438</v>
      </c>
      <c r="L37" s="574"/>
      <c r="M37" s="578"/>
      <c r="N37" s="577"/>
      <c r="O37" s="574"/>
      <c r="P37" s="574"/>
      <c r="Q37" s="575"/>
      <c r="R37" s="581"/>
      <c r="S37" s="512"/>
      <c r="T37" s="577"/>
      <c r="U37" s="578"/>
      <c r="V37" s="622"/>
      <c r="W37" s="623"/>
      <c r="X37" s="623"/>
      <c r="Y37" s="623"/>
      <c r="Z37" s="623"/>
      <c r="AA37" s="623"/>
      <c r="AB37" s="623"/>
      <c r="AC37" s="624"/>
      <c r="AD37" s="592"/>
      <c r="AE37" s="593"/>
    </row>
    <row r="38" spans="2:31" ht="10.199999999999999" customHeight="1" thickBot="1">
      <c r="E38" s="582"/>
      <c r="F38" s="583"/>
      <c r="G38" s="583"/>
      <c r="H38" s="583"/>
      <c r="I38" s="583"/>
      <c r="J38" s="583"/>
      <c r="K38" s="583"/>
      <c r="L38" s="583"/>
      <c r="M38" s="584"/>
      <c r="N38" s="585"/>
      <c r="O38" s="586"/>
      <c r="P38" s="586"/>
      <c r="Q38" s="587"/>
      <c r="R38" s="588"/>
      <c r="S38" s="589"/>
      <c r="T38" s="585"/>
      <c r="U38" s="584"/>
      <c r="V38" s="625"/>
      <c r="W38" s="583"/>
      <c r="X38" s="583"/>
      <c r="Y38" s="583"/>
      <c r="Z38" s="583"/>
      <c r="AA38" s="583"/>
      <c r="AB38" s="583"/>
      <c r="AC38" s="626"/>
      <c r="AD38" s="592"/>
      <c r="AE38" s="593"/>
    </row>
    <row r="39" spans="2:31" ht="10.199999999999999" customHeight="1">
      <c r="E39" s="554">
        <f t="shared" ref="E39" si="91">E35+1</f>
        <v>8</v>
      </c>
      <c r="F39" s="555">
        <f>IF(WindFactor=1,M39,L39)*DualRadius</f>
        <v>-0.53223031679440536</v>
      </c>
      <c r="G39" s="555">
        <f>IF(WindFactor=1,M40,L40)*DualRadius</f>
        <v>0.49896012534002382</v>
      </c>
      <c r="H39" s="570">
        <f ca="1">((H40-H41)/((H40-H41)^2+(I40-I41)^2)^0.5)*ActBodyLenFact+H40</f>
        <v>0.6</v>
      </c>
      <c r="I39" s="570">
        <f ca="1">((I40-I41)/((H40-H41)^2+(I40-I41)^2)^0.5)*ActBodyLenFact+I40</f>
        <v>-1.1000000000000001</v>
      </c>
      <c r="J39" s="531">
        <f ca="1">IFERROR(((J40-J41)/((J40-J41)^2+(K40-K41)^2)^0.5)*ActBodyLenFact,0)+J40</f>
        <v>-0.6</v>
      </c>
      <c r="K39" s="531">
        <f ca="1">IFERROR(((K40-K41)/((J40-J41)^2+(K40-K41)^2)^0.5)*ActBodyLenFact,0)+K40</f>
        <v>-1.1000000000000001</v>
      </c>
      <c r="L39" s="557">
        <f t="shared" ref="L39" si="92">SIN(RADIANS(E40))</f>
        <v>-0.72954116867686458</v>
      </c>
      <c r="M39" s="558">
        <f t="shared" ref="M39" si="93">L39*SIN(RADIANS(ABS(E40)))</f>
        <v>-0.53223031679440536</v>
      </c>
      <c r="N39" s="559">
        <f>IFERROR(DEGREES(ACOS(ABS(1+(H40-H41)^2+(I40-I41)^2-RedActX^2-RedActY^2)/ABS(2*((H40-H41)^2+(I40-I41)^2)^0.5)-0.00000000001)),90)</f>
        <v>64.141909623751602</v>
      </c>
      <c r="O39" s="556">
        <f>ABS(SIN(RADIANS(N39))*IF(WindFactor=1,SIN(RADIANS(E40)),1))</f>
        <v>0.65649734868071252</v>
      </c>
      <c r="P39" s="560"/>
      <c r="Q39" s="561">
        <f t="shared" ref="Q39" si="94">+O39+P40</f>
        <v>1.2916388364484503</v>
      </c>
      <c r="R39" s="562">
        <f t="shared" ref="R39" si="95">-F41*Q39/2</f>
        <v>-0.471151853125514</v>
      </c>
      <c r="S39" s="563">
        <f t="shared" ref="S39" si="96">-G41*Q39/2</f>
        <v>0.44169973087140396</v>
      </c>
      <c r="T39" s="564">
        <f t="shared" ref="T39" si="97">((H40-H41)^2+(I40-I41)^2)^0.5</f>
        <v>0.4357630291215483</v>
      </c>
      <c r="U39" s="565">
        <f t="shared" ref="U39" si="98">((J40-J41)^2+(K40-K41)^2)^0.5</f>
        <v>1.3931217543250347</v>
      </c>
      <c r="V39" s="616">
        <f>-F41*1</f>
        <v>-0.72954116867686458</v>
      </c>
      <c r="W39" s="617">
        <f>-G41*1</f>
        <v>0.68393690001753416</v>
      </c>
      <c r="X39" s="617">
        <f>-F41*0.75</f>
        <v>-0.54715587650764841</v>
      </c>
      <c r="Y39" s="617">
        <f>-G41*0.75</f>
        <v>0.51295267501315056</v>
      </c>
      <c r="Z39" s="617">
        <f>-F41*0.5</f>
        <v>-0.36477058433843229</v>
      </c>
      <c r="AA39" s="617">
        <f>-G41*0.5</f>
        <v>0.34196845000876708</v>
      </c>
      <c r="AB39" s="617">
        <f>-F41*0.25</f>
        <v>-0.18238529216921615</v>
      </c>
      <c r="AC39" s="618">
        <f>-G41*0.25</f>
        <v>0.17098422500438354</v>
      </c>
      <c r="AD39" s="592"/>
      <c r="AE39" s="593"/>
    </row>
    <row r="40" spans="2:31" ht="10.199999999999999" customHeight="1">
      <c r="E40" s="568">
        <f>StartAng+DualIncAng*E39</f>
        <v>-46.847942388041133</v>
      </c>
      <c r="F40" s="569">
        <v>0</v>
      </c>
      <c r="G40" s="569">
        <v>0</v>
      </c>
      <c r="H40" s="570">
        <f>RedActX</f>
        <v>0.6</v>
      </c>
      <c r="I40" s="570">
        <f>RedActY</f>
        <v>-1.1000000000000001</v>
      </c>
      <c r="J40" s="531">
        <f>IF(DualSingle=2,GrnActX,0)</f>
        <v>-0.6</v>
      </c>
      <c r="K40" s="531">
        <f>IF(DualSingle=2,GrnActY,0)</f>
        <v>-1.1000000000000001</v>
      </c>
      <c r="L40" s="571">
        <f t="shared" ref="L40" si="99">ABS(COS(RADIANS(ABS(E40))))</f>
        <v>0.68393690001753427</v>
      </c>
      <c r="M40" s="572">
        <f t="shared" ref="M40" si="100">L40*SIN(RADIANS(ABS(E40)))</f>
        <v>0.49896012534002382</v>
      </c>
      <c r="N40" s="573">
        <f>IF(DualSingle=2,DEGREES(ACOS(ABS(1+(J40-J41)^2+(K40-K41)^2-GrnActX^2-GrnActY^2)/ABS(2*((J40-J41)^2+(K40-K41)^2)^0.5)-0.00000000001)),0)</f>
        <v>60.528908717955929</v>
      </c>
      <c r="O40" s="574"/>
      <c r="P40" s="531">
        <f>ABS(SIN(RADIANS(N40))*IF(WindFactor=1,SIN(RADIANS(E40)),1))</f>
        <v>0.63514148776773793</v>
      </c>
      <c r="Q40" s="575"/>
      <c r="R40" s="576">
        <f t="shared" ref="R40:S40" si="101">R43</f>
        <v>-0.42008084211123026</v>
      </c>
      <c r="S40" s="534">
        <f t="shared" si="101"/>
        <v>0.43360818965151865</v>
      </c>
      <c r="T40" s="577"/>
      <c r="U40" s="578"/>
      <c r="V40" s="619">
        <f t="shared" ref="V40:AC40" si="102">V43</f>
        <v>-0.6958147902509858</v>
      </c>
      <c r="W40" s="620">
        <f t="shared" si="102"/>
        <v>0.71822125954887794</v>
      </c>
      <c r="X40" s="620">
        <f t="shared" si="102"/>
        <v>-0.52186109268823933</v>
      </c>
      <c r="Y40" s="620">
        <f t="shared" si="102"/>
        <v>0.5386659446616584</v>
      </c>
      <c r="Z40" s="620">
        <f t="shared" si="102"/>
        <v>-0.3479073951254929</v>
      </c>
      <c r="AA40" s="620">
        <f t="shared" si="102"/>
        <v>0.35911062977443897</v>
      </c>
      <c r="AB40" s="620">
        <f t="shared" si="102"/>
        <v>-0.17395369756274645</v>
      </c>
      <c r="AC40" s="621">
        <f t="shared" si="102"/>
        <v>0.17955531488721949</v>
      </c>
      <c r="AD40" s="592"/>
      <c r="AE40" s="593"/>
    </row>
    <row r="41" spans="2:31" ht="10.199999999999999" customHeight="1">
      <c r="E41" s="568"/>
      <c r="F41" s="569">
        <f>SIN(RADIANS(E40-180))*DualRadius</f>
        <v>0.72954116867686458</v>
      </c>
      <c r="G41" s="569">
        <f>COS(RADIANS(E40-180))*DualRadius</f>
        <v>-0.68393690001753416</v>
      </c>
      <c r="H41" s="570">
        <f t="shared" ref="H41" si="103">F41</f>
        <v>0.72954116867686458</v>
      </c>
      <c r="I41" s="570">
        <f t="shared" ref="I41" si="104">G41</f>
        <v>-0.68393690001753416</v>
      </c>
      <c r="J41" s="531">
        <f>IF(DualSingle=2,F41,0)</f>
        <v>0.72954116867686458</v>
      </c>
      <c r="K41" s="531">
        <f>IF(DualSingle=2,G41,0)</f>
        <v>-0.68393690001753416</v>
      </c>
      <c r="L41" s="574"/>
      <c r="M41" s="578"/>
      <c r="N41" s="577"/>
      <c r="O41" s="574"/>
      <c r="P41" s="574"/>
      <c r="Q41" s="575"/>
      <c r="R41" s="581"/>
      <c r="S41" s="512"/>
      <c r="T41" s="577"/>
      <c r="U41" s="578"/>
      <c r="V41" s="622"/>
      <c r="W41" s="623"/>
      <c r="X41" s="623"/>
      <c r="Y41" s="623"/>
      <c r="Z41" s="623"/>
      <c r="AA41" s="623"/>
      <c r="AB41" s="623"/>
      <c r="AC41" s="624"/>
      <c r="AD41" s="592"/>
      <c r="AE41" s="593"/>
    </row>
    <row r="42" spans="2:31" ht="10.199999999999999" customHeight="1" thickBot="1">
      <c r="E42" s="582"/>
      <c r="F42" s="583"/>
      <c r="G42" s="583"/>
      <c r="H42" s="583"/>
      <c r="I42" s="583"/>
      <c r="J42" s="583"/>
      <c r="K42" s="583"/>
      <c r="L42" s="583"/>
      <c r="M42" s="584"/>
      <c r="N42" s="585"/>
      <c r="O42" s="586"/>
      <c r="P42" s="586"/>
      <c r="Q42" s="587"/>
      <c r="R42" s="588"/>
      <c r="S42" s="589"/>
      <c r="T42" s="585"/>
      <c r="U42" s="584"/>
      <c r="V42" s="625"/>
      <c r="W42" s="583"/>
      <c r="X42" s="583"/>
      <c r="Y42" s="583"/>
      <c r="Z42" s="583"/>
      <c r="AA42" s="583"/>
      <c r="AB42" s="583"/>
      <c r="AC42" s="626"/>
      <c r="AD42" s="592"/>
      <c r="AE42" s="593"/>
    </row>
    <row r="43" spans="2:31" ht="10.199999999999999" customHeight="1">
      <c r="E43" s="554">
        <f t="shared" ref="E43" si="105">E39+1</f>
        <v>9</v>
      </c>
      <c r="F43" s="555">
        <f>IF(WindFactor=1,M43,L43)*DualRadius</f>
        <v>-0.48415822233202338</v>
      </c>
      <c r="G43" s="555">
        <f>IF(WindFactor=1,M44,L44)*DualRadius</f>
        <v>0.49974897506680127</v>
      </c>
      <c r="H43" s="570">
        <f ca="1">((H44-H45)/((H44-H45)^2+(I44-I45)^2)^0.5)*ActBodyLenFact+H44</f>
        <v>0.6</v>
      </c>
      <c r="I43" s="570">
        <f ca="1">((I44-I45)/((H44-H45)^2+(I44-I45)^2)^0.5)*ActBodyLenFact+I44</f>
        <v>-1.1000000000000001</v>
      </c>
      <c r="J43" s="531">
        <f ca="1">IFERROR(((J44-J45)/((J44-J45)^2+(K44-K45)^2)^0.5)*ActBodyLenFact,0)+J44</f>
        <v>-0.6</v>
      </c>
      <c r="K43" s="531">
        <f ca="1">IFERROR(((K44-K45)/((J44-J45)^2+(K44-K45)^2)^0.5)*ActBodyLenFact,0)+K44</f>
        <v>-1.1000000000000001</v>
      </c>
      <c r="L43" s="557">
        <f t="shared" ref="L43" si="106">SIN(RADIANS(E44))</f>
        <v>-0.6958147902509858</v>
      </c>
      <c r="M43" s="558">
        <f t="shared" ref="M43" si="107">L43*SIN(RADIANS(ABS(E44)))</f>
        <v>-0.48415822233202338</v>
      </c>
      <c r="N43" s="559">
        <f>IFERROR(DEGREES(ACOS(ABS(1+(H44-H45)^2+(I44-I45)^2-RedActX^2-RedActY^2)/ABS(2*((H44-H45)^2+(I44-I45)^2)^0.5)-0.00000000001)),90)</f>
        <v>58.180689171576034</v>
      </c>
      <c r="O43" s="556">
        <f>ABS(SIN(RADIANS(N43))*IF(WindFactor=1,SIN(RADIANS(E44)),1))</f>
        <v>0.59124429291183211</v>
      </c>
      <c r="P43" s="560"/>
      <c r="Q43" s="561">
        <f t="shared" ref="Q43" si="108">+O43+P44</f>
        <v>1.2074501663286112</v>
      </c>
      <c r="R43" s="562">
        <f t="shared" ref="R43" si="109">-F45*Q43/2</f>
        <v>-0.42008084211123026</v>
      </c>
      <c r="S43" s="563">
        <f t="shared" ref="S43" si="110">-G45*Q43/2</f>
        <v>0.43360818965151865</v>
      </c>
      <c r="T43" s="564">
        <f t="shared" ref="T43" si="111">((H44-H45)^2+(I44-I45)^2)^0.5</f>
        <v>0.39361844556789471</v>
      </c>
      <c r="U43" s="565">
        <f t="shared" ref="U43" si="112">((J44-J45)^2+(K44-K45)^2)^0.5</f>
        <v>1.3508852568940308</v>
      </c>
      <c r="V43" s="616">
        <f>-F45*1</f>
        <v>-0.6958147902509858</v>
      </c>
      <c r="W43" s="617">
        <f>-G45*1</f>
        <v>0.71822125954887794</v>
      </c>
      <c r="X43" s="617">
        <f>-F45*0.75</f>
        <v>-0.52186109268823933</v>
      </c>
      <c r="Y43" s="617">
        <f>-G45*0.75</f>
        <v>0.5386659446616584</v>
      </c>
      <c r="Z43" s="617">
        <f>-F45*0.5</f>
        <v>-0.3479073951254929</v>
      </c>
      <c r="AA43" s="617">
        <f>-G45*0.5</f>
        <v>0.35911062977443897</v>
      </c>
      <c r="AB43" s="617">
        <f>-F45*0.25</f>
        <v>-0.17395369756274645</v>
      </c>
      <c r="AC43" s="618">
        <f>-G45*0.25</f>
        <v>0.17955531488721949</v>
      </c>
      <c r="AD43" s="592"/>
      <c r="AE43" s="593"/>
    </row>
    <row r="44" spans="2:31" ht="10.199999999999999" customHeight="1">
      <c r="E44" s="568">
        <f>StartAng+DualIncAng*E43</f>
        <v>-44.092181071097535</v>
      </c>
      <c r="F44" s="569">
        <v>0</v>
      </c>
      <c r="G44" s="569">
        <v>0</v>
      </c>
      <c r="H44" s="570">
        <f>RedActX</f>
        <v>0.6</v>
      </c>
      <c r="I44" s="570">
        <f>RedActY</f>
        <v>-1.1000000000000001</v>
      </c>
      <c r="J44" s="531">
        <f>IF(DualSingle=2,GrnActX,0)</f>
        <v>-0.6</v>
      </c>
      <c r="K44" s="531">
        <f>IF(DualSingle=2,GrnActY,0)</f>
        <v>-1.1000000000000001</v>
      </c>
      <c r="L44" s="571">
        <f t="shared" ref="L44" si="113">ABS(COS(RADIANS(ABS(E44))))</f>
        <v>0.71822125954887783</v>
      </c>
      <c r="M44" s="572">
        <f t="shared" ref="M44" si="114">L44*SIN(RADIANS(ABS(E44)))</f>
        <v>0.49974897506680127</v>
      </c>
      <c r="N44" s="573">
        <f>IF(DualSingle=2,DEGREES(ACOS(ABS(1+(J44-J45)^2+(K44-K45)^2-GrnActX^2-GrnActY^2)/ABS(2*((J44-J45)^2+(K44-K45)^2)^0.5)-0.00000000001)),0)</f>
        <v>62.324082185743194</v>
      </c>
      <c r="O44" s="574"/>
      <c r="P44" s="531">
        <f>ABS(SIN(RADIANS(N44))*IF(WindFactor=1,SIN(RADIANS(E44)),1))</f>
        <v>0.61620587341677913</v>
      </c>
      <c r="Q44" s="575"/>
      <c r="R44" s="576">
        <f t="shared" ref="R44:S44" si="115">R47</f>
        <v>-0.36618437433431639</v>
      </c>
      <c r="S44" s="534">
        <f t="shared" si="115"/>
        <v>0.41628496479272842</v>
      </c>
      <c r="T44" s="577"/>
      <c r="U44" s="578"/>
      <c r="V44" s="619">
        <f t="shared" ref="V44:AC44" si="116">V47</f>
        <v>-0.66047907160062691</v>
      </c>
      <c r="W44" s="620">
        <f t="shared" si="116"/>
        <v>0.75084445524860466</v>
      </c>
      <c r="X44" s="620">
        <f t="shared" si="116"/>
        <v>-0.49535930370047021</v>
      </c>
      <c r="Y44" s="620">
        <f t="shared" si="116"/>
        <v>0.56313334143645344</v>
      </c>
      <c r="Z44" s="620">
        <f t="shared" si="116"/>
        <v>-0.33023953580031346</v>
      </c>
      <c r="AA44" s="620">
        <f t="shared" si="116"/>
        <v>0.37542222762430233</v>
      </c>
      <c r="AB44" s="620">
        <f t="shared" si="116"/>
        <v>-0.16511976790015673</v>
      </c>
      <c r="AC44" s="621">
        <f t="shared" si="116"/>
        <v>0.18771111381215116</v>
      </c>
      <c r="AD44" s="592"/>
      <c r="AE44" s="593"/>
    </row>
    <row r="45" spans="2:31" ht="10.199999999999999" customHeight="1">
      <c r="E45" s="568"/>
      <c r="F45" s="569">
        <f>SIN(RADIANS(E44-180))*DualRadius</f>
        <v>0.6958147902509858</v>
      </c>
      <c r="G45" s="569">
        <f>COS(RADIANS(E44-180))*DualRadius</f>
        <v>-0.71822125954887794</v>
      </c>
      <c r="H45" s="570">
        <f t="shared" ref="H45" si="117">F45</f>
        <v>0.6958147902509858</v>
      </c>
      <c r="I45" s="570">
        <f t="shared" ref="I45" si="118">G45</f>
        <v>-0.71822125954887794</v>
      </c>
      <c r="J45" s="531">
        <f>IF(DualSingle=2,F45,0)</f>
        <v>0.6958147902509858</v>
      </c>
      <c r="K45" s="531">
        <f>IF(DualSingle=2,G45,0)</f>
        <v>-0.71822125954887794</v>
      </c>
      <c r="L45" s="574"/>
      <c r="M45" s="578"/>
      <c r="N45" s="577"/>
      <c r="O45" s="574"/>
      <c r="P45" s="574"/>
      <c r="Q45" s="575"/>
      <c r="R45" s="581"/>
      <c r="S45" s="512"/>
      <c r="T45" s="577"/>
      <c r="U45" s="578"/>
      <c r="V45" s="622"/>
      <c r="W45" s="623"/>
      <c r="X45" s="623"/>
      <c r="Y45" s="623"/>
      <c r="Z45" s="623"/>
      <c r="AA45" s="623"/>
      <c r="AB45" s="623"/>
      <c r="AC45" s="624"/>
      <c r="AD45" s="592"/>
      <c r="AE45" s="593"/>
    </row>
    <row r="46" spans="2:31" ht="10.199999999999999" customHeight="1" thickBot="1">
      <c r="E46" s="582"/>
      <c r="F46" s="583"/>
      <c r="G46" s="583"/>
      <c r="H46" s="583"/>
      <c r="I46" s="583"/>
      <c r="J46" s="583"/>
      <c r="K46" s="583"/>
      <c r="L46" s="583"/>
      <c r="M46" s="584"/>
      <c r="N46" s="585"/>
      <c r="O46" s="586"/>
      <c r="P46" s="586"/>
      <c r="Q46" s="587"/>
      <c r="R46" s="588"/>
      <c r="S46" s="589"/>
      <c r="T46" s="585"/>
      <c r="U46" s="584"/>
      <c r="V46" s="625"/>
      <c r="W46" s="583"/>
      <c r="X46" s="583"/>
      <c r="Y46" s="583"/>
      <c r="Z46" s="583"/>
      <c r="AA46" s="583"/>
      <c r="AB46" s="583"/>
      <c r="AC46" s="626"/>
      <c r="AD46" s="592"/>
      <c r="AE46" s="593"/>
    </row>
    <row r="47" spans="2:31" ht="10.199999999999999" customHeight="1">
      <c r="E47" s="554">
        <f t="shared" ref="E47" si="119">E43+1</f>
        <v>10</v>
      </c>
      <c r="F47" s="555">
        <f>IF(WindFactor=1,M47,L47)*DualRadius</f>
        <v>-0.43623260402242603</v>
      </c>
      <c r="G47" s="555">
        <f>IF(WindFactor=1,M48,L48)*DualRadius</f>
        <v>0.49591704871907694</v>
      </c>
      <c r="H47" s="570">
        <f ca="1">((H48-H49)/((H48-H49)^2+(I48-I49)^2)^0.5)*ActBodyLenFact+H48</f>
        <v>0.6</v>
      </c>
      <c r="I47" s="570">
        <f ca="1">((I48-I49)/((H48-H49)^2+(I48-I49)^2)^0.5)*ActBodyLenFact+I48</f>
        <v>-1.1000000000000001</v>
      </c>
      <c r="J47" s="531">
        <f ca="1">IFERROR(((J48-J49)/((J48-J49)^2+(K48-K49)^2)^0.5)*ActBodyLenFact,0)+J48</f>
        <v>-0.6</v>
      </c>
      <c r="K47" s="531">
        <f ca="1">IFERROR(((K48-K49)/((J48-J49)^2+(K48-K49)^2)^0.5)*ActBodyLenFact,0)+K48</f>
        <v>-1.1000000000000001</v>
      </c>
      <c r="L47" s="557">
        <f t="shared" ref="L47" si="120">SIN(RADIANS(E48))</f>
        <v>-0.66047907160062691</v>
      </c>
      <c r="M47" s="558">
        <f t="shared" ref="M47" si="121">L47*SIN(RADIANS(ABS(E48)))</f>
        <v>-0.43623260402242603</v>
      </c>
      <c r="N47" s="559">
        <f>IFERROR(DEGREES(ACOS(ABS(1+(H48-H49)^2+(I48-I49)^2-RedActX^2-RedActY^2)/ABS(2*((H48-H49)^2+(I48-I49)^2)^0.5)-0.00000000001)),90)</f>
        <v>51.163416309840741</v>
      </c>
      <c r="O47" s="556">
        <f>ABS(SIN(RADIANS(N47))*IF(WindFactor=1,SIN(RADIANS(E48)),1))</f>
        <v>0.51447205943106777</v>
      </c>
      <c r="P47" s="560"/>
      <c r="Q47" s="561">
        <f t="shared" ref="Q47" si="122">+O47+P48</f>
        <v>1.108844746425933</v>
      </c>
      <c r="R47" s="562">
        <f t="shared" ref="R47" si="123">-F49*Q47/2</f>
        <v>-0.36618437433431639</v>
      </c>
      <c r="S47" s="563">
        <f t="shared" ref="S47" si="124">-G49*Q47/2</f>
        <v>0.41628496479272842</v>
      </c>
      <c r="T47" s="564">
        <f t="shared" ref="T47" si="125">((H48-H49)^2+(I48-I49)^2)^0.5</f>
        <v>0.35435478341955179</v>
      </c>
      <c r="U47" s="565">
        <f t="shared" ref="U47" si="126">((J48-J49)^2+(K48-K49)^2)^0.5</f>
        <v>1.3079438383867337</v>
      </c>
      <c r="V47" s="616">
        <f>-F49*1</f>
        <v>-0.66047907160062691</v>
      </c>
      <c r="W47" s="617">
        <f>-G49*1</f>
        <v>0.75084445524860466</v>
      </c>
      <c r="X47" s="617">
        <f>-F49*0.75</f>
        <v>-0.49535930370047021</v>
      </c>
      <c r="Y47" s="617">
        <f>-G49*0.75</f>
        <v>0.56313334143645344</v>
      </c>
      <c r="Z47" s="617">
        <f>-F49*0.5</f>
        <v>-0.33023953580031346</v>
      </c>
      <c r="AA47" s="617">
        <f>-G49*0.5</f>
        <v>0.37542222762430233</v>
      </c>
      <c r="AB47" s="617">
        <f>-F49*0.25</f>
        <v>-0.16511976790015673</v>
      </c>
      <c r="AC47" s="618">
        <f>-G49*0.25</f>
        <v>0.18771111381215116</v>
      </c>
      <c r="AD47" s="592"/>
      <c r="AE47" s="593"/>
    </row>
    <row r="48" spans="2:31" ht="10.199999999999999" customHeight="1">
      <c r="E48" s="568">
        <f>StartAng+DualIncAng*E47</f>
        <v>-41.336419754153937</v>
      </c>
      <c r="F48" s="569">
        <v>0</v>
      </c>
      <c r="G48" s="569">
        <v>0</v>
      </c>
      <c r="H48" s="570">
        <f>RedActX</f>
        <v>0.6</v>
      </c>
      <c r="I48" s="570">
        <f>RedActY</f>
        <v>-1.1000000000000001</v>
      </c>
      <c r="J48" s="531">
        <f>IF(DualSingle=2,GrnActX,0)</f>
        <v>-0.6</v>
      </c>
      <c r="K48" s="531">
        <f>IF(DualSingle=2,GrnActY,0)</f>
        <v>-1.1000000000000001</v>
      </c>
      <c r="L48" s="571">
        <f t="shared" ref="L48" si="127">ABS(COS(RADIANS(ABS(E48))))</f>
        <v>0.75084445524860477</v>
      </c>
      <c r="M48" s="572">
        <f t="shared" ref="M48" si="128">L48*SIN(RADIANS(ABS(E48)))</f>
        <v>0.49591704871907694</v>
      </c>
      <c r="N48" s="573">
        <f>IF(DualSingle=2,DEGREES(ACOS(ABS(1+(J48-J49)^2+(K48-K49)^2-GrnActX^2-GrnActY^2)/ABS(2*((J48-J49)^2+(K48-K49)^2)^0.5)-0.00000000001)),0)</f>
        <v>64.146431761557466</v>
      </c>
      <c r="O48" s="574"/>
      <c r="P48" s="531">
        <f>ABS(SIN(RADIANS(N48))*IF(WindFactor=1,SIN(RADIANS(E48)),1))</f>
        <v>0.59437268699486534</v>
      </c>
      <c r="Q48" s="575"/>
      <c r="R48" s="576">
        <f t="shared" ref="R48:S48" si="129">R51</f>
        <v>-0.309812872513683</v>
      </c>
      <c r="S48" s="534">
        <f t="shared" si="129"/>
        <v>0.3883646953884724</v>
      </c>
      <c r="T48" s="577"/>
      <c r="U48" s="578"/>
      <c r="V48" s="619">
        <f t="shared" ref="V48:AC48" si="130">V51</f>
        <v>-0.62361574021158073</v>
      </c>
      <c r="W48" s="620">
        <f t="shared" si="130"/>
        <v>0.78173103338703542</v>
      </c>
      <c r="X48" s="620">
        <f t="shared" si="130"/>
        <v>-0.46771180515868555</v>
      </c>
      <c r="Y48" s="620">
        <f t="shared" si="130"/>
        <v>0.58629827504027654</v>
      </c>
      <c r="Z48" s="620">
        <f t="shared" si="130"/>
        <v>-0.31180787010579036</v>
      </c>
      <c r="AA48" s="620">
        <f t="shared" si="130"/>
        <v>0.39086551669351771</v>
      </c>
      <c r="AB48" s="620">
        <f t="shared" si="130"/>
        <v>-0.15590393505289518</v>
      </c>
      <c r="AC48" s="621">
        <f t="shared" si="130"/>
        <v>0.19543275834675886</v>
      </c>
      <c r="AD48" s="592"/>
      <c r="AE48" s="593"/>
    </row>
    <row r="49" spans="5:31" ht="10.199999999999999" customHeight="1">
      <c r="E49" s="568"/>
      <c r="F49" s="569">
        <f>SIN(RADIANS(E48-180))*DualRadius</f>
        <v>0.66047907160062691</v>
      </c>
      <c r="G49" s="569">
        <f>COS(RADIANS(E48-180))*DualRadius</f>
        <v>-0.75084445524860466</v>
      </c>
      <c r="H49" s="570">
        <f t="shared" ref="H49" si="131">F49</f>
        <v>0.66047907160062691</v>
      </c>
      <c r="I49" s="570">
        <f t="shared" ref="I49" si="132">G49</f>
        <v>-0.75084445524860466</v>
      </c>
      <c r="J49" s="531">
        <f>IF(DualSingle=2,F49,0)</f>
        <v>0.66047907160062691</v>
      </c>
      <c r="K49" s="531">
        <f>IF(DualSingle=2,G49,0)</f>
        <v>-0.75084445524860466</v>
      </c>
      <c r="L49" s="574"/>
      <c r="M49" s="578"/>
      <c r="N49" s="577"/>
      <c r="O49" s="574"/>
      <c r="P49" s="574"/>
      <c r="Q49" s="575"/>
      <c r="R49" s="581"/>
      <c r="S49" s="512"/>
      <c r="T49" s="577"/>
      <c r="U49" s="578"/>
      <c r="V49" s="622"/>
      <c r="W49" s="623"/>
      <c r="X49" s="623"/>
      <c r="Y49" s="623"/>
      <c r="Z49" s="623"/>
      <c r="AA49" s="623"/>
      <c r="AB49" s="623"/>
      <c r="AC49" s="624"/>
      <c r="AD49" s="592"/>
      <c r="AE49" s="593"/>
    </row>
    <row r="50" spans="5:31" ht="10.199999999999999" customHeight="1" thickBot="1">
      <c r="E50" s="582"/>
      <c r="F50" s="583"/>
      <c r="G50" s="583"/>
      <c r="H50" s="583"/>
      <c r="I50" s="583"/>
      <c r="J50" s="583"/>
      <c r="K50" s="583"/>
      <c r="L50" s="583"/>
      <c r="M50" s="584"/>
      <c r="N50" s="585"/>
      <c r="O50" s="586"/>
      <c r="P50" s="586"/>
      <c r="Q50" s="587"/>
      <c r="R50" s="588"/>
      <c r="S50" s="589"/>
      <c r="T50" s="585"/>
      <c r="U50" s="584"/>
      <c r="V50" s="625"/>
      <c r="W50" s="583"/>
      <c r="X50" s="583"/>
      <c r="Y50" s="583"/>
      <c r="Z50" s="583"/>
      <c r="AA50" s="583"/>
      <c r="AB50" s="583"/>
      <c r="AC50" s="626"/>
      <c r="AD50" s="592"/>
      <c r="AE50" s="593"/>
    </row>
    <row r="51" spans="5:31" ht="10.199999999999999" customHeight="1">
      <c r="E51" s="554">
        <f t="shared" ref="E51" si="133">E47+1</f>
        <v>11</v>
      </c>
      <c r="F51" s="555">
        <f>IF(WindFactor=1,M51,L51)*DualRadius</f>
        <v>-0.38889659143963801</v>
      </c>
      <c r="G51" s="555">
        <f>IF(WindFactor=1,M52,L52)*DualRadius</f>
        <v>0.48749977703202013</v>
      </c>
      <c r="H51" s="570">
        <f ca="1">((H52-H53)/((H52-H53)^2+(I52-I53)^2)^0.5)*ActBodyLenFact+H52</f>
        <v>0.6</v>
      </c>
      <c r="I51" s="570">
        <f ca="1">((I52-I53)/((H52-H53)^2+(I52-I53)^2)^0.5)*ActBodyLenFact+I52</f>
        <v>-1.1000000000000001</v>
      </c>
      <c r="J51" s="531">
        <f ca="1">IFERROR(((J52-J53)/((J52-J53)^2+(K52-K53)^2)^0.5)*ActBodyLenFact,0)+J52</f>
        <v>-0.6</v>
      </c>
      <c r="K51" s="531">
        <f ca="1">IFERROR(((K52-K53)/((J52-J53)^2+(K52-K53)^2)^0.5)*ActBodyLenFact,0)+K52</f>
        <v>-1.1000000000000001</v>
      </c>
      <c r="L51" s="557">
        <f t="shared" ref="L51" si="134">SIN(RADIANS(E52))</f>
        <v>-0.62361574021158095</v>
      </c>
      <c r="M51" s="558">
        <f t="shared" ref="M51" si="135">L51*SIN(RADIANS(ABS(E52)))</f>
        <v>-0.38889659143963801</v>
      </c>
      <c r="N51" s="559">
        <f>IFERROR(DEGREES(ACOS(ABS(1+(H52-H53)^2+(I52-I53)^2-RedActX^2-RedActY^2)/ABS(2*((H52-H53)^2+(I52-I53)^2)^0.5)-0.00000000001)),90)</f>
        <v>42.824261565976869</v>
      </c>
      <c r="O51" s="556">
        <f>ABS(SIN(RADIANS(N51))*IF(WindFactor=1,SIN(RADIANS(E52)),1))</f>
        <v>0.42390400735249367</v>
      </c>
      <c r="P51" s="560"/>
      <c r="Q51" s="561">
        <f t="shared" ref="Q51" si="136">+O51+P52</f>
        <v>0.99360183695353654</v>
      </c>
      <c r="R51" s="562">
        <f t="shared" ref="R51" si="137">-F53*Q51/2</f>
        <v>-0.309812872513683</v>
      </c>
      <c r="S51" s="563">
        <f t="shared" ref="S51" si="138">-G53*Q51/2</f>
        <v>0.3883646953884724</v>
      </c>
      <c r="T51" s="564">
        <f t="shared" ref="T51" si="139">((H52-H53)^2+(I52-I53)^2)^0.5</f>
        <v>0.3191439147071824</v>
      </c>
      <c r="U51" s="565">
        <f t="shared" ref="U51" si="140">((J52-J53)^2+(K52-K53)^2)^0.5</f>
        <v>1.264330105155461</v>
      </c>
      <c r="V51" s="616">
        <f>-F53*1</f>
        <v>-0.62361574021158073</v>
      </c>
      <c r="W51" s="617">
        <f>-G53*1</f>
        <v>0.78173103338703542</v>
      </c>
      <c r="X51" s="617">
        <f>-F53*0.75</f>
        <v>-0.46771180515868555</v>
      </c>
      <c r="Y51" s="617">
        <f>-G53*0.75</f>
        <v>0.58629827504027654</v>
      </c>
      <c r="Z51" s="617">
        <f>-F53*0.5</f>
        <v>-0.31180787010579036</v>
      </c>
      <c r="AA51" s="617">
        <f>-G53*0.5</f>
        <v>0.39086551669351771</v>
      </c>
      <c r="AB51" s="617">
        <f>-F53*0.25</f>
        <v>-0.15590393505289518</v>
      </c>
      <c r="AC51" s="618">
        <f>-G53*0.25</f>
        <v>0.19543275834675886</v>
      </c>
      <c r="AD51" s="592"/>
      <c r="AE51" s="593"/>
    </row>
    <row r="52" spans="5:31" ht="10.199999999999999" customHeight="1">
      <c r="E52" s="568">
        <f>StartAng+DualIncAng*E51</f>
        <v>-38.580658437210346</v>
      </c>
      <c r="F52" s="569">
        <v>0</v>
      </c>
      <c r="G52" s="569">
        <v>0</v>
      </c>
      <c r="H52" s="570">
        <f>RedActX</f>
        <v>0.6</v>
      </c>
      <c r="I52" s="570">
        <f>RedActY</f>
        <v>-1.1000000000000001</v>
      </c>
      <c r="J52" s="531">
        <f>IF(DualSingle=2,GrnActX,0)</f>
        <v>-0.6</v>
      </c>
      <c r="K52" s="531">
        <f>IF(DualSingle=2,GrnActY,0)</f>
        <v>-1.1000000000000001</v>
      </c>
      <c r="L52" s="571">
        <f t="shared" ref="L52" si="141">ABS(COS(RADIANS(ABS(E52))))</f>
        <v>0.78173103338703531</v>
      </c>
      <c r="M52" s="572">
        <f t="shared" ref="M52" si="142">L52*SIN(RADIANS(ABS(E52)))</f>
        <v>0.48749977703202013</v>
      </c>
      <c r="N52" s="573">
        <f>IF(DualSingle=2,DEGREES(ACOS(ABS(1+(J52-J53)^2+(K52-K53)^2-GrnActX^2-GrnActY^2)/ABS(2*((J52-J53)^2+(K52-K53)^2)^0.5)-0.00000000001)),0)</f>
        <v>65.99921004203523</v>
      </c>
      <c r="O52" s="574"/>
      <c r="P52" s="531">
        <f>ABS(SIN(RADIANS(N52))*IF(WindFactor=1,SIN(RADIANS(E52)),1))</f>
        <v>0.56969782960104287</v>
      </c>
      <c r="Q52" s="575"/>
      <c r="R52" s="576">
        <f t="shared" ref="R52:S52" si="143">R55</f>
        <v>-0.25177823713493824</v>
      </c>
      <c r="S52" s="534">
        <f t="shared" si="143"/>
        <v>0.34877958871969617</v>
      </c>
      <c r="T52" s="577"/>
      <c r="U52" s="578"/>
      <c r="V52" s="619">
        <f t="shared" ref="V52:AC52" si="144">V55</f>
        <v>-0.58531005676362047</v>
      </c>
      <c r="W52" s="620">
        <f t="shared" si="144"/>
        <v>0.81080955683277889</v>
      </c>
      <c r="X52" s="620">
        <f t="shared" si="144"/>
        <v>-0.43898254257271535</v>
      </c>
      <c r="Y52" s="620">
        <f t="shared" si="144"/>
        <v>0.60810716762458417</v>
      </c>
      <c r="Z52" s="620">
        <f t="shared" si="144"/>
        <v>-0.29265502838181023</v>
      </c>
      <c r="AA52" s="620">
        <f t="shared" si="144"/>
        <v>0.40540477841638944</v>
      </c>
      <c r="AB52" s="620">
        <f t="shared" si="144"/>
        <v>-0.14632751419090512</v>
      </c>
      <c r="AC52" s="621">
        <f t="shared" si="144"/>
        <v>0.20270238920819472</v>
      </c>
      <c r="AD52" s="592"/>
      <c r="AE52" s="593"/>
    </row>
    <row r="53" spans="5:31" ht="10.199999999999999" customHeight="1">
      <c r="E53" s="568"/>
      <c r="F53" s="569">
        <f>SIN(RADIANS(E52-180))*DualRadius</f>
        <v>0.62361574021158073</v>
      </c>
      <c r="G53" s="569">
        <f>COS(RADIANS(E52-180))*DualRadius</f>
        <v>-0.78173103338703542</v>
      </c>
      <c r="H53" s="570">
        <f t="shared" ref="H53" si="145">F53</f>
        <v>0.62361574021158073</v>
      </c>
      <c r="I53" s="570">
        <f t="shared" ref="I53" si="146">G53</f>
        <v>-0.78173103338703542</v>
      </c>
      <c r="J53" s="531">
        <f>IF(DualSingle=2,F53,0)</f>
        <v>0.62361574021158073</v>
      </c>
      <c r="K53" s="531">
        <f>IF(DualSingle=2,G53,0)</f>
        <v>-0.78173103338703542</v>
      </c>
      <c r="L53" s="574"/>
      <c r="M53" s="578"/>
      <c r="N53" s="577"/>
      <c r="O53" s="574"/>
      <c r="P53" s="574"/>
      <c r="Q53" s="575"/>
      <c r="R53" s="581"/>
      <c r="S53" s="512"/>
      <c r="T53" s="577"/>
      <c r="U53" s="578"/>
      <c r="V53" s="622"/>
      <c r="W53" s="623"/>
      <c r="X53" s="623"/>
      <c r="Y53" s="623"/>
      <c r="Z53" s="623"/>
      <c r="AA53" s="623"/>
      <c r="AB53" s="623"/>
      <c r="AC53" s="624"/>
      <c r="AD53" s="592"/>
      <c r="AE53" s="593"/>
    </row>
    <row r="54" spans="5:31" ht="10.199999999999999" customHeight="1" thickBot="1">
      <c r="E54" s="582"/>
      <c r="F54" s="583"/>
      <c r="G54" s="583"/>
      <c r="H54" s="583"/>
      <c r="I54" s="583"/>
      <c r="J54" s="583"/>
      <c r="K54" s="583"/>
      <c r="L54" s="583"/>
      <c r="M54" s="584"/>
      <c r="N54" s="585"/>
      <c r="O54" s="586"/>
      <c r="P54" s="586"/>
      <c r="Q54" s="587"/>
      <c r="R54" s="588"/>
      <c r="S54" s="589"/>
      <c r="T54" s="585"/>
      <c r="U54" s="584"/>
      <c r="V54" s="625"/>
      <c r="W54" s="583"/>
      <c r="X54" s="583"/>
      <c r="Y54" s="583"/>
      <c r="Z54" s="583"/>
      <c r="AA54" s="583"/>
      <c r="AB54" s="583"/>
      <c r="AC54" s="626"/>
      <c r="AD54" s="592"/>
      <c r="AE54" s="593"/>
    </row>
    <row r="55" spans="5:31" ht="10.199999999999999" customHeight="1">
      <c r="E55" s="554">
        <f t="shared" ref="E55" si="147">E51+1</f>
        <v>12</v>
      </c>
      <c r="F55" s="555">
        <f>IF(WindFactor=1,M55,L55)*DualRadius</f>
        <v>-0.34258786254863277</v>
      </c>
      <c r="G55" s="555">
        <f>IF(WindFactor=1,M56,L56)*DualRadius</f>
        <v>0.47457498773427986</v>
      </c>
      <c r="H55" s="570">
        <f ca="1">((H56-H57)/((H56-H57)^2+(I56-I57)^2)^0.5)*ActBodyLenFact+H56</f>
        <v>0.6</v>
      </c>
      <c r="I55" s="570">
        <f ca="1">((I56-I57)/((H56-H57)^2+(I56-I57)^2)^0.5)*ActBodyLenFact+I56</f>
        <v>-1.1000000000000001</v>
      </c>
      <c r="J55" s="531">
        <f ca="1">IFERROR(((J56-J57)/((J56-J57)^2+(K56-K57)^2)^0.5)*ActBodyLenFact,0)+J56</f>
        <v>-0.6</v>
      </c>
      <c r="K55" s="531">
        <f ca="1">IFERROR(((K56-K57)/((J56-J57)^2+(K56-K57)^2)^0.5)*ActBodyLenFact,0)+K56</f>
        <v>-1.1000000000000001</v>
      </c>
      <c r="L55" s="557">
        <f t="shared" ref="L55" si="148">SIN(RADIANS(E56))</f>
        <v>-0.58531005676362058</v>
      </c>
      <c r="M55" s="558">
        <f t="shared" ref="M55" si="149">L55*SIN(RADIANS(ABS(E56)))</f>
        <v>-0.34258786254863277</v>
      </c>
      <c r="N55" s="559">
        <f>IFERROR(DEGREES(ACOS(ABS(1+(H56-H57)^2+(I56-I57)^2-RedActX^2-RedActY^2)/ABS(2*((H56-H57)^2+(I56-I57)^2)^0.5)-0.00000000001)),90)</f>
        <v>32.916955445372928</v>
      </c>
      <c r="O55" s="556">
        <f>ABS(SIN(RADIANS(N55))*IF(WindFactor=1,SIN(RADIANS(E56)),1))</f>
        <v>0.31807088463092353</v>
      </c>
      <c r="P55" s="560"/>
      <c r="Q55" s="561">
        <f t="shared" ref="Q55" si="150">+O55+P56</f>
        <v>0.86032431606286153</v>
      </c>
      <c r="R55" s="562">
        <f t="shared" ref="R55" si="151">-F57*Q55/2</f>
        <v>-0.25177823713493824</v>
      </c>
      <c r="S55" s="563">
        <f t="shared" ref="S55" si="152">-G57*Q55/2</f>
        <v>0.34877958871969617</v>
      </c>
      <c r="T55" s="564">
        <f t="shared" ref="T55" si="153">((H56-H57)^2+(I56-I57)^2)^0.5</f>
        <v>0.28956330370325217</v>
      </c>
      <c r="U55" s="565">
        <f t="shared" ref="U55" si="154">((J56-J57)^2+(K56-K57)^2)^0.5</f>
        <v>1.220078293833732</v>
      </c>
      <c r="V55" s="616">
        <f>-F57*1</f>
        <v>-0.58531005676362047</v>
      </c>
      <c r="W55" s="617">
        <f>-G57*1</f>
        <v>0.81080955683277889</v>
      </c>
      <c r="X55" s="617">
        <f>-F57*0.75</f>
        <v>-0.43898254257271535</v>
      </c>
      <c r="Y55" s="617">
        <f>-G57*0.75</f>
        <v>0.60810716762458417</v>
      </c>
      <c r="Z55" s="617">
        <f>-F57*0.5</f>
        <v>-0.29265502838181023</v>
      </c>
      <c r="AA55" s="617">
        <f>-G57*0.5</f>
        <v>0.40540477841638944</v>
      </c>
      <c r="AB55" s="617">
        <f>-F57*0.25</f>
        <v>-0.14632751419090512</v>
      </c>
      <c r="AC55" s="618">
        <f>-G57*0.25</f>
        <v>0.20270238920819472</v>
      </c>
      <c r="AD55" s="592"/>
      <c r="AE55" s="593"/>
    </row>
    <row r="56" spans="5:31" ht="10.199999999999999" customHeight="1">
      <c r="E56" s="568">
        <f>StartAng+DualIncAng*E55</f>
        <v>-35.824897120266748</v>
      </c>
      <c r="F56" s="569">
        <v>0</v>
      </c>
      <c r="G56" s="569">
        <v>0</v>
      </c>
      <c r="H56" s="570">
        <f>RedActX</f>
        <v>0.6</v>
      </c>
      <c r="I56" s="570">
        <f>RedActY</f>
        <v>-1.1000000000000001</v>
      </c>
      <c r="J56" s="531">
        <f>IF(DualSingle=2,GrnActX,0)</f>
        <v>-0.6</v>
      </c>
      <c r="K56" s="531">
        <f>IF(DualSingle=2,GrnActY,0)</f>
        <v>-1.1000000000000001</v>
      </c>
      <c r="L56" s="571">
        <f t="shared" ref="L56" si="155">ABS(COS(RADIANS(ABS(E56))))</f>
        <v>0.81080955683277889</v>
      </c>
      <c r="M56" s="572">
        <f t="shared" ref="M56" si="156">L56*SIN(RADIANS(ABS(E56)))</f>
        <v>0.47457498773427986</v>
      </c>
      <c r="N56" s="573">
        <f>IF(DualSingle=2,DEGREES(ACOS(ABS(1+(J56-J57)^2+(K56-K57)^2-GrnActX^2-GrnActY^2)/ABS(2*((J56-J57)^2+(K56-K57)^2)^0.5)-0.00000000001)),0)</f>
        <v>67.886189569808778</v>
      </c>
      <c r="O56" s="574"/>
      <c r="P56" s="531">
        <f>ABS(SIN(RADIANS(N56))*IF(WindFactor=1,SIN(RADIANS(E56)),1))</f>
        <v>0.54225343143193805</v>
      </c>
      <c r="Q56" s="575"/>
      <c r="R56" s="576">
        <f t="shared" ref="R56:S56" si="157">R59</f>
        <v>-0.19391711156364869</v>
      </c>
      <c r="S56" s="534">
        <f t="shared" si="157"/>
        <v>0.29781880662336435</v>
      </c>
      <c r="T56" s="577"/>
      <c r="U56" s="578"/>
      <c r="V56" s="619">
        <f t="shared" ref="V56:AC56" si="158">V59</f>
        <v>-0.54565061793227299</v>
      </c>
      <c r="W56" s="620">
        <f t="shared" si="158"/>
        <v>0.83801277027866861</v>
      </c>
      <c r="X56" s="620">
        <f t="shared" si="158"/>
        <v>-0.40923796344920471</v>
      </c>
      <c r="Y56" s="620">
        <f t="shared" si="158"/>
        <v>0.62850957770900151</v>
      </c>
      <c r="Z56" s="620">
        <f t="shared" si="158"/>
        <v>-0.27282530896613649</v>
      </c>
      <c r="AA56" s="620">
        <f t="shared" si="158"/>
        <v>0.4190063851393343</v>
      </c>
      <c r="AB56" s="620">
        <f t="shared" si="158"/>
        <v>-0.13641265448306825</v>
      </c>
      <c r="AC56" s="621">
        <f t="shared" si="158"/>
        <v>0.20950319256966715</v>
      </c>
      <c r="AD56" s="592"/>
      <c r="AE56" s="593"/>
    </row>
    <row r="57" spans="5:31" ht="10.199999999999999" customHeight="1">
      <c r="E57" s="568"/>
      <c r="F57" s="569">
        <f>SIN(RADIANS(E56-180))*DualRadius</f>
        <v>0.58531005676362047</v>
      </c>
      <c r="G57" s="569">
        <f>COS(RADIANS(E56-180))*DualRadius</f>
        <v>-0.81080955683277889</v>
      </c>
      <c r="H57" s="570">
        <f t="shared" ref="H57" si="159">F57</f>
        <v>0.58531005676362047</v>
      </c>
      <c r="I57" s="570">
        <f t="shared" ref="I57" si="160">G57</f>
        <v>-0.81080955683277889</v>
      </c>
      <c r="J57" s="531">
        <f>IF(DualSingle=2,F57,0)</f>
        <v>0.58531005676362047</v>
      </c>
      <c r="K57" s="531">
        <f>IF(DualSingle=2,G57,0)</f>
        <v>-0.81080955683277889</v>
      </c>
      <c r="L57" s="574"/>
      <c r="M57" s="578"/>
      <c r="N57" s="577"/>
      <c r="O57" s="574"/>
      <c r="P57" s="574"/>
      <c r="Q57" s="575"/>
      <c r="R57" s="581"/>
      <c r="S57" s="512"/>
      <c r="T57" s="577"/>
      <c r="U57" s="578"/>
      <c r="V57" s="622"/>
      <c r="W57" s="623"/>
      <c r="X57" s="623"/>
      <c r="Y57" s="623"/>
      <c r="Z57" s="623"/>
      <c r="AA57" s="623"/>
      <c r="AB57" s="623"/>
      <c r="AC57" s="624"/>
      <c r="AD57" s="592"/>
      <c r="AE57" s="593"/>
    </row>
    <row r="58" spans="5:31" ht="10.199999999999999" customHeight="1" thickBot="1">
      <c r="E58" s="582"/>
      <c r="F58" s="583"/>
      <c r="G58" s="583"/>
      <c r="H58" s="583"/>
      <c r="I58" s="583"/>
      <c r="J58" s="583"/>
      <c r="K58" s="583"/>
      <c r="L58" s="583"/>
      <c r="M58" s="584"/>
      <c r="N58" s="585"/>
      <c r="O58" s="586"/>
      <c r="P58" s="586"/>
      <c r="Q58" s="587"/>
      <c r="R58" s="588"/>
      <c r="S58" s="589"/>
      <c r="T58" s="585"/>
      <c r="U58" s="584"/>
      <c r="V58" s="625"/>
      <c r="W58" s="583"/>
      <c r="X58" s="583"/>
      <c r="Y58" s="583"/>
      <c r="Z58" s="583"/>
      <c r="AA58" s="583"/>
      <c r="AB58" s="583"/>
      <c r="AC58" s="626"/>
      <c r="AD58" s="592"/>
      <c r="AE58" s="593"/>
    </row>
    <row r="59" spans="5:31" ht="10.199999999999999" customHeight="1">
      <c r="E59" s="554">
        <f t="shared" ref="E59" si="161">E55+1</f>
        <v>13</v>
      </c>
      <c r="F59" s="555">
        <f>IF(WindFactor=1,M59,L59)*DualRadius</f>
        <v>-0.29773459684987158</v>
      </c>
      <c r="G59" s="555">
        <f>IF(WindFactor=1,M60,L60)*DualRadius</f>
        <v>0.45726218593769158</v>
      </c>
      <c r="H59" s="570">
        <f ca="1">((H60-H61)/((H60-H61)^2+(I60-I61)^2)^0.5)*ActBodyLenFact+H60</f>
        <v>0.6</v>
      </c>
      <c r="I59" s="570">
        <f ca="1">((I60-I61)/((H60-H61)^2+(I60-I61)^2)^0.5)*ActBodyLenFact+I60</f>
        <v>-1.1000000000000001</v>
      </c>
      <c r="J59" s="531">
        <f ca="1">IFERROR(((J60-J61)/((J60-J61)^2+(K60-K61)^2)^0.5)*ActBodyLenFact,0)+J60</f>
        <v>-0.6</v>
      </c>
      <c r="K59" s="531">
        <f ca="1">IFERROR(((K60-K61)/((J60-J61)^2+(K60-K61)^2)^0.5)*ActBodyLenFact,0)+K60</f>
        <v>-1.1000000000000001</v>
      </c>
      <c r="L59" s="557">
        <f t="shared" ref="L59" si="162">SIN(RADIANS(E60))</f>
        <v>-0.54565061793227321</v>
      </c>
      <c r="M59" s="558">
        <f t="shared" ref="M59" si="163">L59*SIN(RADIANS(ABS(E60)))</f>
        <v>-0.29773459684987158</v>
      </c>
      <c r="N59" s="559">
        <f>IFERROR(DEGREES(ACOS(ABS(1+(H60-H61)^2+(I60-I61)^2-RedActX^2-RedActY^2)/ABS(2*((H60-H61)^2+(I60-I61)^2)^0.5)-0.00000000001)),90)</f>
        <v>21.34933387349286</v>
      </c>
      <c r="O59" s="556">
        <f>ABS(SIN(RADIANS(N59))*IF(WindFactor=1,SIN(RADIANS(E60)),1))</f>
        <v>0.19864591779575572</v>
      </c>
      <c r="P59" s="560"/>
      <c r="Q59" s="561">
        <f t="shared" ref="Q59" si="164">+O59+P60</f>
        <v>0.71077390986375821</v>
      </c>
      <c r="R59" s="562">
        <f t="shared" ref="R59" si="165">-F61*Q59/2</f>
        <v>-0.19391711156364869</v>
      </c>
      <c r="S59" s="563">
        <f t="shared" ref="S59" si="166">-G61*Q59/2</f>
        <v>0.29781880662336435</v>
      </c>
      <c r="T59" s="564">
        <f t="shared" ref="T59" si="167">((H60-H61)^2+(I60-I61)^2)^0.5</f>
        <v>0.26756525160827871</v>
      </c>
      <c r="U59" s="565">
        <f t="shared" ref="U59" si="168">((J60-J61)^2+(K60-K61)^2)^0.5</f>
        <v>1.1752245091494886</v>
      </c>
      <c r="V59" s="616">
        <f>-F61*1</f>
        <v>-0.54565061793227299</v>
      </c>
      <c r="W59" s="617">
        <f>-G61*1</f>
        <v>0.83801277027866861</v>
      </c>
      <c r="X59" s="617">
        <f>-F61*0.75</f>
        <v>-0.40923796344920471</v>
      </c>
      <c r="Y59" s="617">
        <f>-G61*0.75</f>
        <v>0.62850957770900151</v>
      </c>
      <c r="Z59" s="617">
        <f>-F61*0.5</f>
        <v>-0.27282530896613649</v>
      </c>
      <c r="AA59" s="617">
        <f>-G61*0.5</f>
        <v>0.4190063851393343</v>
      </c>
      <c r="AB59" s="617">
        <f>-F61*0.25</f>
        <v>-0.13641265448306825</v>
      </c>
      <c r="AC59" s="618">
        <f>-G61*0.25</f>
        <v>0.20950319256966715</v>
      </c>
      <c r="AD59" s="592"/>
      <c r="AE59" s="593"/>
    </row>
    <row r="60" spans="5:31" ht="10.199999999999999" customHeight="1">
      <c r="E60" s="568">
        <f>StartAng+DualIncAng*E59</f>
        <v>-33.06913580332315</v>
      </c>
      <c r="F60" s="569">
        <v>0</v>
      </c>
      <c r="G60" s="569">
        <v>0</v>
      </c>
      <c r="H60" s="570">
        <f>RedActX</f>
        <v>0.6</v>
      </c>
      <c r="I60" s="570">
        <f>RedActY</f>
        <v>-1.1000000000000001</v>
      </c>
      <c r="J60" s="531">
        <f>IF(DualSingle=2,GrnActX,0)</f>
        <v>-0.6</v>
      </c>
      <c r="K60" s="531">
        <f>IF(DualSingle=2,GrnActY,0)</f>
        <v>-1.1000000000000001</v>
      </c>
      <c r="L60" s="571">
        <f t="shared" ref="L60" si="169">ABS(COS(RADIANS(ABS(E60))))</f>
        <v>0.8380127702786685</v>
      </c>
      <c r="M60" s="572">
        <f t="shared" ref="M60" si="170">L60*SIN(RADIANS(ABS(E60)))</f>
        <v>0.45726218593769158</v>
      </c>
      <c r="N60" s="573">
        <f>IF(DualSingle=2,DEGREES(ACOS(ABS(1+(J60-J61)^2+(K60-K61)^2-GrnActX^2-GrnActY^2)/ABS(2*((J60-J61)^2+(K60-K61)^2)^0.5)-0.00000000001)),0)</f>
        <v>69.811770140120444</v>
      </c>
      <c r="O60" s="574"/>
      <c r="P60" s="531">
        <f>ABS(SIN(RADIANS(N60))*IF(WindFactor=1,SIN(RADIANS(E60)),1))</f>
        <v>0.51212799206800252</v>
      </c>
      <c r="Q60" s="575"/>
      <c r="R60" s="576">
        <f t="shared" ref="R60:S60" si="171">R63</f>
        <v>-0.13957714493935061</v>
      </c>
      <c r="S60" s="534">
        <f t="shared" si="171"/>
        <v>0.2387297109578842</v>
      </c>
      <c r="T60" s="577"/>
      <c r="U60" s="578"/>
      <c r="V60" s="619">
        <f t="shared" ref="V60:AC60" si="172">V63</f>
        <v>-0.50472915147481845</v>
      </c>
      <c r="W60" s="620">
        <f t="shared" si="172"/>
        <v>0.86327775579561283</v>
      </c>
      <c r="X60" s="620">
        <f t="shared" si="172"/>
        <v>-0.37854686360611384</v>
      </c>
      <c r="Y60" s="620">
        <f t="shared" si="172"/>
        <v>0.64745831684670963</v>
      </c>
      <c r="Z60" s="620">
        <f t="shared" si="172"/>
        <v>-0.25236457573740922</v>
      </c>
      <c r="AA60" s="620">
        <f t="shared" si="172"/>
        <v>0.43163887789780642</v>
      </c>
      <c r="AB60" s="620">
        <f t="shared" si="172"/>
        <v>-0.12618228786870461</v>
      </c>
      <c r="AC60" s="621">
        <f t="shared" si="172"/>
        <v>0.21581943894890321</v>
      </c>
      <c r="AD60" s="592"/>
      <c r="AE60" s="593"/>
    </row>
    <row r="61" spans="5:31" ht="10.199999999999999" customHeight="1">
      <c r="E61" s="568"/>
      <c r="F61" s="569">
        <f>SIN(RADIANS(E60-180))*DualRadius</f>
        <v>0.54565061793227299</v>
      </c>
      <c r="G61" s="569">
        <f>COS(RADIANS(E60-180))*DualRadius</f>
        <v>-0.83801277027866861</v>
      </c>
      <c r="H61" s="570">
        <f t="shared" ref="H61" si="173">F61</f>
        <v>0.54565061793227299</v>
      </c>
      <c r="I61" s="570">
        <f t="shared" ref="I61" si="174">G61</f>
        <v>-0.83801277027866861</v>
      </c>
      <c r="J61" s="531">
        <f>IF(DualSingle=2,F61,0)</f>
        <v>0.54565061793227299</v>
      </c>
      <c r="K61" s="531">
        <f>IF(DualSingle=2,G61,0)</f>
        <v>-0.83801277027866861</v>
      </c>
      <c r="L61" s="574"/>
      <c r="M61" s="578"/>
      <c r="N61" s="577"/>
      <c r="O61" s="574"/>
      <c r="P61" s="574"/>
      <c r="Q61" s="575"/>
      <c r="R61" s="581"/>
      <c r="S61" s="512"/>
      <c r="T61" s="577"/>
      <c r="U61" s="578"/>
      <c r="V61" s="622"/>
      <c r="W61" s="623"/>
      <c r="X61" s="623"/>
      <c r="Y61" s="623"/>
      <c r="Z61" s="623"/>
      <c r="AA61" s="623"/>
      <c r="AB61" s="623"/>
      <c r="AC61" s="624"/>
      <c r="AD61" s="592"/>
      <c r="AE61" s="593"/>
    </row>
    <row r="62" spans="5:31" ht="10.199999999999999" customHeight="1" thickBot="1">
      <c r="E62" s="582"/>
      <c r="F62" s="583"/>
      <c r="G62" s="583"/>
      <c r="H62" s="583"/>
      <c r="I62" s="583"/>
      <c r="J62" s="583"/>
      <c r="K62" s="583"/>
      <c r="L62" s="583"/>
      <c r="M62" s="584"/>
      <c r="N62" s="585"/>
      <c r="O62" s="586"/>
      <c r="P62" s="586"/>
      <c r="Q62" s="587"/>
      <c r="R62" s="588"/>
      <c r="S62" s="589"/>
      <c r="T62" s="585"/>
      <c r="U62" s="584"/>
      <c r="V62" s="625"/>
      <c r="W62" s="583"/>
      <c r="X62" s="583"/>
      <c r="Y62" s="583"/>
      <c r="Z62" s="583"/>
      <c r="AA62" s="583"/>
      <c r="AB62" s="583"/>
      <c r="AC62" s="626"/>
      <c r="AD62" s="592"/>
      <c r="AE62" s="593"/>
    </row>
    <row r="63" spans="5:31" ht="10.199999999999999" customHeight="1">
      <c r="E63" s="554">
        <f t="shared" ref="E63" si="175">E59+1</f>
        <v>14</v>
      </c>
      <c r="F63" s="555">
        <f>IF(WindFactor=1,M63,L63)*DualRadius</f>
        <v>-0.25475151634849036</v>
      </c>
      <c r="G63" s="555">
        <f>IF(WindFactor=1,M64,L64)*DualRadius</f>
        <v>0.43572144916980532</v>
      </c>
      <c r="H63" s="570">
        <f ca="1">((H64-H65)/((H64-H65)^2+(I64-I65)^2)^0.5)*ActBodyLenFact+H64</f>
        <v>0.6</v>
      </c>
      <c r="I63" s="570">
        <f ca="1">((I64-I65)/((H64-H65)^2+(I64-I65)^2)^0.5)*ActBodyLenFact+I64</f>
        <v>-1.1000000000000001</v>
      </c>
      <c r="J63" s="531">
        <f ca="1">IFERROR(((J64-J65)/((J64-J65)^2+(K64-K65)^2)^0.5)*ActBodyLenFact,0)+J64</f>
        <v>-0.6</v>
      </c>
      <c r="K63" s="531">
        <f ca="1">IFERROR(((K64-K65)/((J64-J65)^2+(K64-K65)^2)^0.5)*ActBodyLenFact,0)+K64</f>
        <v>-1.1000000000000001</v>
      </c>
      <c r="L63" s="557">
        <f t="shared" ref="L63" si="176">SIN(RADIANS(E64))</f>
        <v>-0.50472915147481856</v>
      </c>
      <c r="M63" s="558">
        <f t="shared" ref="M63" si="177">L63*SIN(RADIANS(ABS(E64)))</f>
        <v>-0.25475151634849036</v>
      </c>
      <c r="N63" s="559">
        <f>IFERROR(DEGREES(ACOS(ABS(1+(H64-H65)^2+(I64-I65)^2-RedActX^2-RedActY^2)/ABS(2*((H64-H65)^2+(I64-I65)^2)^0.5)-0.00000000001)),90)</f>
        <v>8.3906419803680841</v>
      </c>
      <c r="O63" s="556">
        <f>ABS(SIN(RADIANS(N63))*IF(WindFactor=1,SIN(RADIANS(E64)),1))</f>
        <v>7.3650809888675617E-2</v>
      </c>
      <c r="P63" s="560"/>
      <c r="Q63" s="561">
        <f t="shared" ref="Q63" si="178">+O63+P64</f>
        <v>0.55307740609594758</v>
      </c>
      <c r="R63" s="562">
        <f t="shared" ref="R63" si="179">-F65*Q63/2</f>
        <v>-0.13957714493935061</v>
      </c>
      <c r="S63" s="563">
        <f t="shared" ref="S63" si="180">-G65*Q63/2</f>
        <v>0.2387297109578842</v>
      </c>
      <c r="T63" s="564">
        <f t="shared" ref="T63" si="181">((H64-H65)^2+(I64-I65)^2)^0.5</f>
        <v>0.25517436289696038</v>
      </c>
      <c r="U63" s="565">
        <f t="shared" ref="U63" si="182">((J64-J65)^2+(K64-K65)^2)^0.5</f>
        <v>1.1298070273367189</v>
      </c>
      <c r="V63" s="616">
        <f>-F65*1</f>
        <v>-0.50472915147481845</v>
      </c>
      <c r="W63" s="617">
        <f>-G65*1</f>
        <v>0.86327775579561283</v>
      </c>
      <c r="X63" s="617">
        <f>-F65*0.75</f>
        <v>-0.37854686360611384</v>
      </c>
      <c r="Y63" s="617">
        <f>-G65*0.75</f>
        <v>0.64745831684670963</v>
      </c>
      <c r="Z63" s="617">
        <f>-F65*0.5</f>
        <v>-0.25236457573740922</v>
      </c>
      <c r="AA63" s="617">
        <f>-G65*0.5</f>
        <v>0.43163887789780642</v>
      </c>
      <c r="AB63" s="617">
        <f>-F65*0.25</f>
        <v>-0.12618228786870461</v>
      </c>
      <c r="AC63" s="618">
        <f>-G65*0.25</f>
        <v>0.21581943894890321</v>
      </c>
      <c r="AD63" s="592"/>
      <c r="AE63" s="593"/>
    </row>
    <row r="64" spans="5:31">
      <c r="E64" s="568">
        <f>StartAng+DualIncAng*E63</f>
        <v>-30.313374486379558</v>
      </c>
      <c r="F64" s="569">
        <v>0</v>
      </c>
      <c r="G64" s="569">
        <v>0</v>
      </c>
      <c r="H64" s="570">
        <f>RedActX</f>
        <v>0.6</v>
      </c>
      <c r="I64" s="570">
        <f>RedActY</f>
        <v>-1.1000000000000001</v>
      </c>
      <c r="J64" s="531">
        <f>IF(DualSingle=2,GrnActX,0)</f>
        <v>-0.6</v>
      </c>
      <c r="K64" s="531">
        <f>IF(DualSingle=2,GrnActY,0)</f>
        <v>-1.1000000000000001</v>
      </c>
      <c r="L64" s="571">
        <f t="shared" ref="L64" si="183">ABS(COS(RADIANS(ABS(E64))))</f>
        <v>0.86327775579561283</v>
      </c>
      <c r="M64" s="572">
        <f t="shared" ref="M64" si="184">L64*SIN(RADIANS(ABS(E64)))</f>
        <v>0.43572144916980532</v>
      </c>
      <c r="N64" s="573">
        <f>IF(DualSingle=2,DEGREES(ACOS(ABS(1+(J64-J65)^2+(K64-K65)^2-GrnActX^2-GrnActY^2)/ABS(2*((J64-J65)^2+(K64-K65)^2)^0.5)-0.00000000001)),0)</f>
        <v>71.781113277690892</v>
      </c>
      <c r="O64" s="574"/>
      <c r="P64" s="531">
        <f>ABS(SIN(RADIANS(N64))*IF(WindFactor=1,SIN(RADIANS(E64)),1))</f>
        <v>0.47942659620727196</v>
      </c>
      <c r="Q64" s="575"/>
      <c r="R64" s="576">
        <f t="shared" ref="R64:S64" si="185">R67</f>
        <v>-0.11247577967902576</v>
      </c>
      <c r="S64" s="534">
        <f t="shared" si="185"/>
        <v>0.21553453191632943</v>
      </c>
      <c r="T64" s="577"/>
      <c r="U64" s="578"/>
      <c r="V64" s="619">
        <f t="shared" ref="V64:AC64" si="186">V67</f>
        <v>-0.4626403040744505</v>
      </c>
      <c r="W64" s="620">
        <f t="shared" si="186"/>
        <v>0.88654607835458843</v>
      </c>
      <c r="X64" s="620">
        <f t="shared" si="186"/>
        <v>-0.34698022805583789</v>
      </c>
      <c r="Y64" s="620">
        <f t="shared" si="186"/>
        <v>0.66490955876594127</v>
      </c>
      <c r="Z64" s="620">
        <f t="shared" si="186"/>
        <v>-0.23132015203722525</v>
      </c>
      <c r="AA64" s="620">
        <f t="shared" si="186"/>
        <v>0.44327303917729421</v>
      </c>
      <c r="AB64" s="620">
        <f t="shared" si="186"/>
        <v>-0.11566007601861263</v>
      </c>
      <c r="AC64" s="621">
        <f t="shared" si="186"/>
        <v>0.22163651958864711</v>
      </c>
      <c r="AD64" s="592"/>
      <c r="AE64" s="593"/>
    </row>
    <row r="65" spans="5:31">
      <c r="E65" s="568"/>
      <c r="F65" s="569">
        <f>SIN(RADIANS(E64-180))*DualRadius</f>
        <v>0.50472915147481845</v>
      </c>
      <c r="G65" s="569">
        <f>COS(RADIANS(E64-180))*DualRadius</f>
        <v>-0.86327775579561283</v>
      </c>
      <c r="H65" s="570">
        <f t="shared" ref="H65" si="187">F65</f>
        <v>0.50472915147481845</v>
      </c>
      <c r="I65" s="570">
        <f t="shared" ref="I65" si="188">G65</f>
        <v>-0.86327775579561283</v>
      </c>
      <c r="J65" s="531">
        <f>IF(DualSingle=2,F65,0)</f>
        <v>0.50472915147481845</v>
      </c>
      <c r="K65" s="531">
        <f>IF(DualSingle=2,G65,0)</f>
        <v>-0.86327775579561283</v>
      </c>
      <c r="L65" s="574"/>
      <c r="M65" s="578"/>
      <c r="N65" s="577"/>
      <c r="O65" s="574"/>
      <c r="P65" s="574"/>
      <c r="Q65" s="575"/>
      <c r="R65" s="581"/>
      <c r="S65" s="512"/>
      <c r="T65" s="577"/>
      <c r="U65" s="578"/>
      <c r="V65" s="622"/>
      <c r="W65" s="623"/>
      <c r="X65" s="623"/>
      <c r="Y65" s="623"/>
      <c r="Z65" s="623"/>
      <c r="AA65" s="623"/>
      <c r="AB65" s="623"/>
      <c r="AC65" s="624"/>
      <c r="AD65" s="592"/>
      <c r="AE65" s="593"/>
    </row>
    <row r="66" spans="5:31" ht="14.4" thickBot="1">
      <c r="E66" s="582"/>
      <c r="F66" s="583"/>
      <c r="G66" s="583"/>
      <c r="H66" s="583"/>
      <c r="I66" s="583"/>
      <c r="J66" s="583"/>
      <c r="K66" s="583"/>
      <c r="L66" s="583"/>
      <c r="M66" s="584"/>
      <c r="N66" s="585"/>
      <c r="O66" s="586"/>
      <c r="P66" s="586"/>
      <c r="Q66" s="587"/>
      <c r="R66" s="588"/>
      <c r="S66" s="589"/>
      <c r="T66" s="585"/>
      <c r="U66" s="584"/>
      <c r="V66" s="625"/>
      <c r="W66" s="583"/>
      <c r="X66" s="583"/>
      <c r="Y66" s="583"/>
      <c r="Z66" s="583"/>
      <c r="AA66" s="583"/>
      <c r="AB66" s="583"/>
      <c r="AC66" s="626"/>
      <c r="AD66" s="592"/>
      <c r="AE66" s="593"/>
    </row>
    <row r="67" spans="5:31">
      <c r="E67" s="554">
        <f t="shared" ref="E67" si="189">E63+1</f>
        <v>15</v>
      </c>
      <c r="F67" s="555">
        <f>IF(WindFactor=1,M67,L67)*DualRadius</f>
        <v>-0.21403605095409986</v>
      </c>
      <c r="G67" s="555">
        <f>IF(WindFactor=1,M68,L68)*DualRadius</f>
        <v>0.41015194726597826</v>
      </c>
      <c r="H67" s="570">
        <f ca="1">((H68-H69)/((H68-H69)^2+(I68-I69)^2)^0.5)*ActBodyLenFact+H68</f>
        <v>0.6</v>
      </c>
      <c r="I67" s="570">
        <f ca="1">((I68-I69)/((H68-H69)^2+(I68-I69)^2)^0.5)*ActBodyLenFact+I68</f>
        <v>-1.1000000000000001</v>
      </c>
      <c r="J67" s="531">
        <f ca="1">IFERROR(((J68-J69)/((J68-J69)^2+(K68-K69)^2)^0.5)*ActBodyLenFact,0)+J68</f>
        <v>-0.6</v>
      </c>
      <c r="K67" s="531">
        <f ca="1">IFERROR(((K68-K69)/((J68-J69)^2+(K68-K69)^2)^0.5)*ActBodyLenFact,0)+K68</f>
        <v>-1.1000000000000001</v>
      </c>
      <c r="L67" s="557">
        <f t="shared" ref="L67" si="190">SIN(RADIANS(E68))</f>
        <v>-0.46264030407445034</v>
      </c>
      <c r="M67" s="558">
        <f t="shared" ref="M67" si="191">L67*SIN(RADIANS(ABS(E68)))</f>
        <v>-0.21403605095409986</v>
      </c>
      <c r="N67" s="559">
        <f>IFERROR(DEGREES(ACOS(ABS(1+(H68-H69)^2+(I68-I69)^2-RedActX^2-RedActY^2)/ABS(2*((H68-H69)^2+(I68-I69)^2)^0.5)-0.00000000001)),90)</f>
        <v>5.2040659439024743</v>
      </c>
      <c r="O67" s="556">
        <f>ABS(SIN(RADIANS(N67))*IF(WindFactor=1,SIN(RADIANS(E68)),1))</f>
        <v>4.1962980094070158E-2</v>
      </c>
      <c r="P67" s="560"/>
      <c r="Q67" s="561">
        <f t="shared" ref="Q67" si="192">+O67+P68</f>
        <v>0.48623424586425817</v>
      </c>
      <c r="R67" s="562">
        <f t="shared" ref="R67" si="193">-F69*Q67/2</f>
        <v>-0.11247577967902576</v>
      </c>
      <c r="S67" s="563">
        <f t="shared" ref="S67" si="194">-G69*Q67/2</f>
        <v>0.21553453191632943</v>
      </c>
      <c r="T67" s="564">
        <f t="shared" ref="T67" si="195">((H68-H69)^2+(I68-I69)^2)^0.5</f>
        <v>0.25383116973800707</v>
      </c>
      <c r="U67" s="565">
        <f t="shared" ref="U67" si="196">((J68-J69)^2+(K68-K69)^2)^0.5</f>
        <v>1.0838666857640964</v>
      </c>
      <c r="V67" s="616">
        <f>-F69*1</f>
        <v>-0.4626403040744505</v>
      </c>
      <c r="W67" s="617">
        <f>-G69*1</f>
        <v>0.88654607835458843</v>
      </c>
      <c r="X67" s="617">
        <f>-F69*0.75</f>
        <v>-0.34698022805583789</v>
      </c>
      <c r="Y67" s="617">
        <f>-G69*0.75</f>
        <v>0.66490955876594127</v>
      </c>
      <c r="Z67" s="617">
        <f>-F69*0.5</f>
        <v>-0.23132015203722525</v>
      </c>
      <c r="AA67" s="617">
        <f>-G69*0.5</f>
        <v>0.44327303917729421</v>
      </c>
      <c r="AB67" s="617">
        <f>-F69*0.25</f>
        <v>-0.11566007601861263</v>
      </c>
      <c r="AC67" s="618">
        <f>-G69*0.25</f>
        <v>0.22163651958864711</v>
      </c>
      <c r="AD67" s="592"/>
      <c r="AE67" s="593"/>
    </row>
    <row r="68" spans="5:31">
      <c r="E68" s="568">
        <f>StartAng+DualIncAng*E67</f>
        <v>-27.55761316943596</v>
      </c>
      <c r="F68" s="569">
        <v>0</v>
      </c>
      <c r="G68" s="569">
        <v>0</v>
      </c>
      <c r="H68" s="570">
        <f>RedActX</f>
        <v>0.6</v>
      </c>
      <c r="I68" s="570">
        <f>RedActY</f>
        <v>-1.1000000000000001</v>
      </c>
      <c r="J68" s="531">
        <f>IF(DualSingle=2,GrnActX,0)</f>
        <v>-0.6</v>
      </c>
      <c r="K68" s="531">
        <f>IF(DualSingle=2,GrnActY,0)</f>
        <v>-1.1000000000000001</v>
      </c>
      <c r="L68" s="571">
        <f t="shared" ref="L68" si="197">ABS(COS(RADIANS(ABS(E68))))</f>
        <v>0.88654607835458843</v>
      </c>
      <c r="M68" s="572">
        <f t="shared" ref="M68" si="198">L68*SIN(RADIANS(ABS(E68)))</f>
        <v>0.41015194726597826</v>
      </c>
      <c r="N68" s="573">
        <f>IF(DualSingle=2,DEGREES(ACOS(ABS(1+(J68-J69)^2+(K68-K69)^2-GrnActX^2-GrnActY^2)/ABS(2*((J68-J69)^2+(K68-K69)^2)^0.5)-0.00000000001)),0)</f>
        <v>73.800312079613164</v>
      </c>
      <c r="O68" s="574"/>
      <c r="P68" s="531">
        <f>ABS(SIN(RADIANS(N68))*IF(WindFactor=1,SIN(RADIANS(E68)),1))</f>
        <v>0.444271265770188</v>
      </c>
      <c r="Q68" s="575"/>
      <c r="R68" s="576">
        <f t="shared" ref="R68:S68" si="199">R71</f>
        <v>-0.11309096430198476</v>
      </c>
      <c r="S68" s="534">
        <f t="shared" si="199"/>
        <v>0.24473049744777459</v>
      </c>
      <c r="T68" s="577"/>
      <c r="U68" s="578"/>
      <c r="V68" s="619">
        <f t="shared" ref="V68:AC68" si="200">V71</f>
        <v>-0.41948142243329734</v>
      </c>
      <c r="W68" s="620">
        <f t="shared" si="200"/>
        <v>0.90776392098019487</v>
      </c>
      <c r="X68" s="620">
        <f t="shared" si="200"/>
        <v>-0.31461106682497297</v>
      </c>
      <c r="Y68" s="620">
        <f t="shared" si="200"/>
        <v>0.68082294073514615</v>
      </c>
      <c r="Z68" s="620">
        <f t="shared" si="200"/>
        <v>-0.20974071121664867</v>
      </c>
      <c r="AA68" s="620">
        <f t="shared" si="200"/>
        <v>0.45388196049009744</v>
      </c>
      <c r="AB68" s="620">
        <f t="shared" si="200"/>
        <v>-0.10487035560832433</v>
      </c>
      <c r="AC68" s="621">
        <f t="shared" si="200"/>
        <v>0.22694098024504872</v>
      </c>
      <c r="AD68" s="592"/>
      <c r="AE68" s="593"/>
    </row>
    <row r="69" spans="5:31">
      <c r="E69" s="568"/>
      <c r="F69" s="569">
        <f>SIN(RADIANS(E68-180))*DualRadius</f>
        <v>0.4626403040744505</v>
      </c>
      <c r="G69" s="569">
        <f>COS(RADIANS(E68-180))*DualRadius</f>
        <v>-0.88654607835458843</v>
      </c>
      <c r="H69" s="570">
        <f t="shared" ref="H69" si="201">F69</f>
        <v>0.4626403040744505</v>
      </c>
      <c r="I69" s="570">
        <f t="shared" ref="I69" si="202">G69</f>
        <v>-0.88654607835458843</v>
      </c>
      <c r="J69" s="531">
        <f>IF(DualSingle=2,F69,0)</f>
        <v>0.4626403040744505</v>
      </c>
      <c r="K69" s="531">
        <f>IF(DualSingle=2,G69,0)</f>
        <v>-0.88654607835458843</v>
      </c>
      <c r="L69" s="574"/>
      <c r="M69" s="578"/>
      <c r="N69" s="577"/>
      <c r="O69" s="574"/>
      <c r="P69" s="574"/>
      <c r="Q69" s="575"/>
      <c r="R69" s="581"/>
      <c r="S69" s="512"/>
      <c r="T69" s="577"/>
      <c r="U69" s="578"/>
      <c r="V69" s="622"/>
      <c r="W69" s="623"/>
      <c r="X69" s="623"/>
      <c r="Y69" s="623"/>
      <c r="Z69" s="623"/>
      <c r="AA69" s="623"/>
      <c r="AB69" s="623"/>
      <c r="AC69" s="624"/>
      <c r="AD69" s="592"/>
      <c r="AE69" s="593"/>
    </row>
    <row r="70" spans="5:31" ht="14.4" thickBot="1">
      <c r="E70" s="582"/>
      <c r="F70" s="583"/>
      <c r="G70" s="583"/>
      <c r="H70" s="583"/>
      <c r="I70" s="583"/>
      <c r="J70" s="583"/>
      <c r="K70" s="583"/>
      <c r="L70" s="583"/>
      <c r="M70" s="584"/>
      <c r="N70" s="585"/>
      <c r="O70" s="586"/>
      <c r="P70" s="586"/>
      <c r="Q70" s="587"/>
      <c r="R70" s="588"/>
      <c r="S70" s="589"/>
      <c r="T70" s="585"/>
      <c r="U70" s="584"/>
      <c r="V70" s="625"/>
      <c r="W70" s="583"/>
      <c r="X70" s="583"/>
      <c r="Y70" s="583"/>
      <c r="Z70" s="583"/>
      <c r="AA70" s="583"/>
      <c r="AB70" s="583"/>
      <c r="AC70" s="626"/>
      <c r="AD70" s="592"/>
      <c r="AE70" s="593"/>
    </row>
    <row r="71" spans="5:31">
      <c r="E71" s="554">
        <f t="shared" ref="E71" si="203">E67+1</f>
        <v>16</v>
      </c>
      <c r="F71" s="555">
        <f>IF(WindFactor=1,M71,L71)*DualRadius</f>
        <v>-0.17596466376666281</v>
      </c>
      <c r="G71" s="555">
        <f>IF(WindFactor=1,M72,L72)*DualRadius</f>
        <v>0.3807901008063998</v>
      </c>
      <c r="H71" s="570">
        <f ca="1">((H72-H73)/((H72-H73)^2+(I72-I73)^2)^0.5)*ActBodyLenFact+H72</f>
        <v>0.6</v>
      </c>
      <c r="I71" s="570">
        <f ca="1">((I72-I73)/((H72-H73)^2+(I72-I73)^2)^0.5)*ActBodyLenFact+I72</f>
        <v>-1.1000000000000001</v>
      </c>
      <c r="J71" s="531">
        <f ca="1">IFERROR(((J72-J73)/((J72-J73)^2+(K72-K73)^2)^0.5)*ActBodyLenFact,0)+J72</f>
        <v>-0.6</v>
      </c>
      <c r="K71" s="531">
        <f ca="1">IFERROR(((K72-K73)/((J72-J73)^2+(K72-K73)^2)^0.5)*ActBodyLenFact,0)+K72</f>
        <v>-1.1000000000000001</v>
      </c>
      <c r="L71" s="557">
        <f t="shared" ref="L71" si="204">SIN(RADIANS(E72))</f>
        <v>-0.41948142243329778</v>
      </c>
      <c r="M71" s="558">
        <f t="shared" ref="M71" si="205">L71*SIN(RADIANS(ABS(E72)))</f>
        <v>-0.17596466376666281</v>
      </c>
      <c r="N71" s="559">
        <f>IFERROR(DEGREES(ACOS(ABS(1+(H72-H73)^2+(I72-I73)^2-RedActX^2-RedActY^2)/ABS(2*((H72-H73)^2+(I72-I73)^2)^0.5)-0.00000000001)),90)</f>
        <v>18.397654547321082</v>
      </c>
      <c r="O71" s="556">
        <f>ABS(SIN(RADIANS(N71))*IF(WindFactor=1,SIN(RADIANS(E72)),1))</f>
        <v>0.1323926129524759</v>
      </c>
      <c r="P71" s="560"/>
      <c r="Q71" s="561">
        <f t="shared" ref="Q71" si="206">+O71+P72</f>
        <v>0.53919414903275054</v>
      </c>
      <c r="R71" s="562">
        <f t="shared" ref="R71" si="207">-F73*Q71/2</f>
        <v>-0.11309096430198476</v>
      </c>
      <c r="S71" s="563">
        <f t="shared" ref="S71" si="208">-G73*Q71/2</f>
        <v>0.24473049744777459</v>
      </c>
      <c r="T71" s="564">
        <f t="shared" ref="T71" si="209">((H72-H73)^2+(I72-I73)^2)^0.5</f>
        <v>0.26370754051337714</v>
      </c>
      <c r="U71" s="565">
        <f t="shared" ref="U71" si="210">((J72-J73)^2+(K72-K73)^2)^0.5</f>
        <v>1.0374473869857344</v>
      </c>
      <c r="V71" s="616">
        <f>-F73*1</f>
        <v>-0.41948142243329734</v>
      </c>
      <c r="W71" s="617">
        <f>-G73*1</f>
        <v>0.90776392098019487</v>
      </c>
      <c r="X71" s="617">
        <f>-F73*0.75</f>
        <v>-0.31461106682497297</v>
      </c>
      <c r="Y71" s="617">
        <f>-G73*0.75</f>
        <v>0.68082294073514615</v>
      </c>
      <c r="Z71" s="617">
        <f>-F73*0.5</f>
        <v>-0.20974071121664867</v>
      </c>
      <c r="AA71" s="617">
        <f>-G73*0.5</f>
        <v>0.45388196049009744</v>
      </c>
      <c r="AB71" s="617">
        <f>-F73*0.25</f>
        <v>-0.10487035560832433</v>
      </c>
      <c r="AC71" s="618">
        <f>-G73*0.25</f>
        <v>0.22694098024504872</v>
      </c>
      <c r="AD71" s="592"/>
      <c r="AE71" s="593"/>
    </row>
    <row r="72" spans="5:31">
      <c r="E72" s="568">
        <f>StartAng+DualIncAng*E71</f>
        <v>-24.801851852492362</v>
      </c>
      <c r="F72" s="569">
        <v>0</v>
      </c>
      <c r="G72" s="569">
        <v>0</v>
      </c>
      <c r="H72" s="570">
        <f>RedActX</f>
        <v>0.6</v>
      </c>
      <c r="I72" s="570">
        <f>RedActY</f>
        <v>-1.1000000000000001</v>
      </c>
      <c r="J72" s="531">
        <f>IF(DualSingle=2,GrnActX,0)</f>
        <v>-0.6</v>
      </c>
      <c r="K72" s="531">
        <f>IF(DualSingle=2,GrnActY,0)</f>
        <v>-1.1000000000000001</v>
      </c>
      <c r="L72" s="571">
        <f t="shared" ref="L72" si="211">ABS(COS(RADIANS(ABS(E72))))</f>
        <v>0.90776392098019465</v>
      </c>
      <c r="M72" s="572">
        <f t="shared" ref="M72" si="212">L72*SIN(RADIANS(ABS(E72)))</f>
        <v>0.3807901008063998</v>
      </c>
      <c r="N72" s="573">
        <f>IF(DualSingle=2,DEGREES(ACOS(ABS(1+(J72-J73)^2+(K72-K73)^2-GrnActX^2-GrnActY^2)/ABS(2*((J72-J73)^2+(K72-K73)^2)^0.5)-0.00000000001)),0)</f>
        <v>75.876607489770976</v>
      </c>
      <c r="O72" s="574"/>
      <c r="P72" s="531">
        <f>ABS(SIN(RADIANS(N72))*IF(WindFactor=1,SIN(RADIANS(E72)),1))</f>
        <v>0.40680153608027458</v>
      </c>
      <c r="Q72" s="575"/>
      <c r="R72" s="576">
        <f t="shared" ref="R72:S72" si="213">R75</f>
        <v>-0.10448890297694266</v>
      </c>
      <c r="S72" s="534">
        <f t="shared" si="213"/>
        <v>0.25802132549836054</v>
      </c>
      <c r="T72" s="577"/>
      <c r="U72" s="578"/>
      <c r="V72" s="619">
        <f t="shared" ref="V72:AC72" si="214">V75</f>
        <v>-0.37535232812060837</v>
      </c>
      <c r="W72" s="620">
        <f t="shared" si="214"/>
        <v>0.92688220922317799</v>
      </c>
      <c r="X72" s="620">
        <f t="shared" si="214"/>
        <v>-0.28151424609045628</v>
      </c>
      <c r="Y72" s="620">
        <f t="shared" si="214"/>
        <v>0.69516165691738352</v>
      </c>
      <c r="Z72" s="620">
        <f t="shared" si="214"/>
        <v>-0.18767616406030418</v>
      </c>
      <c r="AA72" s="620">
        <f t="shared" si="214"/>
        <v>0.46344110461158899</v>
      </c>
      <c r="AB72" s="620">
        <f t="shared" si="214"/>
        <v>-9.3838082030152092E-2</v>
      </c>
      <c r="AC72" s="621">
        <f t="shared" si="214"/>
        <v>0.2317205523057945</v>
      </c>
      <c r="AD72" s="592"/>
      <c r="AE72" s="593"/>
    </row>
    <row r="73" spans="5:31">
      <c r="E73" s="568"/>
      <c r="F73" s="569">
        <f>SIN(RADIANS(E72-180))*DualRadius</f>
        <v>0.41948142243329734</v>
      </c>
      <c r="G73" s="569">
        <f>COS(RADIANS(E72-180))*DualRadius</f>
        <v>-0.90776392098019487</v>
      </c>
      <c r="H73" s="570">
        <f t="shared" ref="H73" si="215">F73</f>
        <v>0.41948142243329734</v>
      </c>
      <c r="I73" s="570">
        <f t="shared" ref="I73" si="216">G73</f>
        <v>-0.90776392098019487</v>
      </c>
      <c r="J73" s="531">
        <f>IF(DualSingle=2,F73,0)</f>
        <v>0.41948142243329734</v>
      </c>
      <c r="K73" s="531">
        <f>IF(DualSingle=2,G73,0)</f>
        <v>-0.90776392098019487</v>
      </c>
      <c r="L73" s="574"/>
      <c r="M73" s="578"/>
      <c r="N73" s="577"/>
      <c r="O73" s="574"/>
      <c r="P73" s="574"/>
      <c r="Q73" s="575"/>
      <c r="R73" s="581"/>
      <c r="S73" s="512"/>
      <c r="T73" s="577"/>
      <c r="U73" s="578"/>
      <c r="V73" s="622"/>
      <c r="W73" s="623"/>
      <c r="X73" s="623"/>
      <c r="Y73" s="623"/>
      <c r="Z73" s="623"/>
      <c r="AA73" s="623"/>
      <c r="AB73" s="623"/>
      <c r="AC73" s="624"/>
      <c r="AD73" s="592"/>
      <c r="AE73" s="593"/>
    </row>
    <row r="74" spans="5:31" ht="14.4" thickBot="1">
      <c r="E74" s="582"/>
      <c r="F74" s="583"/>
      <c r="G74" s="583"/>
      <c r="H74" s="583"/>
      <c r="I74" s="583"/>
      <c r="J74" s="583"/>
      <c r="K74" s="583"/>
      <c r="L74" s="583"/>
      <c r="M74" s="584"/>
      <c r="N74" s="585"/>
      <c r="O74" s="586"/>
      <c r="P74" s="586"/>
      <c r="Q74" s="587"/>
      <c r="R74" s="588"/>
      <c r="S74" s="589"/>
      <c r="T74" s="585"/>
      <c r="U74" s="584"/>
      <c r="V74" s="625"/>
      <c r="W74" s="583"/>
      <c r="X74" s="583"/>
      <c r="Y74" s="583"/>
      <c r="Z74" s="583"/>
      <c r="AA74" s="583"/>
      <c r="AB74" s="583"/>
      <c r="AC74" s="626"/>
      <c r="AD74" s="592"/>
      <c r="AE74" s="593"/>
    </row>
    <row r="75" spans="5:31">
      <c r="E75" s="554">
        <f t="shared" ref="E75" si="217">E71+1</f>
        <v>17</v>
      </c>
      <c r="F75" s="555">
        <f>IF(WindFactor=1,M75,L75)*DualRadius</f>
        <v>-0.14088937022556106</v>
      </c>
      <c r="G75" s="555">
        <f>IF(WindFactor=1,M76,L76)*DualRadius</f>
        <v>0.3479073951254929</v>
      </c>
      <c r="H75" s="570">
        <f ca="1">((H76-H77)/((H76-H77)^2+(I76-I77)^2)^0.5)*ActBodyLenFact+H76</f>
        <v>0.6</v>
      </c>
      <c r="I75" s="570">
        <f ca="1">((I76-I77)/((H76-H77)^2+(I76-I77)^2)^0.5)*ActBodyLenFact+I76</f>
        <v>-1.1000000000000001</v>
      </c>
      <c r="J75" s="531">
        <f ca="1">IFERROR(((J76-J77)/((J76-J77)^2+(K76-K77)^2)^0.5)*ActBodyLenFact,0)+J76</f>
        <v>-0.6</v>
      </c>
      <c r="K75" s="531">
        <f ca="1">IFERROR(((K76-K77)/((J76-J77)^2+(K76-K77)^2)^0.5)*ActBodyLenFact,0)+K76</f>
        <v>-1.1000000000000001</v>
      </c>
      <c r="L75" s="557">
        <f t="shared" ref="L75" si="218">SIN(RADIANS(E76))</f>
        <v>-0.37535232812060865</v>
      </c>
      <c r="M75" s="558">
        <f t="shared" ref="M75" si="219">L75*SIN(RADIANS(ABS(E76)))</f>
        <v>-0.14088937022556106</v>
      </c>
      <c r="N75" s="559">
        <f>IFERROR(DEGREES(ACOS(ABS(1+(H76-H77)^2+(I76-I77)^2-RedActX^2-RedActY^2)/ABS(2*((H76-H77)^2+(I76-I77)^2)^0.5)-0.00000000001)),90)</f>
        <v>30.335375629754321</v>
      </c>
      <c r="O75" s="556">
        <f>ABS(SIN(RADIANS(N75))*IF(WindFactor=1,SIN(RADIANS(E76)),1))</f>
        <v>0.18957567443364015</v>
      </c>
      <c r="P75" s="560"/>
      <c r="Q75" s="561">
        <f t="shared" ref="Q75" si="220">+O75+P76</f>
        <v>0.55675105839955386</v>
      </c>
      <c r="R75" s="562">
        <f t="shared" ref="R75" si="221">-F77*Q75/2</f>
        <v>-0.10448890297694266</v>
      </c>
      <c r="S75" s="563">
        <f t="shared" ref="S75" si="222">-G77*Q75/2</f>
        <v>0.25802132549836054</v>
      </c>
      <c r="T75" s="564">
        <f t="shared" ref="T75" si="223">((H76-H77)^2+(I76-I77)^2)^0.5</f>
        <v>0.28361302149985701</v>
      </c>
      <c r="U75" s="565">
        <f t="shared" ref="U75" si="224">((J76-J77)^2+(K76-K77)^2)^0.5</f>
        <v>0.99059675623017174</v>
      </c>
      <c r="V75" s="616">
        <f>-F77*1</f>
        <v>-0.37535232812060837</v>
      </c>
      <c r="W75" s="617">
        <f>-G77*1</f>
        <v>0.92688220922317799</v>
      </c>
      <c r="X75" s="617">
        <f>-F77*0.75</f>
        <v>-0.28151424609045628</v>
      </c>
      <c r="Y75" s="617">
        <f>-G77*0.75</f>
        <v>0.69516165691738352</v>
      </c>
      <c r="Z75" s="617">
        <f>-F77*0.5</f>
        <v>-0.18767616406030418</v>
      </c>
      <c r="AA75" s="617">
        <f>-G77*0.5</f>
        <v>0.46344110461158899</v>
      </c>
      <c r="AB75" s="617">
        <f>-F77*0.25</f>
        <v>-9.3838082030152092E-2</v>
      </c>
      <c r="AC75" s="618">
        <f>-G77*0.25</f>
        <v>0.2317205523057945</v>
      </c>
      <c r="AD75" s="592"/>
      <c r="AE75" s="593"/>
    </row>
    <row r="76" spans="5:31">
      <c r="E76" s="568">
        <f>StartAng+DualIncAng*E75</f>
        <v>-22.046090535548764</v>
      </c>
      <c r="F76" s="569">
        <v>0</v>
      </c>
      <c r="G76" s="569">
        <v>0</v>
      </c>
      <c r="H76" s="570">
        <f>RedActX</f>
        <v>0.6</v>
      </c>
      <c r="I76" s="570">
        <f>RedActY</f>
        <v>-1.1000000000000001</v>
      </c>
      <c r="J76" s="531">
        <f>IF(DualSingle=2,GrnActX,0)</f>
        <v>-0.6</v>
      </c>
      <c r="K76" s="531">
        <f>IF(DualSingle=2,GrnActY,0)</f>
        <v>-1.1000000000000001</v>
      </c>
      <c r="L76" s="571">
        <f t="shared" ref="L76" si="225">ABS(COS(RADIANS(ABS(E76))))</f>
        <v>0.92688220922317788</v>
      </c>
      <c r="M76" s="572">
        <f t="shared" ref="M76" si="226">L76*SIN(RADIANS(ABS(E76)))</f>
        <v>0.3479073951254929</v>
      </c>
      <c r="N76" s="573">
        <f>IF(DualSingle=2,DEGREES(ACOS(ABS(1+(J76-J77)^2+(K76-K77)^2-GrnActX^2-GrnActY^2)/ABS(2*((J76-J77)^2+(K76-K77)^2)^0.5)-0.00000000001)),0)</f>
        <v>78.018666078423038</v>
      </c>
      <c r="O76" s="574"/>
      <c r="P76" s="531">
        <f>ABS(SIN(RADIANS(N76))*IF(WindFactor=1,SIN(RADIANS(E76)),1))</f>
        <v>0.36717538396591365</v>
      </c>
      <c r="Q76" s="575"/>
      <c r="R76" s="576">
        <f t="shared" ref="R76:S76" si="227">R79</f>
        <v>-8.9313821561582948E-2</v>
      </c>
      <c r="S76" s="534">
        <f t="shared" si="227"/>
        <v>0.25517830504514477</v>
      </c>
      <c r="T76" s="577"/>
      <c r="U76" s="578"/>
      <c r="V76" s="619">
        <f t="shared" ref="V76:AC76" si="228">V79</f>
        <v>-0.33035508669684843</v>
      </c>
      <c r="W76" s="620">
        <f t="shared" si="228"/>
        <v>0.94385672466403381</v>
      </c>
      <c r="X76" s="620">
        <f t="shared" si="228"/>
        <v>-0.24776631502263632</v>
      </c>
      <c r="Y76" s="620">
        <f t="shared" si="228"/>
        <v>0.70789254349802533</v>
      </c>
      <c r="Z76" s="620">
        <f t="shared" si="228"/>
        <v>-0.16517754334842422</v>
      </c>
      <c r="AA76" s="620">
        <f t="shared" si="228"/>
        <v>0.4719283623320169</v>
      </c>
      <c r="AB76" s="620">
        <f t="shared" si="228"/>
        <v>-8.2588771674212108E-2</v>
      </c>
      <c r="AC76" s="621">
        <f t="shared" si="228"/>
        <v>0.23596418116600845</v>
      </c>
      <c r="AD76" s="592"/>
      <c r="AE76" s="593"/>
    </row>
    <row r="77" spans="5:31">
      <c r="E77" s="568"/>
      <c r="F77" s="569">
        <f>SIN(RADIANS(E76-180))*DualRadius</f>
        <v>0.37535232812060837</v>
      </c>
      <c r="G77" s="569">
        <f>COS(RADIANS(E76-180))*DualRadius</f>
        <v>-0.92688220922317799</v>
      </c>
      <c r="H77" s="570">
        <f t="shared" ref="H77" si="229">F77</f>
        <v>0.37535232812060837</v>
      </c>
      <c r="I77" s="570">
        <f t="shared" ref="I77" si="230">G77</f>
        <v>-0.92688220922317799</v>
      </c>
      <c r="J77" s="531">
        <f>IF(DualSingle=2,F77,0)</f>
        <v>0.37535232812060837</v>
      </c>
      <c r="K77" s="531">
        <f>IF(DualSingle=2,G77,0)</f>
        <v>-0.92688220922317799</v>
      </c>
      <c r="L77" s="574"/>
      <c r="M77" s="578"/>
      <c r="N77" s="577"/>
      <c r="O77" s="574"/>
      <c r="P77" s="574"/>
      <c r="Q77" s="575"/>
      <c r="R77" s="581"/>
      <c r="S77" s="512"/>
      <c r="T77" s="577"/>
      <c r="U77" s="578"/>
      <c r="V77" s="622"/>
      <c r="W77" s="623"/>
      <c r="X77" s="623"/>
      <c r="Y77" s="623"/>
      <c r="Z77" s="623"/>
      <c r="AA77" s="623"/>
      <c r="AB77" s="623"/>
      <c r="AC77" s="624"/>
      <c r="AD77" s="592"/>
      <c r="AE77" s="593"/>
    </row>
    <row r="78" spans="5:31" ht="14.4" thickBot="1">
      <c r="E78" s="582"/>
      <c r="F78" s="583"/>
      <c r="G78" s="583"/>
      <c r="H78" s="583"/>
      <c r="I78" s="583"/>
      <c r="J78" s="583"/>
      <c r="K78" s="583"/>
      <c r="L78" s="583"/>
      <c r="M78" s="584"/>
      <c r="N78" s="585"/>
      <c r="O78" s="586"/>
      <c r="P78" s="586"/>
      <c r="Q78" s="587"/>
      <c r="R78" s="588"/>
      <c r="S78" s="589"/>
      <c r="T78" s="585"/>
      <c r="U78" s="584"/>
      <c r="V78" s="625"/>
      <c r="W78" s="583"/>
      <c r="X78" s="583"/>
      <c r="Y78" s="583"/>
      <c r="Z78" s="583"/>
      <c r="AA78" s="583"/>
      <c r="AB78" s="583"/>
      <c r="AC78" s="626"/>
      <c r="AD78" s="592"/>
      <c r="AE78" s="593"/>
    </row>
    <row r="79" spans="5:31">
      <c r="E79" s="554">
        <f t="shared" ref="E79" si="231">E75+1</f>
        <v>18</v>
      </c>
      <c r="F79" s="555">
        <f>IF(WindFactor=1,M79,L79)*DualRadius</f>
        <v>-0.10913448330648227</v>
      </c>
      <c r="G79" s="555">
        <f>IF(WindFactor=1,M80,L80)*DualRadius</f>
        <v>0.31180787010579036</v>
      </c>
      <c r="H79" s="570">
        <f ca="1">((H80-H81)/((H80-H81)^2+(I80-I81)^2)^0.5)*ActBodyLenFact+H80</f>
        <v>0.6</v>
      </c>
      <c r="I79" s="570">
        <f ca="1">((I80-I81)/((H80-H81)^2+(I80-I81)^2)^0.5)*ActBodyLenFact+I80</f>
        <v>-1.1000000000000001</v>
      </c>
      <c r="J79" s="531">
        <f ca="1">IFERROR(((J80-J81)/((J80-J81)^2+(K80-K81)^2)^0.5)*ActBodyLenFact,0)+J80</f>
        <v>-0.6</v>
      </c>
      <c r="K79" s="531">
        <f ca="1">IFERROR(((K80-K81)/((J80-J81)^2+(K80-K81)^2)^0.5)*ActBodyLenFact,0)+K80</f>
        <v>-1.1000000000000001</v>
      </c>
      <c r="L79" s="557">
        <f t="shared" ref="L79" si="232">SIN(RADIANS(E80))</f>
        <v>-0.33035508669684849</v>
      </c>
      <c r="M79" s="558">
        <f t="shared" ref="M79" si="233">L79*SIN(RADIANS(ABS(E80)))</f>
        <v>-0.10913448330648227</v>
      </c>
      <c r="N79" s="559">
        <f>IFERROR(DEGREES(ACOS(ABS(1+(H80-H81)^2+(I80-I81)^2-RedActX^2-RedActY^2)/ABS(2*((H80-H81)^2+(I80-I81)^2)^0.5)-0.00000000001)),90)</f>
        <v>40.635826558623712</v>
      </c>
      <c r="O79" s="556">
        <f>ABS(SIN(RADIANS(N79))*IF(WindFactor=1,SIN(RADIANS(E80)),1))</f>
        <v>0.21514337223111371</v>
      </c>
      <c r="P79" s="560"/>
      <c r="Q79" s="561">
        <f t="shared" ref="Q79" si="234">+O79+P80</f>
        <v>0.54071406894086727</v>
      </c>
      <c r="R79" s="562">
        <f t="shared" ref="R79" si="235">-F81*Q79/2</f>
        <v>-8.9313821561582948E-2</v>
      </c>
      <c r="S79" s="563">
        <f t="shared" ref="S79" si="236">-G81*Q79/2</f>
        <v>0.25517830504514477</v>
      </c>
      <c r="T79" s="564">
        <f t="shared" ref="T79" si="237">((H80-H81)^2+(I80-I81)^2)^0.5</f>
        <v>0.31159124137707639</v>
      </c>
      <c r="U79" s="565">
        <f t="shared" ref="U79" si="238">((J80-J81)^2+(K80-K81)^2)^0.5</f>
        <v>0.94336700693597697</v>
      </c>
      <c r="V79" s="616">
        <f>-F81*1</f>
        <v>-0.33035508669684843</v>
      </c>
      <c r="W79" s="617">
        <f>-G81*1</f>
        <v>0.94385672466403381</v>
      </c>
      <c r="X79" s="617">
        <f>-F81*0.75</f>
        <v>-0.24776631502263632</v>
      </c>
      <c r="Y79" s="617">
        <f>-G81*0.75</f>
        <v>0.70789254349802533</v>
      </c>
      <c r="Z79" s="617">
        <f>-F81*0.5</f>
        <v>-0.16517754334842422</v>
      </c>
      <c r="AA79" s="617">
        <f>-G81*0.5</f>
        <v>0.4719283623320169</v>
      </c>
      <c r="AB79" s="617">
        <f>-F81*0.25</f>
        <v>-8.2588771674212108E-2</v>
      </c>
      <c r="AC79" s="618">
        <f>-G81*0.25</f>
        <v>0.23596418116600845</v>
      </c>
      <c r="AD79" s="592"/>
      <c r="AE79" s="593"/>
    </row>
    <row r="80" spans="5:31">
      <c r="E80" s="568">
        <f>StartAng+DualIncAng*E79</f>
        <v>-19.290329218605166</v>
      </c>
      <c r="F80" s="569">
        <v>0</v>
      </c>
      <c r="G80" s="569">
        <v>0</v>
      </c>
      <c r="H80" s="570">
        <f>RedActX</f>
        <v>0.6</v>
      </c>
      <c r="I80" s="570">
        <f>RedActY</f>
        <v>-1.1000000000000001</v>
      </c>
      <c r="J80" s="531">
        <f>IF(DualSingle=2,GrnActX,0)</f>
        <v>-0.6</v>
      </c>
      <c r="K80" s="531">
        <f>IF(DualSingle=2,GrnActY,0)</f>
        <v>-1.1000000000000001</v>
      </c>
      <c r="L80" s="571">
        <f t="shared" ref="L80" si="239">ABS(COS(RADIANS(ABS(E80))))</f>
        <v>0.94385672466403381</v>
      </c>
      <c r="M80" s="572">
        <f t="shared" ref="M80" si="240">L80*SIN(RADIANS(ABS(E80)))</f>
        <v>0.31180787010579036</v>
      </c>
      <c r="N80" s="573">
        <f>IF(DualSingle=2,DEGREES(ACOS(ABS(1+(J80-J81)^2+(K80-K81)^2-GrnActX^2-GrnActY^2)/ABS(2*((J80-J81)^2+(K80-K81)^2)^0.5)-0.00000000001)),0)</f>
        <v>80.236940044464774</v>
      </c>
      <c r="O80" s="574"/>
      <c r="P80" s="531">
        <f>ABS(SIN(RADIANS(N80))*IF(WindFactor=1,SIN(RADIANS(E80)),1))</f>
        <v>0.32557069670975353</v>
      </c>
      <c r="Q80" s="575"/>
      <c r="R80" s="576">
        <f t="shared" ref="R80:S80" si="241">R83</f>
        <v>-7.0868190381699545E-2</v>
      </c>
      <c r="S80" s="534">
        <f t="shared" si="241"/>
        <v>0.23871802697064159</v>
      </c>
      <c r="T80" s="577"/>
      <c r="U80" s="578"/>
      <c r="V80" s="619">
        <f t="shared" ref="V80:AC80" si="242">V83</f>
        <v>-0.2845937716477045</v>
      </c>
      <c r="W80" s="620">
        <f t="shared" si="242"/>
        <v>0.95864820718516663</v>
      </c>
      <c r="X80" s="620">
        <f t="shared" si="242"/>
        <v>-0.21344532873577837</v>
      </c>
      <c r="Y80" s="620">
        <f t="shared" si="242"/>
        <v>0.718986155388875</v>
      </c>
      <c r="Z80" s="620">
        <f t="shared" si="242"/>
        <v>-0.14229688582385225</v>
      </c>
      <c r="AA80" s="620">
        <f t="shared" si="242"/>
        <v>0.47932410359258332</v>
      </c>
      <c r="AB80" s="620">
        <f t="shared" si="242"/>
        <v>-7.1148442911926124E-2</v>
      </c>
      <c r="AC80" s="621">
        <f t="shared" si="242"/>
        <v>0.23966205179629166</v>
      </c>
      <c r="AD80" s="592"/>
      <c r="AE80" s="593"/>
    </row>
    <row r="81" spans="5:31">
      <c r="E81" s="568"/>
      <c r="F81" s="569">
        <f>SIN(RADIANS(E80-180))*DualRadius</f>
        <v>0.33035508669684843</v>
      </c>
      <c r="G81" s="569">
        <f>COS(RADIANS(E80-180))*DualRadius</f>
        <v>-0.94385672466403381</v>
      </c>
      <c r="H81" s="570">
        <f t="shared" ref="H81" si="243">F81</f>
        <v>0.33035508669684843</v>
      </c>
      <c r="I81" s="570">
        <f t="shared" ref="I81" si="244">G81</f>
        <v>-0.94385672466403381</v>
      </c>
      <c r="J81" s="531">
        <f>IF(DualSingle=2,F81,0)</f>
        <v>0.33035508669684843</v>
      </c>
      <c r="K81" s="531">
        <f>IF(DualSingle=2,G81,0)</f>
        <v>-0.94385672466403381</v>
      </c>
      <c r="L81" s="574"/>
      <c r="M81" s="578"/>
      <c r="N81" s="577"/>
      <c r="O81" s="574"/>
      <c r="P81" s="574"/>
      <c r="Q81" s="575"/>
      <c r="R81" s="581"/>
      <c r="S81" s="512"/>
      <c r="T81" s="577"/>
      <c r="U81" s="578"/>
      <c r="V81" s="622"/>
      <c r="W81" s="623"/>
      <c r="X81" s="623"/>
      <c r="Y81" s="623"/>
      <c r="Z81" s="623"/>
      <c r="AA81" s="623"/>
      <c r="AB81" s="623"/>
      <c r="AC81" s="624"/>
      <c r="AD81" s="592"/>
      <c r="AE81" s="593"/>
    </row>
    <row r="82" spans="5:31" ht="14.4" thickBot="1">
      <c r="E82" s="582"/>
      <c r="F82" s="583"/>
      <c r="G82" s="583"/>
      <c r="H82" s="583"/>
      <c r="I82" s="583"/>
      <c r="J82" s="583"/>
      <c r="K82" s="583"/>
      <c r="L82" s="583"/>
      <c r="M82" s="584"/>
      <c r="N82" s="585"/>
      <c r="O82" s="586"/>
      <c r="P82" s="586"/>
      <c r="Q82" s="587"/>
      <c r="R82" s="588"/>
      <c r="S82" s="589"/>
      <c r="T82" s="585"/>
      <c r="U82" s="584"/>
      <c r="V82" s="625"/>
      <c r="W82" s="583"/>
      <c r="X82" s="583"/>
      <c r="Y82" s="583"/>
      <c r="Z82" s="583"/>
      <c r="AA82" s="583"/>
      <c r="AB82" s="583"/>
      <c r="AC82" s="626"/>
      <c r="AD82" s="592"/>
      <c r="AE82" s="593"/>
    </row>
    <row r="83" spans="5:31">
      <c r="E83" s="554">
        <f t="shared" ref="E83" si="245">E79+1</f>
        <v>19</v>
      </c>
      <c r="F83" s="555">
        <f>IF(WindFactor=1,M83,L83)*DualRadius</f>
        <v>-8.0993614860665739E-2</v>
      </c>
      <c r="G83" s="555">
        <f>IF(WindFactor=1,M84,L84)*DualRadius</f>
        <v>0.27282530896613655</v>
      </c>
      <c r="H83" s="570">
        <f ca="1">((H84-H85)/((H84-H85)^2+(I84-I85)^2)^0.5)*ActBodyLenFact+H84</f>
        <v>0.6</v>
      </c>
      <c r="I83" s="570">
        <f ca="1">((I84-I85)/((H84-H85)^2+(I84-I85)^2)^0.5)*ActBodyLenFact+I84</f>
        <v>-1.1000000000000001</v>
      </c>
      <c r="J83" s="531">
        <f ca="1">IFERROR(((J84-J85)/((J84-J85)^2+(K84-K85)^2)^0.5)*ActBodyLenFact,0)+J84</f>
        <v>-0.6</v>
      </c>
      <c r="K83" s="531">
        <f ca="1">IFERROR(((K84-K85)/((J84-J85)^2+(K84-K85)^2)^0.5)*ActBodyLenFact,0)+K84</f>
        <v>-1.1000000000000001</v>
      </c>
      <c r="L83" s="557">
        <f t="shared" ref="L83" si="246">SIN(RADIANS(E84))</f>
        <v>-0.28459377164770444</v>
      </c>
      <c r="M83" s="558">
        <f t="shared" ref="M83" si="247">L83*SIN(RADIANS(ABS(E84)))</f>
        <v>-8.0993614860665739E-2</v>
      </c>
      <c r="N83" s="559">
        <f>IFERROR(DEGREES(ACOS(ABS(1+(H84-H85)^2+(I84-I85)^2-RedActX^2-RedActY^2)/ABS(2*((H84-H85)^2+(I84-I85)^2)^0.5)-0.00000000001)),90)</f>
        <v>49.325518218904342</v>
      </c>
      <c r="O83" s="556">
        <f>ABS(SIN(RADIANS(N83))*IF(WindFactor=1,SIN(RADIANS(E84)),1))</f>
        <v>0.21584294320494329</v>
      </c>
      <c r="P83" s="560"/>
      <c r="Q83" s="561">
        <f t="shared" ref="Q83" si="248">+O83+P84</f>
        <v>0.49803050833752255</v>
      </c>
      <c r="R83" s="562">
        <f t="shared" ref="R83" si="249">-F85*Q83/2</f>
        <v>-7.0868190381699545E-2</v>
      </c>
      <c r="S83" s="563">
        <f t="shared" ref="S83" si="250">-G85*Q83/2</f>
        <v>0.23871802697064159</v>
      </c>
      <c r="T83" s="564">
        <f t="shared" ref="T83" si="251">((H84-H85)^2+(I84-I85)^2)^0.5</f>
        <v>0.34563191145406114</v>
      </c>
      <c r="U83" s="565">
        <f t="shared" ref="U83" si="252">((J84-J85)^2+(K84-K85)^2)^0.5</f>
        <v>0.89581609171184162</v>
      </c>
      <c r="V83" s="616">
        <f>-F85*1</f>
        <v>-0.2845937716477045</v>
      </c>
      <c r="W83" s="617">
        <f>-G85*1</f>
        <v>0.95864820718516663</v>
      </c>
      <c r="X83" s="617">
        <f>-F85*0.75</f>
        <v>-0.21344532873577837</v>
      </c>
      <c r="Y83" s="617">
        <f>-G85*0.75</f>
        <v>0.718986155388875</v>
      </c>
      <c r="Z83" s="617">
        <f>-F85*0.5</f>
        <v>-0.14229688582385225</v>
      </c>
      <c r="AA83" s="617">
        <f>-G85*0.5</f>
        <v>0.47932410359258332</v>
      </c>
      <c r="AB83" s="617">
        <f>-F85*0.25</f>
        <v>-7.1148442911926124E-2</v>
      </c>
      <c r="AC83" s="618">
        <f>-G85*0.25</f>
        <v>0.23966205179629166</v>
      </c>
      <c r="AD83" s="592"/>
      <c r="AE83" s="593"/>
    </row>
    <row r="84" spans="5:31">
      <c r="E84" s="568">
        <f>StartAng+DualIncAng*E83</f>
        <v>-16.534567901661575</v>
      </c>
      <c r="F84" s="569">
        <v>0</v>
      </c>
      <c r="G84" s="569">
        <v>0</v>
      </c>
      <c r="H84" s="570">
        <f>RedActX</f>
        <v>0.6</v>
      </c>
      <c r="I84" s="570">
        <f>RedActY</f>
        <v>-1.1000000000000001</v>
      </c>
      <c r="J84" s="531">
        <f>IF(DualSingle=2,GrnActX,0)</f>
        <v>-0.6</v>
      </c>
      <c r="K84" s="531">
        <f>IF(DualSingle=2,GrnActY,0)</f>
        <v>-1.1000000000000001</v>
      </c>
      <c r="L84" s="571">
        <f t="shared" ref="L84" si="253">ABS(COS(RADIANS(ABS(E84))))</f>
        <v>0.95864820718516663</v>
      </c>
      <c r="M84" s="572">
        <f t="shared" ref="M84" si="254">L84*SIN(RADIANS(ABS(E84)))</f>
        <v>0.27282530896613655</v>
      </c>
      <c r="N84" s="573">
        <f>IF(DualSingle=2,DEGREES(ACOS(ABS(1+(J84-J85)^2+(K84-K85)^2-GrnActX^2-GrnActY^2)/ABS(2*((J84-J85)^2+(K84-K85)^2)^0.5)-0.00000000001)),0)</f>
        <v>82.544138163907547</v>
      </c>
      <c r="O84" s="574"/>
      <c r="P84" s="531">
        <f>ABS(SIN(RADIANS(N84))*IF(WindFactor=1,SIN(RADIANS(E84)),1))</f>
        <v>0.28218756513257925</v>
      </c>
      <c r="Q84" s="575"/>
      <c r="R84" s="576">
        <f t="shared" ref="R84:S84" si="255">R87</f>
        <v>-5.1941004092688071E-2</v>
      </c>
      <c r="S84" s="534">
        <f t="shared" si="255"/>
        <v>0.21180406616949549</v>
      </c>
      <c r="T84" s="577"/>
      <c r="U84" s="578"/>
      <c r="V84" s="619">
        <f t="shared" ref="V84:AC84" si="256">V87</f>
        <v>-0.2381742236739855</v>
      </c>
      <c r="W84" s="620">
        <f t="shared" si="256"/>
        <v>0.97122244577506256</v>
      </c>
      <c r="X84" s="620">
        <f t="shared" si="256"/>
        <v>-0.17863066775548914</v>
      </c>
      <c r="Y84" s="620">
        <f t="shared" si="256"/>
        <v>0.72841683433129689</v>
      </c>
      <c r="Z84" s="620">
        <f t="shared" si="256"/>
        <v>-0.11908711183699275</v>
      </c>
      <c r="AA84" s="620">
        <f t="shared" si="256"/>
        <v>0.48561122288753128</v>
      </c>
      <c r="AB84" s="620">
        <f t="shared" si="256"/>
        <v>-5.9543555918496374E-2</v>
      </c>
      <c r="AC84" s="621">
        <f t="shared" si="256"/>
        <v>0.24280561144376564</v>
      </c>
      <c r="AD84" s="592"/>
      <c r="AE84" s="593"/>
    </row>
    <row r="85" spans="5:31">
      <c r="E85" s="568"/>
      <c r="F85" s="569">
        <f>SIN(RADIANS(E84-180))*DualRadius</f>
        <v>0.2845937716477045</v>
      </c>
      <c r="G85" s="569">
        <f>COS(RADIANS(E84-180))*DualRadius</f>
        <v>-0.95864820718516663</v>
      </c>
      <c r="H85" s="570">
        <f t="shared" ref="H85" si="257">F85</f>
        <v>0.2845937716477045</v>
      </c>
      <c r="I85" s="570">
        <f t="shared" ref="I85" si="258">G85</f>
        <v>-0.95864820718516663</v>
      </c>
      <c r="J85" s="531">
        <f>IF(DualSingle=2,F85,0)</f>
        <v>0.2845937716477045</v>
      </c>
      <c r="K85" s="531">
        <f>IF(DualSingle=2,G85,0)</f>
        <v>-0.95864820718516663</v>
      </c>
      <c r="L85" s="574"/>
      <c r="M85" s="578"/>
      <c r="N85" s="577"/>
      <c r="O85" s="574"/>
      <c r="P85" s="574"/>
      <c r="Q85" s="575"/>
      <c r="R85" s="581"/>
      <c r="S85" s="512"/>
      <c r="T85" s="577"/>
      <c r="U85" s="578"/>
      <c r="V85" s="622"/>
      <c r="W85" s="623"/>
      <c r="X85" s="623"/>
      <c r="Y85" s="623"/>
      <c r="Z85" s="623"/>
      <c r="AA85" s="623"/>
      <c r="AB85" s="623"/>
      <c r="AC85" s="624"/>
      <c r="AD85" s="592"/>
      <c r="AE85" s="593"/>
    </row>
    <row r="86" spans="5:31" ht="14.4" thickBot="1">
      <c r="E86" s="582"/>
      <c r="F86" s="583"/>
      <c r="G86" s="583"/>
      <c r="H86" s="583"/>
      <c r="I86" s="583"/>
      <c r="J86" s="583"/>
      <c r="K86" s="583"/>
      <c r="L86" s="583"/>
      <c r="M86" s="584"/>
      <c r="N86" s="585"/>
      <c r="O86" s="586"/>
      <c r="P86" s="586"/>
      <c r="Q86" s="587"/>
      <c r="R86" s="588"/>
      <c r="S86" s="589"/>
      <c r="T86" s="585"/>
      <c r="U86" s="584"/>
      <c r="V86" s="625"/>
      <c r="W86" s="583"/>
      <c r="X86" s="583"/>
      <c r="Y86" s="583"/>
      <c r="Z86" s="583"/>
      <c r="AA86" s="583"/>
      <c r="AB86" s="583"/>
      <c r="AC86" s="626"/>
      <c r="AD86" s="592"/>
      <c r="AE86" s="593"/>
    </row>
    <row r="87" spans="5:31">
      <c r="E87" s="554">
        <f t="shared" ref="E87" si="259">E83+1</f>
        <v>20</v>
      </c>
      <c r="F87" s="555">
        <f>IF(WindFactor=1,M87,L87)*DualRadius</f>
        <v>-5.6726960822705737E-2</v>
      </c>
      <c r="G87" s="555">
        <f>IF(WindFactor=1,M88,L88)*DualRadius</f>
        <v>0.23132015203722514</v>
      </c>
      <c r="H87" s="570">
        <f ca="1">((H88-H89)/((H88-H89)^2+(I88-I89)^2)^0.5)*ActBodyLenFact+H88</f>
        <v>0.6</v>
      </c>
      <c r="I87" s="570">
        <f ca="1">((I88-I89)/((H88-H89)^2+(I88-I89)^2)^0.5)*ActBodyLenFact+I88</f>
        <v>-1.1000000000000001</v>
      </c>
      <c r="J87" s="531">
        <f ca="1">IFERROR(((J88-J89)/((J88-J89)^2+(K88-K89)^2)^0.5)*ActBodyLenFact,0)+J88</f>
        <v>-0.6</v>
      </c>
      <c r="K87" s="531">
        <f ca="1">IFERROR(((K88-K89)/((J88-J89)^2+(K88-K89)^2)^0.5)*ActBodyLenFact,0)+K88</f>
        <v>-1.1000000000000001</v>
      </c>
      <c r="L87" s="557">
        <f t="shared" ref="L87" si="260">SIN(RADIANS(E88))</f>
        <v>-0.23817422367398564</v>
      </c>
      <c r="M87" s="558">
        <f t="shared" ref="M87" si="261">L87*SIN(RADIANS(ABS(E88)))</f>
        <v>-5.6726960822705737E-2</v>
      </c>
      <c r="N87" s="559">
        <f>IFERROR(DEGREES(ACOS(ABS(1+(H88-H89)^2+(I88-I89)^2-RedActX^2-RedActY^2)/ABS(2*((H88-H89)^2+(I88-I89)^2)^0.5)-0.00000000001)),90)</f>
        <v>56.630020666149406</v>
      </c>
      <c r="O87" s="556">
        <f>ABS(SIN(RADIANS(N87))*IF(WindFactor=1,SIN(RADIANS(E88)),1))</f>
        <v>0.19890791091652443</v>
      </c>
      <c r="P87" s="560"/>
      <c r="Q87" s="561">
        <f t="shared" ref="Q87" si="262">+O87+P88</f>
        <v>0.43615974299372773</v>
      </c>
      <c r="R87" s="562">
        <f t="shared" ref="R87" si="263">-F89*Q87/2</f>
        <v>-5.1941004092688071E-2</v>
      </c>
      <c r="S87" s="563">
        <f t="shared" ref="S87" si="264">-G89*Q87/2</f>
        <v>0.21180406616949549</v>
      </c>
      <c r="T87" s="564">
        <f t="shared" ref="T87" si="265">((H88-H89)^2+(I88-I89)^2)^0.5</f>
        <v>0.38405930646982089</v>
      </c>
      <c r="U87" s="565">
        <f t="shared" ref="U87" si="266">((J88-J89)^2+(K88-K89)^2)^0.5</f>
        <v>0.84800924977481529</v>
      </c>
      <c r="V87" s="616">
        <f>-F89*1</f>
        <v>-0.2381742236739855</v>
      </c>
      <c r="W87" s="617">
        <f>-G89*1</f>
        <v>0.97122244577506256</v>
      </c>
      <c r="X87" s="617">
        <f>-F89*0.75</f>
        <v>-0.17863066775548914</v>
      </c>
      <c r="Y87" s="617">
        <f>-G89*0.75</f>
        <v>0.72841683433129689</v>
      </c>
      <c r="Z87" s="617">
        <f>-F89*0.5</f>
        <v>-0.11908711183699275</v>
      </c>
      <c r="AA87" s="617">
        <f>-G89*0.5</f>
        <v>0.48561122288753128</v>
      </c>
      <c r="AB87" s="617">
        <f>-F89*0.25</f>
        <v>-5.9543555918496374E-2</v>
      </c>
      <c r="AC87" s="618">
        <f>-G89*0.25</f>
        <v>0.24280561144376564</v>
      </c>
      <c r="AD87" s="592"/>
      <c r="AE87" s="593"/>
    </row>
    <row r="88" spans="5:31">
      <c r="E88" s="568">
        <f>StartAng+DualIncAng*E87</f>
        <v>-13.778806584717977</v>
      </c>
      <c r="F88" s="569">
        <v>0</v>
      </c>
      <c r="G88" s="569">
        <v>0</v>
      </c>
      <c r="H88" s="570">
        <f>RedActX</f>
        <v>0.6</v>
      </c>
      <c r="I88" s="570">
        <f>RedActY</f>
        <v>-1.1000000000000001</v>
      </c>
      <c r="J88" s="531">
        <f>IF(DualSingle=2,GrnActX,0)</f>
        <v>-0.6</v>
      </c>
      <c r="K88" s="531">
        <f>IF(DualSingle=2,GrnActY,0)</f>
        <v>-1.1000000000000001</v>
      </c>
      <c r="L88" s="571">
        <f t="shared" ref="L88" si="267">ABS(COS(RADIANS(ABS(E88))))</f>
        <v>0.97122244577506256</v>
      </c>
      <c r="M88" s="572">
        <f t="shared" ref="M88" si="268">L88*SIN(RADIANS(ABS(E88)))</f>
        <v>0.23132015203722514</v>
      </c>
      <c r="N88" s="573">
        <f>IF(DualSingle=2,DEGREES(ACOS(ABS(1+(J88-J89)^2+(K88-K89)^2-GrnActX^2-GrnActY^2)/ABS(2*((J88-J89)^2+(K88-K89)^2)^0.5)-0.00000000001)),0)</f>
        <v>84.955847833202768</v>
      </c>
      <c r="O88" s="574"/>
      <c r="P88" s="531">
        <f>ABS(SIN(RADIANS(N88))*IF(WindFactor=1,SIN(RADIANS(E88)),1))</f>
        <v>0.23725183207720332</v>
      </c>
      <c r="Q88" s="575"/>
      <c r="R88" s="576">
        <f t="shared" ref="R88:S88" si="269">R91</f>
        <v>-3.4522577114390642E-2</v>
      </c>
      <c r="S88" s="534">
        <f t="shared" si="269"/>
        <v>0.17722266434665651</v>
      </c>
      <c r="T88" s="577"/>
      <c r="U88" s="578"/>
      <c r="V88" s="619">
        <f t="shared" ref="V88:AC88" si="270">V91</f>
        <v>-0.19120380589415809</v>
      </c>
      <c r="W88" s="620">
        <f t="shared" si="270"/>
        <v>0.98155035765445531</v>
      </c>
      <c r="X88" s="620">
        <f t="shared" si="270"/>
        <v>-0.14340285442061856</v>
      </c>
      <c r="Y88" s="620">
        <f t="shared" si="270"/>
        <v>0.73616276824084148</v>
      </c>
      <c r="Z88" s="620">
        <f t="shared" si="270"/>
        <v>-9.5601902947079043E-2</v>
      </c>
      <c r="AA88" s="620">
        <f t="shared" si="270"/>
        <v>0.49077517882722765</v>
      </c>
      <c r="AB88" s="620">
        <f t="shared" si="270"/>
        <v>-4.7800951473539521E-2</v>
      </c>
      <c r="AC88" s="621">
        <f t="shared" si="270"/>
        <v>0.24538758941361383</v>
      </c>
      <c r="AD88" s="592"/>
      <c r="AE88" s="593"/>
    </row>
    <row r="89" spans="5:31">
      <c r="E89" s="568"/>
      <c r="F89" s="569">
        <f>SIN(RADIANS(E88-180))*DualRadius</f>
        <v>0.2381742236739855</v>
      </c>
      <c r="G89" s="569">
        <f>COS(RADIANS(E88-180))*DualRadius</f>
        <v>-0.97122244577506256</v>
      </c>
      <c r="H89" s="570">
        <f t="shared" ref="H89" si="271">F89</f>
        <v>0.2381742236739855</v>
      </c>
      <c r="I89" s="570">
        <f t="shared" ref="I89" si="272">G89</f>
        <v>-0.97122244577506256</v>
      </c>
      <c r="J89" s="531">
        <f>IF(DualSingle=2,F89,0)</f>
        <v>0.2381742236739855</v>
      </c>
      <c r="K89" s="531">
        <f>IF(DualSingle=2,G89,0)</f>
        <v>-0.97122244577506256</v>
      </c>
      <c r="L89" s="574"/>
      <c r="M89" s="578"/>
      <c r="N89" s="577"/>
      <c r="O89" s="574"/>
      <c r="P89" s="574"/>
      <c r="Q89" s="575"/>
      <c r="R89" s="581"/>
      <c r="S89" s="512"/>
      <c r="T89" s="577"/>
      <c r="U89" s="578"/>
      <c r="V89" s="622"/>
      <c r="W89" s="623"/>
      <c r="X89" s="623"/>
      <c r="Y89" s="623"/>
      <c r="Z89" s="623"/>
      <c r="AA89" s="623"/>
      <c r="AB89" s="623"/>
      <c r="AC89" s="624"/>
      <c r="AD89" s="592"/>
      <c r="AE89" s="593"/>
    </row>
    <row r="90" spans="5:31" ht="14.4" thickBot="1">
      <c r="E90" s="582"/>
      <c r="F90" s="583"/>
      <c r="G90" s="583"/>
      <c r="H90" s="583"/>
      <c r="I90" s="583"/>
      <c r="J90" s="583"/>
      <c r="K90" s="583"/>
      <c r="L90" s="583"/>
      <c r="M90" s="584"/>
      <c r="N90" s="585"/>
      <c r="O90" s="586"/>
      <c r="P90" s="586"/>
      <c r="Q90" s="587"/>
      <c r="R90" s="588"/>
      <c r="S90" s="589"/>
      <c r="T90" s="585"/>
      <c r="U90" s="584"/>
      <c r="V90" s="625"/>
      <c r="W90" s="583"/>
      <c r="X90" s="583"/>
      <c r="Y90" s="583"/>
      <c r="Z90" s="583"/>
      <c r="AA90" s="583"/>
      <c r="AB90" s="583"/>
      <c r="AC90" s="626"/>
      <c r="AD90" s="592"/>
      <c r="AE90" s="593"/>
    </row>
    <row r="91" spans="5:31">
      <c r="E91" s="554">
        <f t="shared" ref="E91" si="273">E87+1</f>
        <v>21</v>
      </c>
      <c r="F91" s="555">
        <f>IF(WindFactor=1,M91,L91)*DualRadius</f>
        <v>-3.6558895388411013E-2</v>
      </c>
      <c r="G91" s="555">
        <f>IF(WindFactor=1,M92,L92)*DualRadius</f>
        <v>0.18767616406030421</v>
      </c>
      <c r="H91" s="570">
        <f ca="1">((H92-H93)/((H92-H93)^2+(I92-I93)^2)^0.5)*ActBodyLenFact+H92</f>
        <v>0.6</v>
      </c>
      <c r="I91" s="570">
        <f ca="1">((I92-I93)/((H92-H93)^2+(I92-I93)^2)^0.5)*ActBodyLenFact+I92</f>
        <v>-1.1000000000000001</v>
      </c>
      <c r="J91" s="531">
        <f ca="1">IFERROR(((J92-J93)/((J92-J93)^2+(K92-K93)^2)^0.5)*ActBodyLenFact,0)+J92</f>
        <v>-0.6</v>
      </c>
      <c r="K91" s="531">
        <f ca="1">IFERROR(((K92-K93)/((J92-J93)^2+(K92-K93)^2)^0.5)*ActBodyLenFact,0)+K92</f>
        <v>-1.1000000000000001</v>
      </c>
      <c r="L91" s="557">
        <f t="shared" ref="L91" si="274">SIN(RADIANS(E92))</f>
        <v>-0.19120380589415842</v>
      </c>
      <c r="M91" s="558">
        <f t="shared" ref="M91" si="275">L91*SIN(RADIANS(ABS(E92)))</f>
        <v>-3.6558895388411013E-2</v>
      </c>
      <c r="N91" s="559">
        <f>IFERROR(DEGREES(ACOS(ABS(1+(H92-H93)^2+(I92-I93)^2-RedActX^2-RedActY^2)/ABS(2*((H92-H93)^2+(I92-I93)^2)^0.5)-0.00000000001)),90)</f>
        <v>62.817887149450677</v>
      </c>
      <c r="O91" s="556">
        <f>ABS(SIN(RADIANS(N91))*IF(WindFactor=1,SIN(RADIANS(E92)),1))</f>
        <v>0.17008707233091613</v>
      </c>
      <c r="P91" s="560"/>
      <c r="Q91" s="561">
        <f t="shared" ref="Q91" si="276">+O91+P92</f>
        <v>0.36110763541496449</v>
      </c>
      <c r="R91" s="562">
        <f t="shared" ref="R91" si="277">-F93*Q91/2</f>
        <v>-3.4522577114390642E-2</v>
      </c>
      <c r="S91" s="563">
        <f t="shared" ref="S91" si="278">-G93*Q91/2</f>
        <v>0.17722266434665651</v>
      </c>
      <c r="T91" s="564">
        <f t="shared" ref="T91" si="279">((H92-H93)^2+(I92-I93)^2)^0.5</f>
        <v>0.42561090926714817</v>
      </c>
      <c r="U91" s="565">
        <f t="shared" ref="U91" si="280">((J92-J93)^2+(K92-K93)^2)^0.5</f>
        <v>0.80002111236716</v>
      </c>
      <c r="V91" s="616">
        <f>-F93*1</f>
        <v>-0.19120380589415809</v>
      </c>
      <c r="W91" s="617">
        <f>-G93*1</f>
        <v>0.98155035765445531</v>
      </c>
      <c r="X91" s="617">
        <f>-F93*0.75</f>
        <v>-0.14340285442061856</v>
      </c>
      <c r="Y91" s="617">
        <f>-G93*0.75</f>
        <v>0.73616276824084148</v>
      </c>
      <c r="Z91" s="617">
        <f>-F93*0.5</f>
        <v>-9.5601902947079043E-2</v>
      </c>
      <c r="AA91" s="617">
        <f>-G93*0.5</f>
        <v>0.49077517882722765</v>
      </c>
      <c r="AB91" s="617">
        <f>-F93*0.25</f>
        <v>-4.7800951473539521E-2</v>
      </c>
      <c r="AC91" s="618">
        <f>-G93*0.25</f>
        <v>0.24538758941361383</v>
      </c>
      <c r="AD91" s="592"/>
      <c r="AE91" s="593"/>
    </row>
    <row r="92" spans="5:31">
      <c r="E92" s="568">
        <f>StartAng+DualIncAng*E91</f>
        <v>-11.023045267774378</v>
      </c>
      <c r="F92" s="569">
        <v>0</v>
      </c>
      <c r="G92" s="569">
        <v>0</v>
      </c>
      <c r="H92" s="570">
        <f>RedActX</f>
        <v>0.6</v>
      </c>
      <c r="I92" s="570">
        <f>RedActY</f>
        <v>-1.1000000000000001</v>
      </c>
      <c r="J92" s="531">
        <f>IF(DualSingle=2,GrnActX,0)</f>
        <v>-0.6</v>
      </c>
      <c r="K92" s="531">
        <f>IF(DualSingle=2,GrnActY,0)</f>
        <v>-1.1000000000000001</v>
      </c>
      <c r="L92" s="571">
        <f t="shared" ref="L92" si="281">ABS(COS(RADIANS(ABS(E92))))</f>
        <v>0.9815503576544552</v>
      </c>
      <c r="M92" s="572">
        <f t="shared" ref="M92" si="282">L92*SIN(RADIANS(ABS(E92)))</f>
        <v>0.18767616406030421</v>
      </c>
      <c r="N92" s="573">
        <f>IF(DualSingle=2,DEGREES(ACOS(ABS(1+(J92-J93)^2+(K92-K93)^2-GrnActX^2-GrnActY^2)/ABS(2*((J92-J93)^2+(K92-K93)^2)^0.5)-0.00000000001)),0)</f>
        <v>87.491364717953971</v>
      </c>
      <c r="O92" s="574"/>
      <c r="P92" s="531">
        <f>ABS(SIN(RADIANS(N92))*IF(WindFactor=1,SIN(RADIANS(E92)),1))</f>
        <v>0.19102056308404833</v>
      </c>
      <c r="Q92" s="575"/>
      <c r="R92" s="576">
        <f t="shared" ref="R92:S92" si="283">R95</f>
        <v>-1.9931836740952807E-2</v>
      </c>
      <c r="S92" s="534">
        <f t="shared" si="283"/>
        <v>0.13717607406707805</v>
      </c>
      <c r="T92" s="577"/>
      <c r="U92" s="578"/>
      <c r="V92" s="619">
        <f t="shared" ref="V92:AC92" si="284">V95</f>
        <v>-0.14379115552570232</v>
      </c>
      <c r="W92" s="620">
        <f t="shared" si="284"/>
        <v>0.98960805554147713</v>
      </c>
      <c r="X92" s="620">
        <f t="shared" si="284"/>
        <v>-0.10784336664427674</v>
      </c>
      <c r="Y92" s="620">
        <f t="shared" si="284"/>
        <v>0.74220604165610782</v>
      </c>
      <c r="Z92" s="620">
        <f t="shared" si="284"/>
        <v>-7.1895577762851159E-2</v>
      </c>
      <c r="AA92" s="620">
        <f t="shared" si="284"/>
        <v>0.49480402777073856</v>
      </c>
      <c r="AB92" s="620">
        <f t="shared" si="284"/>
        <v>-3.594778888142558E-2</v>
      </c>
      <c r="AC92" s="621">
        <f t="shared" si="284"/>
        <v>0.24740201388536928</v>
      </c>
      <c r="AD92" s="592"/>
      <c r="AE92" s="593"/>
    </row>
    <row r="93" spans="5:31">
      <c r="E93" s="568"/>
      <c r="F93" s="569">
        <f>SIN(RADIANS(E92-180))*DualRadius</f>
        <v>0.19120380589415809</v>
      </c>
      <c r="G93" s="569">
        <f>COS(RADIANS(E92-180))*DualRadius</f>
        <v>-0.98155035765445531</v>
      </c>
      <c r="H93" s="570">
        <f t="shared" ref="H93" si="285">F93</f>
        <v>0.19120380589415809</v>
      </c>
      <c r="I93" s="570">
        <f t="shared" ref="I93" si="286">G93</f>
        <v>-0.98155035765445531</v>
      </c>
      <c r="J93" s="531">
        <f>IF(DualSingle=2,F93,0)</f>
        <v>0.19120380589415809</v>
      </c>
      <c r="K93" s="531">
        <f>IF(DualSingle=2,G93,0)</f>
        <v>-0.98155035765445531</v>
      </c>
      <c r="L93" s="574"/>
      <c r="M93" s="578"/>
      <c r="N93" s="577"/>
      <c r="O93" s="574"/>
      <c r="P93" s="574"/>
      <c r="Q93" s="575"/>
      <c r="R93" s="581"/>
      <c r="S93" s="512"/>
      <c r="T93" s="577"/>
      <c r="U93" s="578"/>
      <c r="V93" s="622"/>
      <c r="W93" s="623"/>
      <c r="X93" s="623"/>
      <c r="Y93" s="623"/>
      <c r="Z93" s="623"/>
      <c r="AA93" s="623"/>
      <c r="AB93" s="623"/>
      <c r="AC93" s="624"/>
      <c r="AD93" s="592"/>
      <c r="AE93" s="593"/>
    </row>
    <row r="94" spans="5:31" ht="14.4" thickBot="1">
      <c r="E94" s="582"/>
      <c r="F94" s="583"/>
      <c r="G94" s="583"/>
      <c r="H94" s="583"/>
      <c r="I94" s="583"/>
      <c r="J94" s="583"/>
      <c r="K94" s="583"/>
      <c r="L94" s="583"/>
      <c r="M94" s="584"/>
      <c r="N94" s="585"/>
      <c r="O94" s="586"/>
      <c r="P94" s="586"/>
      <c r="Q94" s="587"/>
      <c r="R94" s="588"/>
      <c r="S94" s="589"/>
      <c r="T94" s="585"/>
      <c r="U94" s="584"/>
      <c r="V94" s="625"/>
      <c r="W94" s="583"/>
      <c r="X94" s="583"/>
      <c r="Y94" s="583"/>
      <c r="Z94" s="583"/>
      <c r="AA94" s="583"/>
      <c r="AB94" s="583"/>
      <c r="AC94" s="626"/>
      <c r="AD94" s="592"/>
      <c r="AE94" s="593"/>
    </row>
    <row r="95" spans="5:31">
      <c r="E95" s="554">
        <f t="shared" ref="E95" si="287">E91+1</f>
        <v>22</v>
      </c>
      <c r="F95" s="555">
        <f>IF(WindFactor=1,M95,L95)*DualRadius</f>
        <v>-2.0675896407416666E-2</v>
      </c>
      <c r="G95" s="555">
        <f>IF(WindFactor=1,M96,L96)*DualRadius</f>
        <v>0.14229688582385222</v>
      </c>
      <c r="H95" s="570">
        <f ca="1">((H96-H97)/((H96-H97)^2+(I96-I97)^2)^0.5)*ActBodyLenFact+H96</f>
        <v>0.6</v>
      </c>
      <c r="I95" s="570">
        <f ca="1">((I96-I97)/((H96-H97)^2+(I96-I97)^2)^0.5)*ActBodyLenFact+I96</f>
        <v>-1.1000000000000001</v>
      </c>
      <c r="J95" s="531">
        <f ca="1">IFERROR(((J96-J97)/((J96-J97)^2+(K96-K97)^2)^0.5)*ActBodyLenFact,0)+J96</f>
        <v>-0.6</v>
      </c>
      <c r="K95" s="531">
        <f ca="1">IFERROR(((K96-K97)/((J96-J97)^2+(K96-K97)^2)^0.5)*ActBodyLenFact,0)+K96</f>
        <v>-1.1000000000000001</v>
      </c>
      <c r="L95" s="557">
        <f t="shared" ref="L95" si="288">SIN(RADIANS(E96))</f>
        <v>-0.14379115552570215</v>
      </c>
      <c r="M95" s="558">
        <f t="shared" ref="M95" si="289">L95*SIN(RADIANS(ABS(E96)))</f>
        <v>-2.0675896407416666E-2</v>
      </c>
      <c r="N95" s="559">
        <f>IFERROR(DEGREES(ACOS(ABS(1+(H96-H97)^2+(I96-I97)^2-RedActX^2-RedActY^2)/ABS(2*((H96-H97)^2+(I96-I97)^2)^0.5)-0.00000000001)),90)</f>
        <v>68.129938620664589</v>
      </c>
      <c r="O95" s="556">
        <f>ABS(SIN(RADIANS(N95))*IF(WindFactor=1,SIN(RADIANS(E96)),1))</f>
        <v>0.133442653247038</v>
      </c>
      <c r="P95" s="560"/>
      <c r="Q95" s="561">
        <f t="shared" ref="Q95" si="290">+O95+P96</f>
        <v>0.27723313952213202</v>
      </c>
      <c r="R95" s="562">
        <f t="shared" ref="R95" si="291">-F97*Q95/2</f>
        <v>-1.9931836740952807E-2</v>
      </c>
      <c r="S95" s="563">
        <f t="shared" ref="S95" si="292">-G97*Q95/2</f>
        <v>0.13717607406707805</v>
      </c>
      <c r="T95" s="564">
        <f t="shared" ref="T95" si="293">((H96-H97)^2+(I96-I97)^2)^0.5</f>
        <v>0.46937500058898274</v>
      </c>
      <c r="U95" s="565">
        <f t="shared" ref="U95" si="294">((J96-J97)^2+(K96-K97)^2)^0.5</f>
        <v>0.7519386041689794</v>
      </c>
      <c r="V95" s="616">
        <f>-F97*1</f>
        <v>-0.14379115552570232</v>
      </c>
      <c r="W95" s="617">
        <f>-G97*1</f>
        <v>0.98960805554147713</v>
      </c>
      <c r="X95" s="617">
        <f>-F97*0.75</f>
        <v>-0.10784336664427674</v>
      </c>
      <c r="Y95" s="617">
        <f>-G97*0.75</f>
        <v>0.74220604165610782</v>
      </c>
      <c r="Z95" s="617">
        <f>-F97*0.5</f>
        <v>-7.1895577762851159E-2</v>
      </c>
      <c r="AA95" s="617">
        <f>-G97*0.5</f>
        <v>0.49480402777073856</v>
      </c>
      <c r="AB95" s="617">
        <f>-F97*0.25</f>
        <v>-3.594778888142558E-2</v>
      </c>
      <c r="AC95" s="618">
        <f>-G97*0.25</f>
        <v>0.24740201388536928</v>
      </c>
      <c r="AD95" s="592"/>
      <c r="AE95" s="593"/>
    </row>
    <row r="96" spans="5:31">
      <c r="E96" s="568">
        <f>StartAng+DualIncAng*E95</f>
        <v>-8.2672839508307874</v>
      </c>
      <c r="F96" s="569">
        <v>0</v>
      </c>
      <c r="G96" s="569">
        <v>0</v>
      </c>
      <c r="H96" s="570">
        <f>RedActX</f>
        <v>0.6</v>
      </c>
      <c r="I96" s="570">
        <f>RedActY</f>
        <v>-1.1000000000000001</v>
      </c>
      <c r="J96" s="531">
        <f>IF(DualSingle=2,GrnActX,0)</f>
        <v>-0.6</v>
      </c>
      <c r="K96" s="531">
        <f>IF(DualSingle=2,GrnActY,0)</f>
        <v>-1.1000000000000001</v>
      </c>
      <c r="L96" s="571">
        <f t="shared" ref="L96" si="295">ABS(COS(RADIANS(ABS(E96))))</f>
        <v>0.98960805554147713</v>
      </c>
      <c r="M96" s="572">
        <f t="shared" ref="M96" si="296">L96*SIN(RADIANS(ABS(E96)))</f>
        <v>0.14229688582385222</v>
      </c>
      <c r="N96" s="573">
        <f>IF(DualSingle=2,DEGREES(ACOS(ABS(1+(J96-J97)^2+(K96-K97)^2-GrnActX^2-GrnActY^2)/ABS(2*((J96-J97)^2+(K96-K97)^2)^0.5)-0.00000000001)),0)</f>
        <v>89.825190069944142</v>
      </c>
      <c r="O96" s="574"/>
      <c r="P96" s="531">
        <f>ABS(SIN(RADIANS(N96))*IF(WindFactor=1,SIN(RADIANS(E96)),1))</f>
        <v>0.14379048627509403</v>
      </c>
      <c r="Q96" s="575"/>
      <c r="R96" s="576">
        <f t="shared" ref="R96:S96" si="297">R99</f>
        <v>-9.0111221002266376E-3</v>
      </c>
      <c r="S96" s="534">
        <f t="shared" si="297"/>
        <v>9.3387221750472441E-2</v>
      </c>
      <c r="T96" s="577"/>
      <c r="U96" s="578"/>
      <c r="V96" s="619">
        <f t="shared" ref="V96:AC96" si="298">V99</f>
        <v>-9.6045932619618926E-2</v>
      </c>
      <c r="W96" s="620">
        <f t="shared" si="298"/>
        <v>0.99537690290021685</v>
      </c>
      <c r="X96" s="620">
        <f t="shared" si="298"/>
        <v>-7.2034449464714198E-2</v>
      </c>
      <c r="Y96" s="620">
        <f t="shared" si="298"/>
        <v>0.74653267717516258</v>
      </c>
      <c r="Z96" s="620">
        <f t="shared" si="298"/>
        <v>-4.8022966309809463E-2</v>
      </c>
      <c r="AA96" s="620">
        <f t="shared" si="298"/>
        <v>0.49768845145010843</v>
      </c>
      <c r="AB96" s="620">
        <f t="shared" si="298"/>
        <v>-2.4011483154904732E-2</v>
      </c>
      <c r="AC96" s="621">
        <f t="shared" si="298"/>
        <v>0.24884422572505421</v>
      </c>
      <c r="AD96" s="592"/>
      <c r="AE96" s="593"/>
    </row>
    <row r="97" spans="2:31">
      <c r="E97" s="568"/>
      <c r="F97" s="569">
        <f>SIN(RADIANS(E96-180))*DualRadius</f>
        <v>0.14379115552570232</v>
      </c>
      <c r="G97" s="569">
        <f>COS(RADIANS(E96-180))*DualRadius</f>
        <v>-0.98960805554147713</v>
      </c>
      <c r="H97" s="570">
        <f t="shared" ref="H97" si="299">F97</f>
        <v>0.14379115552570232</v>
      </c>
      <c r="I97" s="570">
        <f t="shared" ref="I97" si="300">G97</f>
        <v>-0.98960805554147713</v>
      </c>
      <c r="J97" s="531">
        <f>IF(DualSingle=2,F97,0)</f>
        <v>0.14379115552570232</v>
      </c>
      <c r="K97" s="531">
        <f>IF(DualSingle=2,G97,0)</f>
        <v>-0.98960805554147713</v>
      </c>
      <c r="L97" s="574"/>
      <c r="M97" s="578"/>
      <c r="N97" s="577"/>
      <c r="O97" s="574"/>
      <c r="P97" s="574"/>
      <c r="Q97" s="575"/>
      <c r="R97" s="581"/>
      <c r="S97" s="512"/>
      <c r="T97" s="577"/>
      <c r="U97" s="578"/>
      <c r="V97" s="622"/>
      <c r="W97" s="623"/>
      <c r="X97" s="623"/>
      <c r="Y97" s="623"/>
      <c r="Z97" s="623"/>
      <c r="AA97" s="623"/>
      <c r="AB97" s="623"/>
      <c r="AC97" s="624"/>
      <c r="AD97" s="592"/>
      <c r="AE97" s="593"/>
    </row>
    <row r="98" spans="2:31" ht="14.4" thickBot="1">
      <c r="E98" s="582"/>
      <c r="F98" s="583"/>
      <c r="G98" s="583"/>
      <c r="H98" s="583"/>
      <c r="I98" s="583"/>
      <c r="J98" s="583"/>
      <c r="K98" s="583"/>
      <c r="L98" s="583"/>
      <c r="M98" s="584"/>
      <c r="N98" s="585"/>
      <c r="O98" s="586"/>
      <c r="P98" s="586"/>
      <c r="Q98" s="587"/>
      <c r="R98" s="588"/>
      <c r="S98" s="589"/>
      <c r="T98" s="585"/>
      <c r="U98" s="584"/>
      <c r="V98" s="625"/>
      <c r="W98" s="583"/>
      <c r="X98" s="583"/>
      <c r="Y98" s="583"/>
      <c r="Z98" s="583"/>
      <c r="AA98" s="583"/>
      <c r="AB98" s="583"/>
      <c r="AC98" s="626"/>
      <c r="AD98" s="592"/>
      <c r="AE98" s="593"/>
    </row>
    <row r="99" spans="2:31">
      <c r="E99" s="554">
        <f t="shared" ref="E99" si="301">E95+1</f>
        <v>23</v>
      </c>
      <c r="F99" s="555">
        <f>IF(WindFactor=1,M99,L99)*DualRadius</f>
        <v>-9.2248211727723808E-3</v>
      </c>
      <c r="G99" s="555">
        <f>IF(WindFactor=1,M100,L100)*DualRadius</f>
        <v>9.5601902947079195E-2</v>
      </c>
      <c r="H99" s="570">
        <f ca="1">((H100-H101)/((H100-H101)^2+(I100-I101)^2)^0.5)*ActBodyLenFact+H100</f>
        <v>0.6</v>
      </c>
      <c r="I99" s="570">
        <f ca="1">((I100-I101)/((H100-H101)^2+(I100-I101)^2)^0.5)*ActBodyLenFact+I100</f>
        <v>-1.1000000000000001</v>
      </c>
      <c r="J99" s="531">
        <f ca="1">IFERROR(((J100-J101)/((J100-J101)^2+(K100-K101)^2)^0.5)*ActBodyLenFact,0)+J100</f>
        <v>-0.6</v>
      </c>
      <c r="K99" s="531">
        <f ca="1">IFERROR(((K100-K101)/((J100-J101)^2+(K100-K101)^2)^0.5)*ActBodyLenFact,0)+K100</f>
        <v>-1.1000000000000001</v>
      </c>
      <c r="L99" s="557">
        <f t="shared" ref="L99" si="302">SIN(RADIANS(E100))</f>
        <v>-9.604593261961894E-2</v>
      </c>
      <c r="M99" s="558">
        <f t="shared" ref="M99" si="303">L99*SIN(RADIANS(ABS(E100)))</f>
        <v>-9.2248211727723808E-3</v>
      </c>
      <c r="N99" s="559">
        <f>IFERROR(DEGREES(ACOS(ABS(1+(H100-H101)^2+(I100-I101)^2-RedActX^2-RedActY^2)/ABS(2*((H100-H101)^2+(I100-I101)^2)^0.5)-0.00000000001)),90)</f>
        <v>72.760220084581448</v>
      </c>
      <c r="O99" s="556">
        <f>ABS(SIN(RADIANS(N99))*IF(WindFactor=1,SIN(RADIANS(E100)),1))</f>
        <v>9.1730860159129846E-2</v>
      </c>
      <c r="P99" s="560"/>
      <c r="Q99" s="561">
        <f t="shared" ref="Q99" si="304">+O99+P100</f>
        <v>0.18764193036501309</v>
      </c>
      <c r="R99" s="562">
        <f t="shared" ref="R99" si="305">-F101*Q99/2</f>
        <v>-9.0111221002266376E-3</v>
      </c>
      <c r="S99" s="563">
        <f t="shared" ref="S99" si="306">-G101*Q99/2</f>
        <v>9.3387221750472441E-2</v>
      </c>
      <c r="T99" s="564">
        <f t="shared" ref="T99" si="307">((H100-H101)^2+(I100-I101)^2)^0.5</f>
        <v>0.51469961577213197</v>
      </c>
      <c r="U99" s="565">
        <f t="shared" ref="U99" si="308">((J100-J101)^2+(K100-K101)^2)^0.5</f>
        <v>0.70386499612004128</v>
      </c>
      <c r="V99" s="616">
        <f>-F101*1</f>
        <v>-9.6045932619618926E-2</v>
      </c>
      <c r="W99" s="617">
        <f>-G101*1</f>
        <v>0.99537690290021685</v>
      </c>
      <c r="X99" s="617">
        <f>-F101*0.75</f>
        <v>-7.2034449464714198E-2</v>
      </c>
      <c r="Y99" s="617">
        <f>-G101*0.75</f>
        <v>0.74653267717516258</v>
      </c>
      <c r="Z99" s="617">
        <f>-F101*0.5</f>
        <v>-4.8022966309809463E-2</v>
      </c>
      <c r="AA99" s="617">
        <f>-G101*0.5</f>
        <v>0.49768845145010843</v>
      </c>
      <c r="AB99" s="617">
        <f>-F101*0.25</f>
        <v>-2.4011483154904732E-2</v>
      </c>
      <c r="AC99" s="618">
        <f>-G101*0.25</f>
        <v>0.24884422572505421</v>
      </c>
      <c r="AD99" s="592"/>
      <c r="AE99" s="593"/>
    </row>
    <row r="100" spans="2:31">
      <c r="E100" s="568">
        <f>StartAng+DualIncAng*E99</f>
        <v>-5.5115226338871892</v>
      </c>
      <c r="F100" s="569">
        <v>0</v>
      </c>
      <c r="G100" s="569">
        <v>0</v>
      </c>
      <c r="H100" s="570">
        <f>RedActX</f>
        <v>0.6</v>
      </c>
      <c r="I100" s="570">
        <f>RedActY</f>
        <v>-1.1000000000000001</v>
      </c>
      <c r="J100" s="531">
        <f>IF(DualSingle=2,GrnActX,0)</f>
        <v>-0.6</v>
      </c>
      <c r="K100" s="531">
        <f>IF(DualSingle=2,GrnActY,0)</f>
        <v>-1.1000000000000001</v>
      </c>
      <c r="L100" s="571">
        <f t="shared" ref="L100" si="309">ABS(COS(RADIANS(ABS(E100))))</f>
        <v>0.99537690290021674</v>
      </c>
      <c r="M100" s="572">
        <f t="shared" ref="M100" si="310">L100*SIN(RADIANS(ABS(E100)))</f>
        <v>9.5601902947079195E-2</v>
      </c>
      <c r="N100" s="573">
        <f>IF(DualSingle=2,DEGREES(ACOS(ABS(1+(J100-J101)^2+(K100-K101)^2-GrnActX^2-GrnActY^2)/ABS(2*((J100-J101)^2+(K100-K101)^2)^0.5)-0.00000000001)),0)</f>
        <v>86.963352114625522</v>
      </c>
      <c r="O100" s="574"/>
      <c r="P100" s="531">
        <f>ABS(SIN(RADIANS(N100))*IF(WindFactor=1,SIN(RADIANS(E100)),1))</f>
        <v>9.5911070205883228E-2</v>
      </c>
      <c r="Q100" s="575"/>
      <c r="R100" s="576">
        <f t="shared" ref="R100:S100" si="311">R103</f>
        <v>-2.2747018384175702E-3</v>
      </c>
      <c r="S100" s="534">
        <f t="shared" si="311"/>
        <v>4.72574671885269E-2</v>
      </c>
      <c r="T100" s="577"/>
      <c r="U100" s="578"/>
      <c r="V100" s="619">
        <f t="shared" ref="V100:AC100" si="312">V103</f>
        <v>-4.8078566429247592E-2</v>
      </c>
      <c r="W100" s="620">
        <f t="shared" si="312"/>
        <v>0.99884355704490002</v>
      </c>
      <c r="X100" s="620">
        <f t="shared" si="312"/>
        <v>-3.6058924821935692E-2</v>
      </c>
      <c r="Y100" s="620">
        <f t="shared" si="312"/>
        <v>0.74913266778367504</v>
      </c>
      <c r="Z100" s="620">
        <f t="shared" si="312"/>
        <v>-2.4039283214623796E-2</v>
      </c>
      <c r="AA100" s="620">
        <f t="shared" si="312"/>
        <v>0.49942177852245001</v>
      </c>
      <c r="AB100" s="620">
        <f t="shared" si="312"/>
        <v>-1.2019641607311898E-2</v>
      </c>
      <c r="AC100" s="621">
        <f t="shared" si="312"/>
        <v>0.24971088926122501</v>
      </c>
      <c r="AD100" s="592"/>
      <c r="AE100" s="593"/>
    </row>
    <row r="101" spans="2:31">
      <c r="E101" s="568"/>
      <c r="F101" s="569">
        <f>SIN(RADIANS(E100-180))*DualRadius</f>
        <v>9.6045932619618926E-2</v>
      </c>
      <c r="G101" s="569">
        <f>COS(RADIANS(E100-180))*DualRadius</f>
        <v>-0.99537690290021685</v>
      </c>
      <c r="H101" s="570">
        <f t="shared" ref="H101" si="313">F101</f>
        <v>9.6045932619618926E-2</v>
      </c>
      <c r="I101" s="570">
        <f t="shared" ref="I101" si="314">G101</f>
        <v>-0.99537690290021685</v>
      </c>
      <c r="J101" s="531">
        <f>IF(DualSingle=2,F101,0)</f>
        <v>9.6045932619618926E-2</v>
      </c>
      <c r="K101" s="531">
        <f>IF(DualSingle=2,G101,0)</f>
        <v>-0.99537690290021685</v>
      </c>
      <c r="L101" s="574"/>
      <c r="M101" s="578"/>
      <c r="N101" s="577"/>
      <c r="O101" s="574"/>
      <c r="P101" s="574"/>
      <c r="Q101" s="575"/>
      <c r="R101" s="581"/>
      <c r="S101" s="512"/>
      <c r="T101" s="577"/>
      <c r="U101" s="578"/>
      <c r="V101" s="622"/>
      <c r="W101" s="623"/>
      <c r="X101" s="623"/>
      <c r="Y101" s="623"/>
      <c r="Z101" s="623"/>
      <c r="AA101" s="623"/>
      <c r="AB101" s="623"/>
      <c r="AC101" s="624"/>
      <c r="AD101" s="592"/>
      <c r="AE101" s="593"/>
    </row>
    <row r="102" spans="2:31" ht="14.4" thickBot="1">
      <c r="E102" s="582"/>
      <c r="F102" s="583"/>
      <c r="G102" s="583"/>
      <c r="H102" s="583"/>
      <c r="I102" s="583"/>
      <c r="J102" s="583"/>
      <c r="K102" s="583"/>
      <c r="L102" s="583"/>
      <c r="M102" s="584"/>
      <c r="N102" s="585"/>
      <c r="O102" s="586"/>
      <c r="P102" s="586"/>
      <c r="Q102" s="587"/>
      <c r="R102" s="588"/>
      <c r="S102" s="589"/>
      <c r="T102" s="585"/>
      <c r="U102" s="584"/>
      <c r="V102" s="625"/>
      <c r="W102" s="583"/>
      <c r="X102" s="583"/>
      <c r="Y102" s="583"/>
      <c r="Z102" s="583"/>
      <c r="AA102" s="583"/>
      <c r="AB102" s="583"/>
      <c r="AC102" s="626"/>
      <c r="AD102" s="592"/>
      <c r="AE102" s="593"/>
    </row>
    <row r="103" spans="2:31">
      <c r="E103" s="554">
        <f t="shared" ref="E103" si="315">E99+1</f>
        <v>24</v>
      </c>
      <c r="F103" s="555">
        <f>IF(WindFactor=1,M103,L103)*DualRadius</f>
        <v>-2.3115485498915954E-3</v>
      </c>
      <c r="G103" s="555">
        <f>IF(WindFactor=1,M104,L104)*DualRadius</f>
        <v>4.8022966309809408E-2</v>
      </c>
      <c r="H103" s="570">
        <f ca="1">((H104-H105)/((H104-H105)^2+(I104-I105)^2)^0.5)*ActBodyLenFact+H104</f>
        <v>0.6</v>
      </c>
      <c r="I103" s="570">
        <f ca="1">((I104-I105)/((H104-H105)^2+(I104-I105)^2)^0.5)*ActBodyLenFact+I104</f>
        <v>-1.1000000000000001</v>
      </c>
      <c r="J103" s="531">
        <f ca="1">IFERROR(((J104-J105)/((J104-J105)^2+(K104-K105)^2)^0.5)*ActBodyLenFact,0)+J104</f>
        <v>-0.6</v>
      </c>
      <c r="K103" s="531">
        <f ca="1">IFERROR(((K104-K105)/((J104-J105)^2+(K104-K105)^2)^0.5)*ActBodyLenFact,0)+K104</f>
        <v>-1.1000000000000001</v>
      </c>
      <c r="L103" s="557">
        <f t="shared" ref="L103" si="316">SIN(RADIANS(E104))</f>
        <v>-4.8078566429247821E-2</v>
      </c>
      <c r="M103" s="558">
        <f t="shared" ref="M103" si="317">L103*SIN(RADIANS(ABS(E104)))</f>
        <v>-2.3115485498915954E-3</v>
      </c>
      <c r="N103" s="559">
        <f>IFERROR(DEGREES(ACOS(ABS(1+(H104-H105)^2+(I104-I105)^2-RedActX^2-RedActY^2)/ABS(2*((H104-H105)^2+(I104-I105)^2)^0.5)-0.00000000001)),90)</f>
        <v>76.858308918231174</v>
      </c>
      <c r="O103" s="556">
        <f>ABS(SIN(RADIANS(N103))*IF(WindFactor=1,SIN(RADIANS(E104)),1))</f>
        <v>4.681942663079295E-2</v>
      </c>
      <c r="P103" s="560"/>
      <c r="Q103" s="561">
        <f t="shared" ref="Q103" si="318">+O103+P104</f>
        <v>9.4624362053931904E-2</v>
      </c>
      <c r="R103" s="562">
        <f t="shared" ref="R103" si="319">-F105*Q103/2</f>
        <v>-2.2747018384175702E-3</v>
      </c>
      <c r="S103" s="563">
        <f t="shared" ref="S103" si="320">-G105*Q103/2</f>
        <v>4.72574671885269E-2</v>
      </c>
      <c r="T103" s="564">
        <f t="shared" ref="T103" si="321">((H104-H105)^2+(I104-I105)^2)^0.5</f>
        <v>0.56111486772863439</v>
      </c>
      <c r="U103" s="565">
        <f t="shared" ref="U103" si="322">((J104-J105)^2+(K104-K105)^2)^0.5</f>
        <v>0.65592564686579913</v>
      </c>
      <c r="V103" s="616">
        <f>-F105*1</f>
        <v>-4.8078566429247592E-2</v>
      </c>
      <c r="W103" s="617">
        <f>-G105*1</f>
        <v>0.99884355704490002</v>
      </c>
      <c r="X103" s="617">
        <f>-F105*0.75</f>
        <v>-3.6058924821935692E-2</v>
      </c>
      <c r="Y103" s="617">
        <f>-G105*0.75</f>
        <v>0.74913266778367504</v>
      </c>
      <c r="Z103" s="617">
        <f>-F105*0.5</f>
        <v>-2.4039283214623796E-2</v>
      </c>
      <c r="AA103" s="617">
        <f>-G105*0.5</f>
        <v>0.49942177852245001</v>
      </c>
      <c r="AB103" s="617">
        <f>-F105*0.25</f>
        <v>-1.2019641607311898E-2</v>
      </c>
      <c r="AC103" s="618">
        <f>-G105*0.25</f>
        <v>0.24971088926122501</v>
      </c>
      <c r="AD103" s="592"/>
      <c r="AE103" s="593"/>
    </row>
    <row r="104" spans="2:31">
      <c r="E104" s="568">
        <f>StartAng+DualIncAng*E103</f>
        <v>-2.7557613169435911</v>
      </c>
      <c r="F104" s="569">
        <v>0</v>
      </c>
      <c r="G104" s="569">
        <v>0</v>
      </c>
      <c r="H104" s="570">
        <f>RedActX</f>
        <v>0.6</v>
      </c>
      <c r="I104" s="570">
        <f>RedActY</f>
        <v>-1.1000000000000001</v>
      </c>
      <c r="J104" s="531">
        <f>IF(DualSingle=2,GrnActX,0)</f>
        <v>-0.6</v>
      </c>
      <c r="K104" s="531">
        <f>IF(DualSingle=2,GrnActY,0)</f>
        <v>-1.1000000000000001</v>
      </c>
      <c r="L104" s="571">
        <f t="shared" ref="L104" si="323">ABS(COS(RADIANS(ABS(E104))))</f>
        <v>0.99884355704490002</v>
      </c>
      <c r="M104" s="572">
        <f t="shared" ref="M104" si="324">L104*SIN(RADIANS(ABS(E104)))</f>
        <v>4.8022966309809408E-2</v>
      </c>
      <c r="N104" s="573">
        <f>IF(DualSingle=2,DEGREES(ACOS(ABS(1+(J104-J105)^2+(K104-K105)^2-GrnActX^2-GrnActY^2)/ABS(2*((J104-J105)^2+(K104-K105)^2)^0.5)-0.00000000001)),0)</f>
        <v>83.884235968440194</v>
      </c>
      <c r="O104" s="574"/>
      <c r="P104" s="531">
        <f>ABS(SIN(RADIANS(N104))*IF(WindFactor=1,SIN(RADIANS(E104)),1))</f>
        <v>4.7804935423138954E-2</v>
      </c>
      <c r="Q104" s="575"/>
      <c r="R104" s="576">
        <f t="shared" ref="R104:S104" si="325">R107</f>
        <v>0</v>
      </c>
      <c r="S104" s="534">
        <f t="shared" si="325"/>
        <v>0</v>
      </c>
      <c r="T104" s="577"/>
      <c r="U104" s="578"/>
      <c r="V104" s="619">
        <f t="shared" ref="V104:AC104" si="326">V107</f>
        <v>1.22514845490862E-16</v>
      </c>
      <c r="W104" s="620">
        <f t="shared" si="326"/>
        <v>1</v>
      </c>
      <c r="X104" s="620">
        <f t="shared" si="326"/>
        <v>9.1886134118146501E-17</v>
      </c>
      <c r="Y104" s="620">
        <f t="shared" si="326"/>
        <v>0.75</v>
      </c>
      <c r="Z104" s="620">
        <f t="shared" si="326"/>
        <v>6.1257422745431001E-17</v>
      </c>
      <c r="AA104" s="620">
        <f t="shared" si="326"/>
        <v>0.5</v>
      </c>
      <c r="AB104" s="620">
        <f t="shared" si="326"/>
        <v>3.06287113727155E-17</v>
      </c>
      <c r="AC104" s="621">
        <f t="shared" si="326"/>
        <v>0.25</v>
      </c>
      <c r="AD104" s="592"/>
      <c r="AE104" s="593"/>
    </row>
    <row r="105" spans="2:31">
      <c r="E105" s="568"/>
      <c r="F105" s="569">
        <f>SIN(RADIANS(E104-180))*DualRadius</f>
        <v>4.8078566429247592E-2</v>
      </c>
      <c r="G105" s="569">
        <f>COS(RADIANS(E104-180))*DualRadius</f>
        <v>-0.99884355704490002</v>
      </c>
      <c r="H105" s="570">
        <f t="shared" ref="H105" si="327">F105</f>
        <v>4.8078566429247592E-2</v>
      </c>
      <c r="I105" s="570">
        <f t="shared" ref="I105" si="328">G105</f>
        <v>-0.99884355704490002</v>
      </c>
      <c r="J105" s="531">
        <f>IF(DualSingle=2,F105,0)</f>
        <v>4.8078566429247592E-2</v>
      </c>
      <c r="K105" s="531">
        <f>IF(DualSingle=2,G105,0)</f>
        <v>-0.99884355704490002</v>
      </c>
      <c r="L105" s="574"/>
      <c r="M105" s="578"/>
      <c r="N105" s="577"/>
      <c r="O105" s="574"/>
      <c r="P105" s="574"/>
      <c r="Q105" s="575"/>
      <c r="R105" s="581"/>
      <c r="S105" s="512"/>
      <c r="T105" s="577"/>
      <c r="U105" s="578"/>
      <c r="V105" s="622"/>
      <c r="W105" s="623"/>
      <c r="X105" s="623"/>
      <c r="Y105" s="623"/>
      <c r="Z105" s="623"/>
      <c r="AA105" s="623"/>
      <c r="AB105" s="623"/>
      <c r="AC105" s="624"/>
      <c r="AD105" s="592"/>
      <c r="AE105" s="593"/>
    </row>
    <row r="106" spans="2:31" ht="14.4" thickBot="1">
      <c r="E106" s="582"/>
      <c r="F106" s="583"/>
      <c r="G106" s="583"/>
      <c r="H106" s="583"/>
      <c r="I106" s="583"/>
      <c r="J106" s="583"/>
      <c r="K106" s="583"/>
      <c r="L106" s="583"/>
      <c r="M106" s="584"/>
      <c r="N106" s="585"/>
      <c r="O106" s="586"/>
      <c r="P106" s="586"/>
      <c r="Q106" s="587"/>
      <c r="R106" s="588"/>
      <c r="S106" s="589"/>
      <c r="T106" s="585"/>
      <c r="U106" s="584"/>
      <c r="V106" s="625"/>
      <c r="W106" s="583"/>
      <c r="X106" s="583"/>
      <c r="Y106" s="583"/>
      <c r="Z106" s="583"/>
      <c r="AA106" s="583"/>
      <c r="AB106" s="583"/>
      <c r="AC106" s="626"/>
      <c r="AD106" s="592"/>
      <c r="AE106" s="593"/>
    </row>
    <row r="107" spans="2:31">
      <c r="E107" s="554">
        <f t="shared" ref="E107" si="329">E103+1</f>
        <v>25</v>
      </c>
      <c r="F107" s="555">
        <f>IF(WindFactor=1,M107,L107)*DualRadius</f>
        <v>0</v>
      </c>
      <c r="G107" s="555">
        <f>IF(WindFactor=1,M108,L108)*DualRadius</f>
        <v>0</v>
      </c>
      <c r="H107" s="570">
        <f ca="1">((H108-H109)/((H108-H109)^2+(I108-I109)^2)^0.5)*ActBodyLenFact+H108</f>
        <v>0.6</v>
      </c>
      <c r="I107" s="570">
        <f ca="1">((I108-I109)/((H108-H109)^2+(I108-I109)^2)^0.5)*ActBodyLenFact+I108</f>
        <v>-1.1000000000000001</v>
      </c>
      <c r="J107" s="531">
        <f ca="1">IFERROR(((J108-J109)/((J108-J109)^2+(K108-K109)^2)^0.5)*ActBodyLenFact,0)+J108</f>
        <v>-0.6</v>
      </c>
      <c r="K107" s="531">
        <f ca="1">IFERROR(((K108-K109)/((J108-J109)^2+(K108-K109)^2)^0.5)*ActBodyLenFact,0)+K108</f>
        <v>-1.1000000000000001</v>
      </c>
      <c r="L107" s="557">
        <f t="shared" ref="L107" si="330">SIN(RADIANS(E108))</f>
        <v>0</v>
      </c>
      <c r="M107" s="558">
        <f t="shared" ref="M107" si="331">L107*SIN(RADIANS(ABS(E108)))</f>
        <v>0</v>
      </c>
      <c r="N107" s="559">
        <f>IFERROR(DEGREES(ACOS(ABS(1+(H108-H109)^2+(I108-I109)^2-RedActX^2-RedActY^2)/ABS(2*((H108-H109)^2+(I108-I109)^2)^0.5)-0.00000000001)),90)</f>
        <v>80.537677792555243</v>
      </c>
      <c r="O107" s="556">
        <f>ABS(SIN(RADIANS(N107))*IF(WindFactor=1,SIN(RADIANS(E108)),1))</f>
        <v>0</v>
      </c>
      <c r="P107" s="560"/>
      <c r="Q107" s="561">
        <f t="shared" ref="Q107" si="332">+O107+P108</f>
        <v>0</v>
      </c>
      <c r="R107" s="562">
        <f t="shared" ref="R107" si="333">-F109*Q107/2</f>
        <v>0</v>
      </c>
      <c r="S107" s="563">
        <f t="shared" ref="S107" si="334">-G109*Q107/2</f>
        <v>0</v>
      </c>
      <c r="T107" s="564">
        <f t="shared" ref="T107" si="335">((H108-H109)^2+(I108-I109)^2)^0.5</f>
        <v>0.60827625302982202</v>
      </c>
      <c r="U107" s="565">
        <f t="shared" ref="U107" si="336">((J108-J109)^2+(K108-K109)^2)^0.5</f>
        <v>0.6082762530298218</v>
      </c>
      <c r="V107" s="616">
        <f>-F109*1</f>
        <v>1.22514845490862E-16</v>
      </c>
      <c r="W107" s="617">
        <f>-G109*1</f>
        <v>1</v>
      </c>
      <c r="X107" s="617">
        <f>-F109*0.75</f>
        <v>9.1886134118146501E-17</v>
      </c>
      <c r="Y107" s="617">
        <f>-G109*0.75</f>
        <v>0.75</v>
      </c>
      <c r="Z107" s="617">
        <f>-F109*0.5</f>
        <v>6.1257422745431001E-17</v>
      </c>
      <c r="AA107" s="617">
        <f>-G109*0.5</f>
        <v>0.5</v>
      </c>
      <c r="AB107" s="617">
        <f>-F109*0.25</f>
        <v>3.06287113727155E-17</v>
      </c>
      <c r="AC107" s="618">
        <f>-G109*0.25</f>
        <v>0.25</v>
      </c>
      <c r="AD107" s="592"/>
      <c r="AE107" s="593"/>
    </row>
    <row r="108" spans="2:31">
      <c r="E108" s="568">
        <f>StartAng+DualIncAng*E107</f>
        <v>0</v>
      </c>
      <c r="F108" s="569">
        <v>0</v>
      </c>
      <c r="G108" s="569">
        <v>0</v>
      </c>
      <c r="H108" s="570">
        <f>RedActX</f>
        <v>0.6</v>
      </c>
      <c r="I108" s="570">
        <f>RedActY</f>
        <v>-1.1000000000000001</v>
      </c>
      <c r="J108" s="531">
        <f>IF(DualSingle=2,GrnActX,0)</f>
        <v>-0.6</v>
      </c>
      <c r="K108" s="531">
        <f>IF(DualSingle=2,GrnActY,0)</f>
        <v>-1.1000000000000001</v>
      </c>
      <c r="L108" s="571">
        <f t="shared" ref="L108" si="337">ABS(COS(RADIANS(ABS(E108))))</f>
        <v>1</v>
      </c>
      <c r="M108" s="572">
        <f t="shared" ref="M108" si="338">L108*SIN(RADIANS(ABS(E108)))</f>
        <v>0</v>
      </c>
      <c r="N108" s="573">
        <f>IF(DualSingle=2,DEGREES(ACOS(ABS(1+(J108-J109)^2+(K108-K109)^2-GrnActX^2-GrnActY^2)/ABS(2*((J108-J109)^2+(K108-K109)^2)^0.5)-0.00000000001)),0)</f>
        <v>80.537677792555229</v>
      </c>
      <c r="O108" s="574"/>
      <c r="P108" s="531">
        <f>ABS(SIN(RADIANS(N108))*IF(WindFactor=1,SIN(RADIANS(E108)),1))</f>
        <v>0</v>
      </c>
      <c r="Q108" s="575"/>
      <c r="R108" s="576">
        <f t="shared" ref="R108:S108" si="339">R111</f>
        <v>2.2747018384176145E-3</v>
      </c>
      <c r="S108" s="534">
        <f t="shared" si="339"/>
        <v>4.7257467188527143E-2</v>
      </c>
      <c r="T108" s="577"/>
      <c r="U108" s="578"/>
      <c r="V108" s="619">
        <f t="shared" ref="V108:AC108" si="340">V111</f>
        <v>4.8078566429248286E-2</v>
      </c>
      <c r="W108" s="620">
        <f t="shared" si="340"/>
        <v>0.99884355704490002</v>
      </c>
      <c r="X108" s="620">
        <f t="shared" si="340"/>
        <v>3.6058924821936213E-2</v>
      </c>
      <c r="Y108" s="620">
        <f t="shared" si="340"/>
        <v>0.74913266778367504</v>
      </c>
      <c r="Z108" s="620">
        <f t="shared" si="340"/>
        <v>2.4039283214624143E-2</v>
      </c>
      <c r="AA108" s="620">
        <f t="shared" si="340"/>
        <v>0.49942177852245001</v>
      </c>
      <c r="AB108" s="620">
        <f t="shared" si="340"/>
        <v>1.2019641607312071E-2</v>
      </c>
      <c r="AC108" s="621">
        <f t="shared" si="340"/>
        <v>0.24971088926122501</v>
      </c>
      <c r="AD108" s="592"/>
      <c r="AE108" s="593"/>
    </row>
    <row r="109" spans="2:31">
      <c r="E109" s="568"/>
      <c r="F109" s="569">
        <f>SIN(RADIANS(E108-180))*DualRadius</f>
        <v>-1.22514845490862E-16</v>
      </c>
      <c r="G109" s="569">
        <f>COS(RADIANS(E108-180))*DualRadius</f>
        <v>-1</v>
      </c>
      <c r="H109" s="570">
        <f t="shared" ref="H109" si="341">F109</f>
        <v>-1.22514845490862E-16</v>
      </c>
      <c r="I109" s="570">
        <f t="shared" ref="I109" si="342">G109</f>
        <v>-1</v>
      </c>
      <c r="J109" s="531">
        <f>IF(DualSingle=2,F109,0)</f>
        <v>-1.22514845490862E-16</v>
      </c>
      <c r="K109" s="531">
        <f>IF(DualSingle=2,G109,0)</f>
        <v>-1</v>
      </c>
      <c r="L109" s="574"/>
      <c r="M109" s="578"/>
      <c r="N109" s="577"/>
      <c r="O109" s="574"/>
      <c r="P109" s="574"/>
      <c r="Q109" s="575"/>
      <c r="R109" s="581"/>
      <c r="S109" s="512"/>
      <c r="T109" s="577"/>
      <c r="U109" s="578"/>
      <c r="V109" s="622"/>
      <c r="W109" s="623"/>
      <c r="X109" s="623"/>
      <c r="Y109" s="623"/>
      <c r="Z109" s="623"/>
      <c r="AA109" s="623"/>
      <c r="AB109" s="623"/>
      <c r="AC109" s="624"/>
      <c r="AD109" s="592"/>
      <c r="AE109" s="593"/>
    </row>
    <row r="110" spans="2:31" ht="14.4" thickBot="1">
      <c r="E110" s="582"/>
      <c r="F110" s="583"/>
      <c r="G110" s="583"/>
      <c r="H110" s="583"/>
      <c r="I110" s="583"/>
      <c r="J110" s="583"/>
      <c r="K110" s="583"/>
      <c r="L110" s="583"/>
      <c r="M110" s="584"/>
      <c r="N110" s="585"/>
      <c r="O110" s="586"/>
      <c r="P110" s="586"/>
      <c r="Q110" s="587"/>
      <c r="R110" s="588"/>
      <c r="S110" s="589"/>
      <c r="T110" s="585"/>
      <c r="U110" s="584"/>
      <c r="V110" s="625"/>
      <c r="W110" s="583"/>
      <c r="X110" s="583"/>
      <c r="Y110" s="583"/>
      <c r="Z110" s="583"/>
      <c r="AA110" s="583"/>
      <c r="AB110" s="583"/>
      <c r="AC110" s="626"/>
      <c r="AD110" s="592"/>
      <c r="AE110" s="593"/>
    </row>
    <row r="111" spans="2:31">
      <c r="E111" s="554">
        <f t="shared" ref="E111" si="343">E107+1</f>
        <v>26</v>
      </c>
      <c r="F111" s="555">
        <f>IF(WindFactor=1,M111,L111)*DualRadius</f>
        <v>2.3115485498916197E-3</v>
      </c>
      <c r="G111" s="555">
        <f>IF(WindFactor=1,M112,L112)*DualRadius</f>
        <v>4.8022966309809657E-2</v>
      </c>
      <c r="H111" s="570">
        <f ca="1">((H112-H113)/((H112-H113)^2+(I112-I113)^2)^0.5)*ActBodyLenFact+H112</f>
        <v>0.6</v>
      </c>
      <c r="I111" s="570">
        <f ca="1">((I112-I113)/((H112-H113)^2+(I112-I113)^2)^0.5)*ActBodyLenFact+I112</f>
        <v>-1.1000000000000001</v>
      </c>
      <c r="J111" s="531">
        <f ca="1">IFERROR(((J112-J113)/((J112-J113)^2+(K112-K113)^2)^0.5)*ActBodyLenFact,0)+J112</f>
        <v>-0.6</v>
      </c>
      <c r="K111" s="531">
        <f ca="1">IFERROR(((K112-K113)/((J112-J113)^2+(K112-K113)^2)^0.5)*ActBodyLenFact,0)+K112</f>
        <v>-1.1000000000000001</v>
      </c>
      <c r="L111" s="557">
        <f t="shared" ref="L111" si="344">SIN(RADIANS(E112))</f>
        <v>4.8078566429248071E-2</v>
      </c>
      <c r="M111" s="558">
        <f t="shared" ref="M111" si="345">L111*SIN(RADIANS(ABS(E112)))</f>
        <v>2.3115485498916197E-3</v>
      </c>
      <c r="N111" s="559">
        <f>IFERROR(DEGREES(ACOS(ABS(1+(H112-H113)^2+(I112-I113)^2-RedActX^2-RedActY^2)/ABS(2*((H112-H113)^2+(I112-I113)^2)^0.5)-0.00000000001)),90)</f>
        <v>83.884235968440237</v>
      </c>
      <c r="O111" s="556">
        <f>ABS(SIN(RADIANS(N111))*IF(WindFactor=1,SIN(RADIANS(E112)),1))</f>
        <v>4.7804935423139211E-2</v>
      </c>
      <c r="P111" s="560"/>
      <c r="Q111" s="561">
        <f t="shared" ref="Q111" si="346">+O111+P112</f>
        <v>9.462436205393239E-2</v>
      </c>
      <c r="R111" s="562">
        <f t="shared" ref="R111" si="347">-F113*Q111/2</f>
        <v>2.2747018384176145E-3</v>
      </c>
      <c r="S111" s="563">
        <f t="shared" ref="S111" si="348">-G113*Q111/2</f>
        <v>4.7257467188527143E-2</v>
      </c>
      <c r="T111" s="564">
        <f t="shared" ref="T111" si="349">((H112-H113)^2+(I112-I113)^2)^0.5</f>
        <v>0.65592564686579979</v>
      </c>
      <c r="U111" s="565">
        <f t="shared" ref="U111" si="350">((J112-J113)^2+(K112-K113)^2)^0.5</f>
        <v>0.56111486772863373</v>
      </c>
      <c r="V111" s="616">
        <f>-F113*1</f>
        <v>4.8078566429248286E-2</v>
      </c>
      <c r="W111" s="617">
        <f>-G113*1</f>
        <v>0.99884355704490002</v>
      </c>
      <c r="X111" s="617">
        <f>-F113*0.75</f>
        <v>3.6058924821936213E-2</v>
      </c>
      <c r="Y111" s="617">
        <f>-G113*0.75</f>
        <v>0.74913266778367504</v>
      </c>
      <c r="Z111" s="617">
        <f>-F113*0.5</f>
        <v>2.4039283214624143E-2</v>
      </c>
      <c r="AA111" s="617">
        <f>-G113*0.5</f>
        <v>0.49942177852245001</v>
      </c>
      <c r="AB111" s="617">
        <f>-F113*0.25</f>
        <v>1.2019641607312071E-2</v>
      </c>
      <c r="AC111" s="618">
        <f>-G113*0.25</f>
        <v>0.24971088926122501</v>
      </c>
      <c r="AD111" s="592"/>
      <c r="AE111" s="593"/>
    </row>
    <row r="112" spans="2:31">
      <c r="B112" s="202" t="e">
        <f>SIN(RADIANS(N107))/IF(WindFactor=1,SIN(RADIANS(E108)),1)</f>
        <v>#DIV/0!</v>
      </c>
      <c r="E112" s="568">
        <f>StartAng+DualIncAng*E111</f>
        <v>2.7557613169436053</v>
      </c>
      <c r="F112" s="569">
        <v>0</v>
      </c>
      <c r="G112" s="569">
        <v>0</v>
      </c>
      <c r="H112" s="570">
        <f>RedActX</f>
        <v>0.6</v>
      </c>
      <c r="I112" s="570">
        <f>RedActY</f>
        <v>-1.1000000000000001</v>
      </c>
      <c r="J112" s="531">
        <f>IF(DualSingle=2,GrnActX,0)</f>
        <v>-0.6</v>
      </c>
      <c r="K112" s="531">
        <f>IF(DualSingle=2,GrnActY,0)</f>
        <v>-1.1000000000000001</v>
      </c>
      <c r="L112" s="571">
        <f t="shared" ref="L112" si="351">ABS(COS(RADIANS(ABS(E112))))</f>
        <v>0.99884355704490002</v>
      </c>
      <c r="M112" s="572">
        <f t="shared" ref="M112" si="352">L112*SIN(RADIANS(ABS(E112)))</f>
        <v>4.8022966309809657E-2</v>
      </c>
      <c r="N112" s="573">
        <f>IF(DualSingle=2,DEGREES(ACOS(ABS(1+(J112-J113)^2+(K112-K113)^2-GrnActX^2-GrnActY^2)/ABS(2*((J112-J113)^2+(K112-K113)^2)^0.5)-0.00000000001)),0)</f>
        <v>76.858308918231131</v>
      </c>
      <c r="O112" s="574"/>
      <c r="P112" s="531">
        <f>ABS(SIN(RADIANS(N112))*IF(WindFactor=1,SIN(RADIANS(E112)),1))</f>
        <v>4.6819426630793179E-2</v>
      </c>
      <c r="Q112" s="575"/>
      <c r="R112" s="576">
        <f t="shared" ref="R112:S112" si="353">R115</f>
        <v>9.0111221002266307E-3</v>
      </c>
      <c r="S112" s="534">
        <f t="shared" si="353"/>
        <v>9.3387221750472565E-2</v>
      </c>
      <c r="T112" s="577"/>
      <c r="U112" s="578"/>
      <c r="V112" s="619">
        <f t="shared" ref="V112:AC112" si="354">V115</f>
        <v>9.6045932619618732E-2</v>
      </c>
      <c r="W112" s="620">
        <f t="shared" si="354"/>
        <v>0.99537690290021685</v>
      </c>
      <c r="X112" s="620">
        <f t="shared" si="354"/>
        <v>7.2034449464714045E-2</v>
      </c>
      <c r="Y112" s="620">
        <f t="shared" si="354"/>
        <v>0.74653267717516258</v>
      </c>
      <c r="Z112" s="620">
        <f t="shared" si="354"/>
        <v>4.8022966309809366E-2</v>
      </c>
      <c r="AA112" s="620">
        <f t="shared" si="354"/>
        <v>0.49768845145010843</v>
      </c>
      <c r="AB112" s="620">
        <f t="shared" si="354"/>
        <v>2.4011483154904683E-2</v>
      </c>
      <c r="AC112" s="621">
        <f t="shared" si="354"/>
        <v>0.24884422572505421</v>
      </c>
      <c r="AD112" s="592"/>
      <c r="AE112" s="593"/>
    </row>
    <row r="113" spans="2:31">
      <c r="B113" s="202">
        <f>SIN(RADIANS(E108))</f>
        <v>0</v>
      </c>
      <c r="E113" s="568"/>
      <c r="F113" s="569">
        <f>SIN(RADIANS(E112-180))*DualRadius</f>
        <v>-4.8078566429248286E-2</v>
      </c>
      <c r="G113" s="569">
        <f>COS(RADIANS(E112-180))*DualRadius</f>
        <v>-0.99884355704490002</v>
      </c>
      <c r="H113" s="570">
        <f t="shared" ref="H113" si="355">F113</f>
        <v>-4.8078566429248286E-2</v>
      </c>
      <c r="I113" s="570">
        <f t="shared" ref="I113" si="356">G113</f>
        <v>-0.99884355704490002</v>
      </c>
      <c r="J113" s="531">
        <f>IF(DualSingle=2,F113,0)</f>
        <v>-4.8078566429248286E-2</v>
      </c>
      <c r="K113" s="531">
        <f>IF(DualSingle=2,G113,0)</f>
        <v>-0.99884355704490002</v>
      </c>
      <c r="L113" s="574"/>
      <c r="M113" s="578"/>
      <c r="N113" s="577"/>
      <c r="O113" s="574"/>
      <c r="P113" s="574"/>
      <c r="Q113" s="575"/>
      <c r="R113" s="581"/>
      <c r="S113" s="512"/>
      <c r="T113" s="577"/>
      <c r="U113" s="578"/>
      <c r="V113" s="622"/>
      <c r="W113" s="623"/>
      <c r="X113" s="623"/>
      <c r="Y113" s="623"/>
      <c r="Z113" s="623"/>
      <c r="AA113" s="623"/>
      <c r="AB113" s="623"/>
      <c r="AC113" s="624"/>
      <c r="AD113" s="592"/>
      <c r="AE113" s="593"/>
    </row>
    <row r="114" spans="2:31" ht="14.4" thickBot="1">
      <c r="E114" s="582"/>
      <c r="F114" s="583"/>
      <c r="G114" s="583"/>
      <c r="H114" s="583"/>
      <c r="I114" s="583"/>
      <c r="J114" s="583"/>
      <c r="K114" s="583"/>
      <c r="L114" s="583"/>
      <c r="M114" s="584"/>
      <c r="N114" s="585"/>
      <c r="O114" s="586"/>
      <c r="P114" s="586"/>
      <c r="Q114" s="587"/>
      <c r="R114" s="588"/>
      <c r="S114" s="589"/>
      <c r="T114" s="585"/>
      <c r="U114" s="584"/>
      <c r="V114" s="625"/>
      <c r="W114" s="583"/>
      <c r="X114" s="583"/>
      <c r="Y114" s="583"/>
      <c r="Z114" s="583"/>
      <c r="AA114" s="583"/>
      <c r="AB114" s="583"/>
      <c r="AC114" s="626"/>
      <c r="AD114" s="592"/>
      <c r="AE114" s="593"/>
    </row>
    <row r="115" spans="2:31">
      <c r="E115" s="554">
        <f t="shared" ref="E115" si="357">E111+1</f>
        <v>27</v>
      </c>
      <c r="F115" s="555">
        <f>IF(WindFactor=1,M115,L115)*DualRadius</f>
        <v>9.2248211727724051E-3</v>
      </c>
      <c r="G115" s="555">
        <f>IF(WindFactor=1,M116,L116)*DualRadius</f>
        <v>9.560190294707932E-2</v>
      </c>
      <c r="H115" s="570">
        <f ca="1">((H116-H117)/((H116-H117)^2+(I116-I117)^2)^0.5)*ActBodyLenFact+H116</f>
        <v>0.6</v>
      </c>
      <c r="I115" s="570">
        <f ca="1">((I116-I117)/((H116-H117)^2+(I116-I117)^2)^0.5)*ActBodyLenFact+I116</f>
        <v>-1.1000000000000001</v>
      </c>
      <c r="J115" s="531">
        <f ca="1">IFERROR(((J116-J117)/((J116-J117)^2+(K116-K117)^2)^0.5)*ActBodyLenFact,0)+J116</f>
        <v>-0.6</v>
      </c>
      <c r="K115" s="531">
        <f ca="1">IFERROR(((K116-K117)/((J116-J117)^2+(K116-K117)^2)^0.5)*ActBodyLenFact,0)+K116</f>
        <v>-1.1000000000000001</v>
      </c>
      <c r="L115" s="557">
        <f t="shared" ref="L115" si="358">SIN(RADIANS(E116))</f>
        <v>9.6045932619619065E-2</v>
      </c>
      <c r="M115" s="558">
        <f t="shared" ref="M115" si="359">L115*SIN(RADIANS(ABS(E116)))</f>
        <v>9.2248211727724051E-3</v>
      </c>
      <c r="N115" s="559">
        <f>IFERROR(DEGREES(ACOS(ABS(1+(H116-H117)^2+(I116-I117)^2-RedActX^2-RedActY^2)/ABS(2*((H116-H117)^2+(I116-I117)^2)^0.5)-0.00000000001)),90)</f>
        <v>86.963352114625522</v>
      </c>
      <c r="O115" s="556">
        <f>ABS(SIN(RADIANS(N115))*IF(WindFactor=1,SIN(RADIANS(E116)),1))</f>
        <v>9.5911070205883353E-2</v>
      </c>
      <c r="P115" s="560"/>
      <c r="Q115" s="561">
        <f t="shared" ref="Q115" si="360">+O115+P116</f>
        <v>0.18764193036501334</v>
      </c>
      <c r="R115" s="562">
        <f t="shared" ref="R115" si="361">-F117*Q115/2</f>
        <v>9.0111221002266307E-3</v>
      </c>
      <c r="S115" s="563">
        <f t="shared" ref="S115" si="362">-G117*Q115/2</f>
        <v>9.3387221750472565E-2</v>
      </c>
      <c r="T115" s="564">
        <f t="shared" ref="T115" si="363">((H116-H117)^2+(I116-I117)^2)^0.5</f>
        <v>0.70386499612004105</v>
      </c>
      <c r="U115" s="565">
        <f t="shared" ref="U115" si="364">((J116-J117)^2+(K116-K117)^2)^0.5</f>
        <v>0.51469961577213219</v>
      </c>
      <c r="V115" s="616">
        <f>-F117*1</f>
        <v>9.6045932619618732E-2</v>
      </c>
      <c r="W115" s="617">
        <f>-G117*1</f>
        <v>0.99537690290021685</v>
      </c>
      <c r="X115" s="617">
        <f>-F117*0.75</f>
        <v>7.2034449464714045E-2</v>
      </c>
      <c r="Y115" s="617">
        <f>-G117*0.75</f>
        <v>0.74653267717516258</v>
      </c>
      <c r="Z115" s="617">
        <f>-F117*0.5</f>
        <v>4.8022966309809366E-2</v>
      </c>
      <c r="AA115" s="617">
        <f>-G117*0.5</f>
        <v>0.49768845145010843</v>
      </c>
      <c r="AB115" s="617">
        <f>-F117*0.25</f>
        <v>2.4011483154904683E-2</v>
      </c>
      <c r="AC115" s="618">
        <f>-G117*0.25</f>
        <v>0.24884422572505421</v>
      </c>
      <c r="AD115" s="592"/>
      <c r="AE115" s="593"/>
    </row>
    <row r="116" spans="2:31">
      <c r="E116" s="568">
        <f>StartAng+DualIncAng*E115</f>
        <v>5.5115226338871963</v>
      </c>
      <c r="F116" s="569">
        <v>0</v>
      </c>
      <c r="G116" s="569">
        <v>0</v>
      </c>
      <c r="H116" s="570">
        <f>RedActX</f>
        <v>0.6</v>
      </c>
      <c r="I116" s="570">
        <f>RedActY</f>
        <v>-1.1000000000000001</v>
      </c>
      <c r="J116" s="531">
        <f>IF(DualSingle=2,GrnActX,0)</f>
        <v>-0.6</v>
      </c>
      <c r="K116" s="531">
        <f>IF(DualSingle=2,GrnActY,0)</f>
        <v>-1.1000000000000001</v>
      </c>
      <c r="L116" s="571">
        <f t="shared" ref="L116" si="365">ABS(COS(RADIANS(ABS(E116))))</f>
        <v>0.99537690290021674</v>
      </c>
      <c r="M116" s="572">
        <f t="shared" ref="M116" si="366">L116*SIN(RADIANS(ABS(E116)))</f>
        <v>9.560190294707932E-2</v>
      </c>
      <c r="N116" s="573">
        <f>IF(DualSingle=2,DEGREES(ACOS(ABS(1+(J116-J117)^2+(K116-K117)^2-GrnActX^2-GrnActY^2)/ABS(2*((J116-J117)^2+(K116-K117)^2)^0.5)-0.00000000001)),0)</f>
        <v>72.760220084581491</v>
      </c>
      <c r="O116" s="574"/>
      <c r="P116" s="531">
        <f>ABS(SIN(RADIANS(N116))*IF(WindFactor=1,SIN(RADIANS(E116)),1))</f>
        <v>9.1730860159129984E-2</v>
      </c>
      <c r="Q116" s="575"/>
      <c r="R116" s="576">
        <f t="shared" ref="R116:S116" si="367">R119</f>
        <v>1.9931836740952842E-2</v>
      </c>
      <c r="S116" s="534">
        <f t="shared" si="367"/>
        <v>0.13717607406707805</v>
      </c>
      <c r="T116" s="577"/>
      <c r="U116" s="578"/>
      <c r="V116" s="619">
        <f t="shared" ref="V116:AC116" si="368">V119</f>
        <v>0.14379115552570257</v>
      </c>
      <c r="W116" s="620">
        <f t="shared" si="368"/>
        <v>0.98960805554147713</v>
      </c>
      <c r="X116" s="620">
        <f t="shared" si="368"/>
        <v>0.10784336664427693</v>
      </c>
      <c r="Y116" s="620">
        <f t="shared" si="368"/>
        <v>0.74220604165610782</v>
      </c>
      <c r="Z116" s="620">
        <f t="shared" si="368"/>
        <v>7.1895577762851284E-2</v>
      </c>
      <c r="AA116" s="620">
        <f t="shared" si="368"/>
        <v>0.49480402777073856</v>
      </c>
      <c r="AB116" s="620">
        <f t="shared" si="368"/>
        <v>3.5947788881425642E-2</v>
      </c>
      <c r="AC116" s="621">
        <f t="shared" si="368"/>
        <v>0.24740201388536928</v>
      </c>
      <c r="AD116" s="592"/>
      <c r="AE116" s="593"/>
    </row>
    <row r="117" spans="2:31">
      <c r="E117" s="568"/>
      <c r="F117" s="569">
        <f>SIN(RADIANS(E116-180))*DualRadius</f>
        <v>-9.6045932619618732E-2</v>
      </c>
      <c r="G117" s="569">
        <f>COS(RADIANS(E116-180))*DualRadius</f>
        <v>-0.99537690290021685</v>
      </c>
      <c r="H117" s="570">
        <f t="shared" ref="H117" si="369">F117</f>
        <v>-9.6045932619618732E-2</v>
      </c>
      <c r="I117" s="570">
        <f t="shared" ref="I117" si="370">G117</f>
        <v>-0.99537690290021685</v>
      </c>
      <c r="J117" s="531">
        <f>IF(DualSingle=2,F117,0)</f>
        <v>-9.6045932619618732E-2</v>
      </c>
      <c r="K117" s="531">
        <f>IF(DualSingle=2,G117,0)</f>
        <v>-0.99537690290021685</v>
      </c>
      <c r="L117" s="574"/>
      <c r="M117" s="578"/>
      <c r="N117" s="577"/>
      <c r="O117" s="574"/>
      <c r="P117" s="574"/>
      <c r="Q117" s="575"/>
      <c r="R117" s="581"/>
      <c r="S117" s="512"/>
      <c r="T117" s="577"/>
      <c r="U117" s="578"/>
      <c r="V117" s="622"/>
      <c r="W117" s="623"/>
      <c r="X117" s="623"/>
      <c r="Y117" s="623"/>
      <c r="Z117" s="623"/>
      <c r="AA117" s="623"/>
      <c r="AB117" s="623"/>
      <c r="AC117" s="624"/>
      <c r="AD117" s="592"/>
      <c r="AE117" s="593"/>
    </row>
    <row r="118" spans="2:31" ht="14.4" thickBot="1">
      <c r="E118" s="582"/>
      <c r="F118" s="583"/>
      <c r="G118" s="583"/>
      <c r="H118" s="583"/>
      <c r="I118" s="583"/>
      <c r="J118" s="583"/>
      <c r="K118" s="583"/>
      <c r="L118" s="583"/>
      <c r="M118" s="584"/>
      <c r="N118" s="585"/>
      <c r="O118" s="586"/>
      <c r="P118" s="586"/>
      <c r="Q118" s="587"/>
      <c r="R118" s="588"/>
      <c r="S118" s="589"/>
      <c r="T118" s="585"/>
      <c r="U118" s="584"/>
      <c r="V118" s="625"/>
      <c r="W118" s="583"/>
      <c r="X118" s="583"/>
      <c r="Y118" s="583"/>
      <c r="Z118" s="583"/>
      <c r="AA118" s="583"/>
      <c r="AB118" s="583"/>
      <c r="AC118" s="626"/>
      <c r="AD118" s="592"/>
      <c r="AE118" s="593"/>
    </row>
    <row r="119" spans="2:31">
      <c r="E119" s="554">
        <f t="shared" ref="E119" si="371">E115+1</f>
        <v>28</v>
      </c>
      <c r="F119" s="555">
        <f>IF(WindFactor=1,M119,L119)*DualRadius</f>
        <v>2.0675896407416666E-2</v>
      </c>
      <c r="G119" s="555">
        <f>IF(WindFactor=1,M120,L120)*DualRadius</f>
        <v>0.14229688582385222</v>
      </c>
      <c r="H119" s="570">
        <f ca="1">((H120-H121)/((H120-H121)^2+(I120-I121)^2)^0.5)*ActBodyLenFact+H120</f>
        <v>0.6</v>
      </c>
      <c r="I119" s="570">
        <f ca="1">((I120-I121)/((H120-H121)^2+(I120-I121)^2)^0.5)*ActBodyLenFact+I120</f>
        <v>-1.1000000000000001</v>
      </c>
      <c r="J119" s="531">
        <f ca="1">IFERROR(((J120-J121)/((J120-J121)^2+(K120-K121)^2)^0.5)*ActBodyLenFact,0)+J120</f>
        <v>-0.6</v>
      </c>
      <c r="K119" s="531">
        <f ca="1">IFERROR(((K120-K121)/((J120-J121)^2+(K120-K121)^2)^0.5)*ActBodyLenFact,0)+K120</f>
        <v>-1.1000000000000001</v>
      </c>
      <c r="L119" s="557">
        <f t="shared" ref="L119" si="372">SIN(RADIANS(E120))</f>
        <v>0.14379115552570215</v>
      </c>
      <c r="M119" s="558">
        <f t="shared" ref="M119" si="373">L119*SIN(RADIANS(ABS(E120)))</f>
        <v>2.0675896407416666E-2</v>
      </c>
      <c r="N119" s="559">
        <f>IFERROR(DEGREES(ACOS(ABS(1+(H120-H121)^2+(I120-I121)^2-RedActX^2-RedActY^2)/ABS(2*((H120-H121)^2+(I120-I121)^2)^0.5)-0.00000000001)),90)</f>
        <v>89.825190069944171</v>
      </c>
      <c r="O119" s="556">
        <f>ABS(SIN(RADIANS(N119))*IF(WindFactor=1,SIN(RADIANS(E120)),1))</f>
        <v>0.14379048627509403</v>
      </c>
      <c r="P119" s="560"/>
      <c r="Q119" s="561">
        <f t="shared" ref="Q119" si="374">+O119+P120</f>
        <v>0.27723313952213202</v>
      </c>
      <c r="R119" s="562">
        <f t="shared" ref="R119" si="375">-F121*Q119/2</f>
        <v>1.9931836740952842E-2</v>
      </c>
      <c r="S119" s="563">
        <f t="shared" ref="S119" si="376">-G121*Q119/2</f>
        <v>0.13717607406707805</v>
      </c>
      <c r="T119" s="564">
        <f t="shared" ref="T119" si="377">((H120-H121)^2+(I120-I121)^2)^0.5</f>
        <v>0.75193860416897962</v>
      </c>
      <c r="U119" s="565">
        <f t="shared" ref="U119" si="378">((J120-J121)^2+(K120-K121)^2)^0.5</f>
        <v>0.46937500058898252</v>
      </c>
      <c r="V119" s="616">
        <f>-F121*1</f>
        <v>0.14379115552570257</v>
      </c>
      <c r="W119" s="617">
        <f>-G121*1</f>
        <v>0.98960805554147713</v>
      </c>
      <c r="X119" s="617">
        <f>-F121*0.75</f>
        <v>0.10784336664427693</v>
      </c>
      <c r="Y119" s="617">
        <f>-G121*0.75</f>
        <v>0.74220604165610782</v>
      </c>
      <c r="Z119" s="617">
        <f>-F121*0.5</f>
        <v>7.1895577762851284E-2</v>
      </c>
      <c r="AA119" s="617">
        <f>-G121*0.5</f>
        <v>0.49480402777073856</v>
      </c>
      <c r="AB119" s="617">
        <f>-F121*0.25</f>
        <v>3.5947788881425642E-2</v>
      </c>
      <c r="AC119" s="618">
        <f>-G121*0.25</f>
        <v>0.24740201388536928</v>
      </c>
      <c r="AD119" s="592"/>
      <c r="AE119" s="593"/>
    </row>
    <row r="120" spans="2:31">
      <c r="E120" s="568">
        <f>StartAng+DualIncAng*E119</f>
        <v>8.2672839508307874</v>
      </c>
      <c r="F120" s="569">
        <v>0</v>
      </c>
      <c r="G120" s="569">
        <v>0</v>
      </c>
      <c r="H120" s="570">
        <f>RedActX</f>
        <v>0.6</v>
      </c>
      <c r="I120" s="570">
        <f>RedActY</f>
        <v>-1.1000000000000001</v>
      </c>
      <c r="J120" s="531">
        <f>IF(DualSingle=2,GrnActX,0)</f>
        <v>-0.6</v>
      </c>
      <c r="K120" s="531">
        <f>IF(DualSingle=2,GrnActY,0)</f>
        <v>-1.1000000000000001</v>
      </c>
      <c r="L120" s="571">
        <f t="shared" ref="L120" si="379">ABS(COS(RADIANS(ABS(E120))))</f>
        <v>0.98960805554147713</v>
      </c>
      <c r="M120" s="572">
        <f t="shared" ref="M120" si="380">L120*SIN(RADIANS(ABS(E120)))</f>
        <v>0.14229688582385222</v>
      </c>
      <c r="N120" s="573">
        <f>IF(DualSingle=2,DEGREES(ACOS(ABS(1+(J120-J121)^2+(K120-K121)^2-GrnActX^2-GrnActY^2)/ABS(2*((J120-J121)^2+(K120-K121)^2)^0.5)-0.00000000001)),0)</f>
        <v>68.129938620664561</v>
      </c>
      <c r="O120" s="574"/>
      <c r="P120" s="531">
        <f>ABS(SIN(RADIANS(N120))*IF(WindFactor=1,SIN(RADIANS(E120)),1))</f>
        <v>0.133442653247038</v>
      </c>
      <c r="Q120" s="575"/>
      <c r="R120" s="576">
        <f t="shared" ref="R120:S120" si="381">R123</f>
        <v>3.4522577114390787E-2</v>
      </c>
      <c r="S120" s="534">
        <f t="shared" si="381"/>
        <v>0.17722266434665665</v>
      </c>
      <c r="T120" s="577"/>
      <c r="U120" s="578"/>
      <c r="V120" s="619">
        <f t="shared" ref="V120:AC120" si="382">V123</f>
        <v>0.19120380589415875</v>
      </c>
      <c r="W120" s="620">
        <f t="shared" si="382"/>
        <v>0.9815503576544552</v>
      </c>
      <c r="X120" s="620">
        <f t="shared" si="382"/>
        <v>0.14340285442061906</v>
      </c>
      <c r="Y120" s="620">
        <f t="shared" si="382"/>
        <v>0.73616276824084137</v>
      </c>
      <c r="Z120" s="620">
        <f t="shared" si="382"/>
        <v>9.5601902947079376E-2</v>
      </c>
      <c r="AA120" s="620">
        <f t="shared" si="382"/>
        <v>0.4907751788272276</v>
      </c>
      <c r="AB120" s="620">
        <f t="shared" si="382"/>
        <v>4.7800951473539688E-2</v>
      </c>
      <c r="AC120" s="621">
        <f t="shared" si="382"/>
        <v>0.2453875894136138</v>
      </c>
      <c r="AD120" s="592"/>
      <c r="AE120" s="593"/>
    </row>
    <row r="121" spans="2:31">
      <c r="E121" s="568"/>
      <c r="F121" s="569">
        <f>SIN(RADIANS(E120-180))*DualRadius</f>
        <v>-0.14379115552570257</v>
      </c>
      <c r="G121" s="569">
        <f>COS(RADIANS(E120-180))*DualRadius</f>
        <v>-0.98960805554147713</v>
      </c>
      <c r="H121" s="570">
        <f t="shared" ref="H121" si="383">F121</f>
        <v>-0.14379115552570257</v>
      </c>
      <c r="I121" s="570">
        <f t="shared" ref="I121" si="384">G121</f>
        <v>-0.98960805554147713</v>
      </c>
      <c r="J121" s="531">
        <f>IF(DualSingle=2,F121,0)</f>
        <v>-0.14379115552570257</v>
      </c>
      <c r="K121" s="531">
        <f>IF(DualSingle=2,G121,0)</f>
        <v>-0.98960805554147713</v>
      </c>
      <c r="L121" s="574"/>
      <c r="M121" s="578"/>
      <c r="N121" s="577"/>
      <c r="O121" s="574"/>
      <c r="P121" s="574"/>
      <c r="Q121" s="575"/>
      <c r="R121" s="581"/>
      <c r="S121" s="512"/>
      <c r="T121" s="577"/>
      <c r="U121" s="578"/>
      <c r="V121" s="622"/>
      <c r="W121" s="623"/>
      <c r="X121" s="623"/>
      <c r="Y121" s="623"/>
      <c r="Z121" s="623"/>
      <c r="AA121" s="623"/>
      <c r="AB121" s="623"/>
      <c r="AC121" s="624"/>
      <c r="AD121" s="592"/>
      <c r="AE121" s="593"/>
    </row>
    <row r="122" spans="2:31" ht="14.4" thickBot="1">
      <c r="E122" s="582"/>
      <c r="F122" s="583"/>
      <c r="G122" s="583"/>
      <c r="H122" s="583"/>
      <c r="I122" s="583"/>
      <c r="J122" s="583"/>
      <c r="K122" s="583"/>
      <c r="L122" s="583"/>
      <c r="M122" s="584"/>
      <c r="N122" s="585"/>
      <c r="O122" s="586"/>
      <c r="P122" s="586"/>
      <c r="Q122" s="587"/>
      <c r="R122" s="588"/>
      <c r="S122" s="589"/>
      <c r="T122" s="585"/>
      <c r="U122" s="584"/>
      <c r="V122" s="625"/>
      <c r="W122" s="583"/>
      <c r="X122" s="583"/>
      <c r="Y122" s="583"/>
      <c r="Z122" s="583"/>
      <c r="AA122" s="583"/>
      <c r="AB122" s="583"/>
      <c r="AC122" s="626"/>
      <c r="AD122" s="592"/>
      <c r="AE122" s="593"/>
    </row>
    <row r="123" spans="2:31">
      <c r="E123" s="554">
        <f t="shared" ref="E123" si="385">E119+1</f>
        <v>29</v>
      </c>
      <c r="F123" s="555">
        <f>IF(WindFactor=1,M123,L123)*DualRadius</f>
        <v>3.6558895388411103E-2</v>
      </c>
      <c r="G123" s="555">
        <f>IF(WindFactor=1,M124,L124)*DualRadius</f>
        <v>0.18767616406030446</v>
      </c>
      <c r="H123" s="570">
        <f ca="1">((H124-H125)/((H124-H125)^2+(I124-I125)^2)^0.5)*ActBodyLenFact+H124</f>
        <v>0.6</v>
      </c>
      <c r="I123" s="570">
        <f ca="1">((I124-I125)/((H124-H125)^2+(I124-I125)^2)^0.5)*ActBodyLenFact+I124</f>
        <v>-1.1000000000000001</v>
      </c>
      <c r="J123" s="531">
        <f ca="1">IFERROR(((J124-J125)/((J124-J125)^2+(K124-K125)^2)^0.5)*ActBodyLenFact,0)+J124</f>
        <v>-0.6</v>
      </c>
      <c r="K123" s="531">
        <f ca="1">IFERROR(((K124-K125)/((J124-J125)^2+(K124-K125)^2)^0.5)*ActBodyLenFact,0)+K124</f>
        <v>-1.1000000000000001</v>
      </c>
      <c r="L123" s="557">
        <f t="shared" ref="L123" si="386">SIN(RADIANS(E124))</f>
        <v>0.19120380589415867</v>
      </c>
      <c r="M123" s="558">
        <f t="shared" ref="M123" si="387">L123*SIN(RADIANS(ABS(E124)))</f>
        <v>3.6558895388411103E-2</v>
      </c>
      <c r="N123" s="559">
        <f>IFERROR(DEGREES(ACOS(ABS(1+(H124-H125)^2+(I124-I125)^2-RedActX^2-RedActY^2)/ABS(2*((H124-H125)^2+(I124-I125)^2)^0.5)-0.00000000001)),90)</f>
        <v>87.491364717953942</v>
      </c>
      <c r="O123" s="556">
        <f>ABS(SIN(RADIANS(N123))*IF(WindFactor=1,SIN(RADIANS(E124)),1))</f>
        <v>0.19102056308404858</v>
      </c>
      <c r="P123" s="560"/>
      <c r="Q123" s="561">
        <f t="shared" ref="Q123" si="388">+O123+P124</f>
        <v>0.36110763541496477</v>
      </c>
      <c r="R123" s="562">
        <f t="shared" ref="R123" si="389">-F125*Q123/2</f>
        <v>3.4522577114390787E-2</v>
      </c>
      <c r="S123" s="563">
        <f t="shared" ref="S123" si="390">-G125*Q123/2</f>
        <v>0.17722266434665665</v>
      </c>
      <c r="T123" s="564">
        <f t="shared" ref="T123" si="391">((H124-H125)^2+(I124-I125)^2)^0.5</f>
        <v>0.80002111236716067</v>
      </c>
      <c r="U123" s="565">
        <f t="shared" ref="U123" si="392">((J124-J125)^2+(K124-K125)^2)^0.5</f>
        <v>0.42561090926714756</v>
      </c>
      <c r="V123" s="616">
        <f>-F125*1</f>
        <v>0.19120380589415875</v>
      </c>
      <c r="W123" s="617">
        <f>-G125*1</f>
        <v>0.9815503576544552</v>
      </c>
      <c r="X123" s="617">
        <f>-F125*0.75</f>
        <v>0.14340285442061906</v>
      </c>
      <c r="Y123" s="617">
        <f>-G125*0.75</f>
        <v>0.73616276824084137</v>
      </c>
      <c r="Z123" s="617">
        <f>-F125*0.5</f>
        <v>9.5601902947079376E-2</v>
      </c>
      <c r="AA123" s="617">
        <f>-G125*0.5</f>
        <v>0.4907751788272276</v>
      </c>
      <c r="AB123" s="617">
        <f>-F125*0.25</f>
        <v>4.7800951473539688E-2</v>
      </c>
      <c r="AC123" s="618">
        <f>-G125*0.25</f>
        <v>0.2453875894136138</v>
      </c>
      <c r="AD123" s="592"/>
      <c r="AE123" s="593"/>
    </row>
    <row r="124" spans="2:31">
      <c r="E124" s="568">
        <f>StartAng+DualIncAng*E123</f>
        <v>11.023045267774393</v>
      </c>
      <c r="F124" s="569">
        <v>0</v>
      </c>
      <c r="G124" s="569">
        <v>0</v>
      </c>
      <c r="H124" s="570">
        <f>RedActX</f>
        <v>0.6</v>
      </c>
      <c r="I124" s="570">
        <f>RedActY</f>
        <v>-1.1000000000000001</v>
      </c>
      <c r="J124" s="531">
        <f>IF(DualSingle=2,GrnActX,0)</f>
        <v>-0.6</v>
      </c>
      <c r="K124" s="531">
        <f>IF(DualSingle=2,GrnActY,0)</f>
        <v>-1.1000000000000001</v>
      </c>
      <c r="L124" s="571">
        <f t="shared" ref="L124" si="393">ABS(COS(RADIANS(ABS(E124))))</f>
        <v>0.9815503576544552</v>
      </c>
      <c r="M124" s="572">
        <f t="shared" ref="M124" si="394">L124*SIN(RADIANS(ABS(E124)))</f>
        <v>0.18767616406030446</v>
      </c>
      <c r="N124" s="573">
        <f>IF(DualSingle=2,DEGREES(ACOS(ABS(1+(J124-J125)^2+(K124-K125)^2-GrnActX^2-GrnActY^2)/ABS(2*((J124-J125)^2+(K124-K125)^2)^0.5)-0.00000000001)),0)</f>
        <v>62.817887149450591</v>
      </c>
      <c r="O124" s="574"/>
      <c r="P124" s="531">
        <f>ABS(SIN(RADIANS(N124))*IF(WindFactor=1,SIN(RADIANS(E124)),1))</f>
        <v>0.17008707233091619</v>
      </c>
      <c r="Q124" s="575"/>
      <c r="R124" s="576">
        <f t="shared" ref="R124:S124" si="395">R127</f>
        <v>5.1941004092688127E-2</v>
      </c>
      <c r="S124" s="534">
        <f t="shared" si="395"/>
        <v>0.21180406616949551</v>
      </c>
      <c r="T124" s="577"/>
      <c r="U124" s="578"/>
      <c r="V124" s="619">
        <f t="shared" ref="V124:AC124" si="396">V127</f>
        <v>0.23817422367398572</v>
      </c>
      <c r="W124" s="620">
        <f t="shared" si="396"/>
        <v>0.97122244577506245</v>
      </c>
      <c r="X124" s="620">
        <f t="shared" si="396"/>
        <v>0.1786306677554893</v>
      </c>
      <c r="Y124" s="620">
        <f t="shared" si="396"/>
        <v>0.72841683433129689</v>
      </c>
      <c r="Z124" s="620">
        <f t="shared" si="396"/>
        <v>0.11908711183699286</v>
      </c>
      <c r="AA124" s="620">
        <f t="shared" si="396"/>
        <v>0.48561122288753122</v>
      </c>
      <c r="AB124" s="620">
        <f t="shared" si="396"/>
        <v>5.954355591849643E-2</v>
      </c>
      <c r="AC124" s="621">
        <f t="shared" si="396"/>
        <v>0.24280561144376561</v>
      </c>
      <c r="AD124" s="592"/>
      <c r="AE124" s="593"/>
    </row>
    <row r="125" spans="2:31">
      <c r="E125" s="568"/>
      <c r="F125" s="569">
        <f>SIN(RADIANS(E124-180))*DualRadius</f>
        <v>-0.19120380589415875</v>
      </c>
      <c r="G125" s="569">
        <f>COS(RADIANS(E124-180))*DualRadius</f>
        <v>-0.9815503576544552</v>
      </c>
      <c r="H125" s="570">
        <f t="shared" ref="H125" si="397">F125</f>
        <v>-0.19120380589415875</v>
      </c>
      <c r="I125" s="570">
        <f t="shared" ref="I125" si="398">G125</f>
        <v>-0.9815503576544552</v>
      </c>
      <c r="J125" s="531">
        <f>IF(DualSingle=2,F125,0)</f>
        <v>-0.19120380589415875</v>
      </c>
      <c r="K125" s="531">
        <f>IF(DualSingle=2,G125,0)</f>
        <v>-0.9815503576544552</v>
      </c>
      <c r="L125" s="574"/>
      <c r="M125" s="578"/>
      <c r="N125" s="577"/>
      <c r="O125" s="574"/>
      <c r="P125" s="574"/>
      <c r="Q125" s="575"/>
      <c r="R125" s="581"/>
      <c r="S125" s="512"/>
      <c r="T125" s="577"/>
      <c r="U125" s="578"/>
      <c r="V125" s="622"/>
      <c r="W125" s="623"/>
      <c r="X125" s="623"/>
      <c r="Y125" s="623"/>
      <c r="Z125" s="623"/>
      <c r="AA125" s="623"/>
      <c r="AB125" s="623"/>
      <c r="AC125" s="624"/>
      <c r="AD125" s="592"/>
      <c r="AE125" s="593"/>
    </row>
    <row r="126" spans="2:31" ht="14.4" thickBot="1">
      <c r="E126" s="582"/>
      <c r="F126" s="583"/>
      <c r="G126" s="583"/>
      <c r="H126" s="583"/>
      <c r="I126" s="583"/>
      <c r="J126" s="583"/>
      <c r="K126" s="583"/>
      <c r="L126" s="583"/>
      <c r="M126" s="584"/>
      <c r="N126" s="585"/>
      <c r="O126" s="586"/>
      <c r="P126" s="586"/>
      <c r="Q126" s="587"/>
      <c r="R126" s="588"/>
      <c r="S126" s="589"/>
      <c r="T126" s="585"/>
      <c r="U126" s="584"/>
      <c r="V126" s="625"/>
      <c r="W126" s="583"/>
      <c r="X126" s="583"/>
      <c r="Y126" s="583"/>
      <c r="Z126" s="583"/>
      <c r="AA126" s="583"/>
      <c r="AB126" s="583"/>
      <c r="AC126" s="626"/>
      <c r="AD126" s="592"/>
      <c r="AE126" s="593"/>
    </row>
    <row r="127" spans="2:31">
      <c r="E127" s="554">
        <f t="shared" ref="E127" si="399">E123+1</f>
        <v>30</v>
      </c>
      <c r="F127" s="555">
        <f>IF(WindFactor=1,M127,L127)*DualRadius</f>
        <v>5.6726960822705792E-2</v>
      </c>
      <c r="G127" s="555">
        <f>IF(WindFactor=1,M128,L128)*DualRadius</f>
        <v>0.23132015203722522</v>
      </c>
      <c r="H127" s="570">
        <f ca="1">((H128-H129)/((H128-H129)^2+(I128-I129)^2)^0.5)*ActBodyLenFact+H128</f>
        <v>0.6</v>
      </c>
      <c r="I127" s="570">
        <f ca="1">((I128-I129)/((H128-H129)^2+(I128-I129)^2)^0.5)*ActBodyLenFact+I128</f>
        <v>-1.1000000000000001</v>
      </c>
      <c r="J127" s="531">
        <f ca="1">IFERROR(((J128-J129)/((J128-J129)^2+(K128-K129)^2)^0.5)*ActBodyLenFact,0)+J128</f>
        <v>-0.6</v>
      </c>
      <c r="K127" s="531">
        <f ca="1">IFERROR(((K128-K129)/((J128-J129)^2+(K128-K129)^2)^0.5)*ActBodyLenFact,0)+K128</f>
        <v>-1.1000000000000001</v>
      </c>
      <c r="L127" s="557">
        <f t="shared" ref="L127" si="400">SIN(RADIANS(E128))</f>
        <v>0.23817422367398575</v>
      </c>
      <c r="M127" s="558">
        <f t="shared" ref="M127" si="401">L127*SIN(RADIANS(ABS(E128)))</f>
        <v>5.6726960822705792E-2</v>
      </c>
      <c r="N127" s="559">
        <f>IFERROR(DEGREES(ACOS(ABS(1+(H128-H129)^2+(I128-I129)^2-RedActX^2-RedActY^2)/ABS(2*((H128-H129)^2+(I128-I129)^2)^0.5)-0.00000000001)),90)</f>
        <v>84.955847833202753</v>
      </c>
      <c r="O127" s="556">
        <f>ABS(SIN(RADIANS(N127))*IF(WindFactor=1,SIN(RADIANS(E128)),1))</f>
        <v>0.23725183207720343</v>
      </c>
      <c r="P127" s="560"/>
      <c r="Q127" s="561">
        <f t="shared" ref="Q127" si="402">+O127+P128</f>
        <v>0.43615974299372784</v>
      </c>
      <c r="R127" s="562">
        <f t="shared" ref="R127" si="403">-F129*Q127/2</f>
        <v>5.1941004092688127E-2</v>
      </c>
      <c r="S127" s="563">
        <f t="shared" ref="S127" si="404">-G129*Q127/2</f>
        <v>0.21180406616949551</v>
      </c>
      <c r="T127" s="564">
        <f t="shared" ref="T127" si="405">((H128-H129)^2+(I128-I129)^2)^0.5</f>
        <v>0.84800924977481551</v>
      </c>
      <c r="U127" s="565">
        <f t="shared" ref="U127" si="406">((J128-J129)^2+(K128-K129)^2)^0.5</f>
        <v>0.38405930646982073</v>
      </c>
      <c r="V127" s="616">
        <f>-F129*1</f>
        <v>0.23817422367398572</v>
      </c>
      <c r="W127" s="617">
        <f>-G129*1</f>
        <v>0.97122244577506245</v>
      </c>
      <c r="X127" s="617">
        <f>-F129*0.75</f>
        <v>0.1786306677554893</v>
      </c>
      <c r="Y127" s="617">
        <f>-G129*0.75</f>
        <v>0.72841683433129689</v>
      </c>
      <c r="Z127" s="617">
        <f>-F129*0.5</f>
        <v>0.11908711183699286</v>
      </c>
      <c r="AA127" s="617">
        <f>-G129*0.5</f>
        <v>0.48561122288753122</v>
      </c>
      <c r="AB127" s="617">
        <f>-F129*0.25</f>
        <v>5.954355591849643E-2</v>
      </c>
      <c r="AC127" s="618">
        <f>-G129*0.25</f>
        <v>0.24280561144376561</v>
      </c>
      <c r="AD127" s="592"/>
      <c r="AE127" s="593"/>
    </row>
    <row r="128" spans="2:31">
      <c r="E128" s="568">
        <f>StartAng+DualIncAng*E127</f>
        <v>13.778806584717984</v>
      </c>
      <c r="F128" s="569">
        <v>0</v>
      </c>
      <c r="G128" s="569">
        <v>0</v>
      </c>
      <c r="H128" s="570">
        <f>RedActX</f>
        <v>0.6</v>
      </c>
      <c r="I128" s="570">
        <f>RedActY</f>
        <v>-1.1000000000000001</v>
      </c>
      <c r="J128" s="531">
        <f>IF(DualSingle=2,GrnActX,0)</f>
        <v>-0.6</v>
      </c>
      <c r="K128" s="531">
        <f>IF(DualSingle=2,GrnActY,0)</f>
        <v>-1.1000000000000001</v>
      </c>
      <c r="L128" s="571">
        <f t="shared" ref="L128" si="407">ABS(COS(RADIANS(ABS(E128))))</f>
        <v>0.97122244577506245</v>
      </c>
      <c r="M128" s="572">
        <f t="shared" ref="M128" si="408">L128*SIN(RADIANS(ABS(E128)))</f>
        <v>0.23132015203722522</v>
      </c>
      <c r="N128" s="573">
        <f>IF(DualSingle=2,DEGREES(ACOS(ABS(1+(J128-J129)^2+(K128-K129)^2-GrnActX^2-GrnActY^2)/ABS(2*((J128-J129)^2+(K128-K129)^2)^0.5)-0.00000000001)),0)</f>
        <v>56.630020666149363</v>
      </c>
      <c r="O128" s="574"/>
      <c r="P128" s="531">
        <f>ABS(SIN(RADIANS(N128))*IF(WindFactor=1,SIN(RADIANS(E128)),1))</f>
        <v>0.19890791091652443</v>
      </c>
      <c r="Q128" s="575"/>
      <c r="R128" s="576">
        <f t="shared" ref="R128:S128" si="409">R131</f>
        <v>7.0868190381699711E-2</v>
      </c>
      <c r="S128" s="534">
        <f t="shared" si="409"/>
        <v>0.23871802697064157</v>
      </c>
      <c r="T128" s="577"/>
      <c r="U128" s="578"/>
      <c r="V128" s="619">
        <f t="shared" ref="V128:AC128" si="410">V131</f>
        <v>0.28459377164770516</v>
      </c>
      <c r="W128" s="620">
        <f t="shared" si="410"/>
        <v>0.95864820718516641</v>
      </c>
      <c r="X128" s="620">
        <f t="shared" si="410"/>
        <v>0.21344532873577887</v>
      </c>
      <c r="Y128" s="620">
        <f t="shared" si="410"/>
        <v>0.71898615538887478</v>
      </c>
      <c r="Z128" s="620">
        <f t="shared" si="410"/>
        <v>0.14229688582385258</v>
      </c>
      <c r="AA128" s="620">
        <f t="shared" si="410"/>
        <v>0.47932410359258321</v>
      </c>
      <c r="AB128" s="620">
        <f t="shared" si="410"/>
        <v>7.1148442911926291E-2</v>
      </c>
      <c r="AC128" s="621">
        <f t="shared" si="410"/>
        <v>0.2396620517962916</v>
      </c>
      <c r="AD128" s="592"/>
      <c r="AE128" s="593"/>
    </row>
    <row r="129" spans="5:31">
      <c r="E129" s="568"/>
      <c r="F129" s="569">
        <f>SIN(RADIANS(E128-180))*DualRadius</f>
        <v>-0.23817422367398572</v>
      </c>
      <c r="G129" s="569">
        <f>COS(RADIANS(E128-180))*DualRadius</f>
        <v>-0.97122244577506245</v>
      </c>
      <c r="H129" s="570">
        <f t="shared" ref="H129" si="411">F129</f>
        <v>-0.23817422367398572</v>
      </c>
      <c r="I129" s="570">
        <f t="shared" ref="I129" si="412">G129</f>
        <v>-0.97122244577506245</v>
      </c>
      <c r="J129" s="531">
        <f>IF(DualSingle=2,F129,0)</f>
        <v>-0.23817422367398572</v>
      </c>
      <c r="K129" s="531">
        <f>IF(DualSingle=2,G129,0)</f>
        <v>-0.97122244577506245</v>
      </c>
      <c r="L129" s="574"/>
      <c r="M129" s="578"/>
      <c r="N129" s="577"/>
      <c r="O129" s="574"/>
      <c r="P129" s="574"/>
      <c r="Q129" s="575"/>
      <c r="R129" s="581"/>
      <c r="S129" s="512"/>
      <c r="T129" s="577"/>
      <c r="U129" s="578"/>
      <c r="V129" s="622"/>
      <c r="W129" s="623"/>
      <c r="X129" s="623"/>
      <c r="Y129" s="623"/>
      <c r="Z129" s="623"/>
      <c r="AA129" s="623"/>
      <c r="AB129" s="623"/>
      <c r="AC129" s="624"/>
      <c r="AD129" s="592"/>
      <c r="AE129" s="593"/>
    </row>
    <row r="130" spans="5:31" ht="14.4" thickBot="1">
      <c r="E130" s="582"/>
      <c r="F130" s="583"/>
      <c r="G130" s="583"/>
      <c r="H130" s="583"/>
      <c r="I130" s="583"/>
      <c r="J130" s="583"/>
      <c r="K130" s="583"/>
      <c r="L130" s="583"/>
      <c r="M130" s="584"/>
      <c r="N130" s="585"/>
      <c r="O130" s="586"/>
      <c r="P130" s="586"/>
      <c r="Q130" s="587"/>
      <c r="R130" s="588"/>
      <c r="S130" s="589"/>
      <c r="T130" s="585"/>
      <c r="U130" s="584"/>
      <c r="V130" s="625"/>
      <c r="W130" s="583"/>
      <c r="X130" s="583"/>
      <c r="Y130" s="583"/>
      <c r="Z130" s="583"/>
      <c r="AA130" s="583"/>
      <c r="AB130" s="583"/>
      <c r="AC130" s="626"/>
      <c r="AD130" s="592"/>
      <c r="AE130" s="593"/>
    </row>
    <row r="131" spans="5:31">
      <c r="E131" s="554">
        <f t="shared" ref="E131" si="413">E127+1</f>
        <v>31</v>
      </c>
      <c r="F131" s="555">
        <f>IF(WindFactor=1,M131,L131)*DualRadius</f>
        <v>8.0993614860665863E-2</v>
      </c>
      <c r="G131" s="555">
        <f>IF(WindFactor=1,M132,L132)*DualRadius</f>
        <v>0.27282530896613677</v>
      </c>
      <c r="H131" s="570">
        <f ca="1">((H132-H133)/((H132-H133)^2+(I132-I133)^2)^0.5)*ActBodyLenFact+H132</f>
        <v>0.6</v>
      </c>
      <c r="I131" s="570">
        <f ca="1">((I132-I133)/((H132-H133)^2+(I132-I133)^2)^0.5)*ActBodyLenFact+I132</f>
        <v>-1.1000000000000001</v>
      </c>
      <c r="J131" s="531">
        <f ca="1">IFERROR(((J132-J133)/((J132-J133)^2+(K132-K133)^2)^0.5)*ActBodyLenFact,0)+J132</f>
        <v>-0.6</v>
      </c>
      <c r="K131" s="531">
        <f ca="1">IFERROR(((K132-K133)/((J132-J133)^2+(K132-K133)^2)^0.5)*ActBodyLenFact,0)+K132</f>
        <v>-1.1000000000000001</v>
      </c>
      <c r="L131" s="557">
        <f t="shared" ref="L131" si="414">SIN(RADIANS(E132))</f>
        <v>0.28459377164770466</v>
      </c>
      <c r="M131" s="558">
        <f t="shared" ref="M131" si="415">L131*SIN(RADIANS(ABS(E132)))</f>
        <v>8.0993614860665863E-2</v>
      </c>
      <c r="N131" s="559">
        <f>IFERROR(DEGREES(ACOS(ABS(1+(H132-H133)^2+(I132-I133)^2-RedActX^2-RedActY^2)/ABS(2*((H132-H133)^2+(I132-I133)^2)^0.5)-0.00000000001)),90)</f>
        <v>82.544138163907519</v>
      </c>
      <c r="O131" s="556">
        <f>ABS(SIN(RADIANS(N131))*IF(WindFactor=1,SIN(RADIANS(E132)),1))</f>
        <v>0.28218756513257948</v>
      </c>
      <c r="P131" s="560"/>
      <c r="Q131" s="561">
        <f t="shared" ref="Q131" si="416">+O131+P132</f>
        <v>0.4980305083375226</v>
      </c>
      <c r="R131" s="562">
        <f t="shared" ref="R131" si="417">-F133*Q131/2</f>
        <v>7.0868190381699711E-2</v>
      </c>
      <c r="S131" s="563">
        <f t="shared" ref="S131" si="418">-G133*Q131/2</f>
        <v>0.23871802697064157</v>
      </c>
      <c r="T131" s="564">
        <f t="shared" ref="T131" si="419">((H132-H133)^2+(I132-I133)^2)^0.5</f>
        <v>0.8958160917118424</v>
      </c>
      <c r="U131" s="565">
        <f t="shared" ref="U131" si="420">((J132-J133)^2+(K132-K133)^2)^0.5</f>
        <v>0.34563191145406064</v>
      </c>
      <c r="V131" s="616">
        <f>-F133*1</f>
        <v>0.28459377164770516</v>
      </c>
      <c r="W131" s="617">
        <f>-G133*1</f>
        <v>0.95864820718516641</v>
      </c>
      <c r="X131" s="617">
        <f>-F133*0.75</f>
        <v>0.21344532873577887</v>
      </c>
      <c r="Y131" s="617">
        <f>-G133*0.75</f>
        <v>0.71898615538887478</v>
      </c>
      <c r="Z131" s="617">
        <f>-F133*0.5</f>
        <v>0.14229688582385258</v>
      </c>
      <c r="AA131" s="617">
        <f>-G133*0.5</f>
        <v>0.47932410359258321</v>
      </c>
      <c r="AB131" s="617">
        <f>-F133*0.25</f>
        <v>7.1148442911926291E-2</v>
      </c>
      <c r="AC131" s="618">
        <f>-G133*0.25</f>
        <v>0.2396620517962916</v>
      </c>
      <c r="AD131" s="592"/>
      <c r="AE131" s="593"/>
    </row>
    <row r="132" spans="5:31">
      <c r="E132" s="568">
        <f>StartAng+DualIncAng*E131</f>
        <v>16.534567901661589</v>
      </c>
      <c r="F132" s="569">
        <v>0</v>
      </c>
      <c r="G132" s="569">
        <v>0</v>
      </c>
      <c r="H132" s="570">
        <f>RedActX</f>
        <v>0.6</v>
      </c>
      <c r="I132" s="570">
        <f>RedActY</f>
        <v>-1.1000000000000001</v>
      </c>
      <c r="J132" s="531">
        <f>IF(DualSingle=2,GrnActX,0)</f>
        <v>-0.6</v>
      </c>
      <c r="K132" s="531">
        <f>IF(DualSingle=2,GrnActY,0)</f>
        <v>-1.1000000000000001</v>
      </c>
      <c r="L132" s="571">
        <f t="shared" ref="L132" si="421">ABS(COS(RADIANS(ABS(E132))))</f>
        <v>0.95864820718516663</v>
      </c>
      <c r="M132" s="572">
        <f t="shared" ref="M132" si="422">L132*SIN(RADIANS(ABS(E132)))</f>
        <v>0.27282530896613677</v>
      </c>
      <c r="N132" s="573">
        <f>IF(DualSingle=2,DEGREES(ACOS(ABS(1+(J132-J133)^2+(K132-K133)^2-GrnActX^2-GrnActY^2)/ABS(2*((J132-J133)^2+(K132-K133)^2)^0.5)-0.00000000001)),0)</f>
        <v>49.325518218904222</v>
      </c>
      <c r="O132" s="574"/>
      <c r="P132" s="531">
        <f>ABS(SIN(RADIANS(N132))*IF(WindFactor=1,SIN(RADIANS(E132)),1))</f>
        <v>0.2158429432049431</v>
      </c>
      <c r="Q132" s="575"/>
      <c r="R132" s="576">
        <f t="shared" ref="R132:S132" si="423">R135</f>
        <v>8.9313821561583046E-2</v>
      </c>
      <c r="S132" s="534">
        <f t="shared" si="423"/>
        <v>0.25517830504514483</v>
      </c>
      <c r="T132" s="577"/>
      <c r="U132" s="578"/>
      <c r="V132" s="619">
        <f t="shared" ref="V132:AC132" si="424">V135</f>
        <v>0.33035508669684865</v>
      </c>
      <c r="W132" s="620">
        <f t="shared" si="424"/>
        <v>0.9438567246640337</v>
      </c>
      <c r="X132" s="620">
        <f t="shared" si="424"/>
        <v>0.24776631502263649</v>
      </c>
      <c r="Y132" s="620">
        <f t="shared" si="424"/>
        <v>0.70789254349802522</v>
      </c>
      <c r="Z132" s="620">
        <f t="shared" si="424"/>
        <v>0.16517754334842433</v>
      </c>
      <c r="AA132" s="620">
        <f t="shared" si="424"/>
        <v>0.47192836233201685</v>
      </c>
      <c r="AB132" s="620">
        <f t="shared" si="424"/>
        <v>8.2588771674212164E-2</v>
      </c>
      <c r="AC132" s="621">
        <f t="shared" si="424"/>
        <v>0.23596418116600842</v>
      </c>
      <c r="AD132" s="592"/>
      <c r="AE132" s="593"/>
    </row>
    <row r="133" spans="5:31">
      <c r="E133" s="568"/>
      <c r="F133" s="569">
        <f>SIN(RADIANS(E132-180))*DualRadius</f>
        <v>-0.28459377164770516</v>
      </c>
      <c r="G133" s="569">
        <f>COS(RADIANS(E132-180))*DualRadius</f>
        <v>-0.95864820718516641</v>
      </c>
      <c r="H133" s="570">
        <f t="shared" ref="H133" si="425">F133</f>
        <v>-0.28459377164770516</v>
      </c>
      <c r="I133" s="570">
        <f t="shared" ref="I133" si="426">G133</f>
        <v>-0.95864820718516641</v>
      </c>
      <c r="J133" s="531">
        <f>IF(DualSingle=2,F133,0)</f>
        <v>-0.28459377164770516</v>
      </c>
      <c r="K133" s="531">
        <f>IF(DualSingle=2,G133,0)</f>
        <v>-0.95864820718516641</v>
      </c>
      <c r="L133" s="574"/>
      <c r="M133" s="578"/>
      <c r="N133" s="577"/>
      <c r="O133" s="574"/>
      <c r="P133" s="574"/>
      <c r="Q133" s="575"/>
      <c r="R133" s="581"/>
      <c r="S133" s="512"/>
      <c r="T133" s="577"/>
      <c r="U133" s="578"/>
      <c r="V133" s="622"/>
      <c r="W133" s="623"/>
      <c r="X133" s="623"/>
      <c r="Y133" s="623"/>
      <c r="Z133" s="623"/>
      <c r="AA133" s="623"/>
      <c r="AB133" s="623"/>
      <c r="AC133" s="624"/>
      <c r="AD133" s="592"/>
      <c r="AE133" s="593"/>
    </row>
    <row r="134" spans="5:31" ht="14.4" thickBot="1">
      <c r="E134" s="582"/>
      <c r="F134" s="583"/>
      <c r="G134" s="583"/>
      <c r="H134" s="583"/>
      <c r="I134" s="583"/>
      <c r="J134" s="583"/>
      <c r="K134" s="583"/>
      <c r="L134" s="583"/>
      <c r="M134" s="584"/>
      <c r="N134" s="585"/>
      <c r="O134" s="586"/>
      <c r="P134" s="586"/>
      <c r="Q134" s="587"/>
      <c r="R134" s="588"/>
      <c r="S134" s="589"/>
      <c r="T134" s="585"/>
      <c r="U134" s="584"/>
      <c r="V134" s="625"/>
      <c r="W134" s="583"/>
      <c r="X134" s="583"/>
      <c r="Y134" s="583"/>
      <c r="Z134" s="583"/>
      <c r="AA134" s="583"/>
      <c r="AB134" s="583"/>
      <c r="AC134" s="626"/>
      <c r="AD134" s="592"/>
      <c r="AE134" s="593"/>
    </row>
    <row r="135" spans="5:31">
      <c r="E135" s="554">
        <f t="shared" ref="E135" si="427">E131+1</f>
        <v>32</v>
      </c>
      <c r="F135" s="555">
        <f>IF(WindFactor=1,M135,L135)*DualRadius</f>
        <v>0.10913448330648243</v>
      </c>
      <c r="G135" s="555">
        <f>IF(WindFactor=1,M136,L136)*DualRadius</f>
        <v>0.31180787010579053</v>
      </c>
      <c r="H135" s="570">
        <f ca="1">((H136-H137)/((H136-H137)^2+(I136-I137)^2)^0.5)*ActBodyLenFact+H136</f>
        <v>0.6</v>
      </c>
      <c r="I135" s="570">
        <f ca="1">((I136-I137)/((H136-H137)^2+(I136-I137)^2)^0.5)*ActBodyLenFact+I136</f>
        <v>-1.1000000000000001</v>
      </c>
      <c r="J135" s="531">
        <f ca="1">IFERROR(((J136-J137)/((J136-J137)^2+(K136-K137)^2)^0.5)*ActBodyLenFact,0)+J136</f>
        <v>-0.6</v>
      </c>
      <c r="K135" s="531">
        <f ca="1">IFERROR(((K136-K137)/((J136-J137)^2+(K136-K137)^2)^0.5)*ActBodyLenFact,0)+K136</f>
        <v>-1.1000000000000001</v>
      </c>
      <c r="L135" s="557">
        <f t="shared" ref="L135" si="428">SIN(RADIANS(E136))</f>
        <v>0.33035508669684871</v>
      </c>
      <c r="M135" s="558">
        <f t="shared" ref="M135" si="429">L135*SIN(RADIANS(ABS(E136)))</f>
        <v>0.10913448330648243</v>
      </c>
      <c r="N135" s="559">
        <f>IFERROR(DEGREES(ACOS(ABS(1+(H136-H137)^2+(I136-I137)^2-RedActX^2-RedActY^2)/ABS(2*((H136-H137)^2+(I136-I137)^2)^0.5)-0.00000000001)),90)</f>
        <v>80.236940044464774</v>
      </c>
      <c r="O135" s="556">
        <f>ABS(SIN(RADIANS(N135))*IF(WindFactor=1,SIN(RADIANS(E136)),1))</f>
        <v>0.32557069670975375</v>
      </c>
      <c r="P135" s="560"/>
      <c r="Q135" s="561">
        <f t="shared" ref="Q135" si="430">+O135+P136</f>
        <v>0.54071406894086749</v>
      </c>
      <c r="R135" s="562">
        <f t="shared" ref="R135" si="431">-F137*Q135/2</f>
        <v>8.9313821561583046E-2</v>
      </c>
      <c r="S135" s="563">
        <f t="shared" ref="S135" si="432">-G137*Q135/2</f>
        <v>0.25517830504514483</v>
      </c>
      <c r="T135" s="564">
        <f t="shared" ref="T135" si="433">((H136-H137)^2+(I136-I137)^2)^0.5</f>
        <v>0.94336700693597719</v>
      </c>
      <c r="U135" s="565">
        <f t="shared" ref="U135" si="434">((J136-J137)^2+(K136-K137)^2)^0.5</f>
        <v>0.31159124137707628</v>
      </c>
      <c r="V135" s="616">
        <f>-F137*1</f>
        <v>0.33035508669684865</v>
      </c>
      <c r="W135" s="617">
        <f>-G137*1</f>
        <v>0.9438567246640337</v>
      </c>
      <c r="X135" s="617">
        <f>-F137*0.75</f>
        <v>0.24776631502263649</v>
      </c>
      <c r="Y135" s="617">
        <f>-G137*0.75</f>
        <v>0.70789254349802522</v>
      </c>
      <c r="Z135" s="617">
        <f>-F137*0.5</f>
        <v>0.16517754334842433</v>
      </c>
      <c r="AA135" s="617">
        <f>-G137*0.5</f>
        <v>0.47192836233201685</v>
      </c>
      <c r="AB135" s="617">
        <f>-F137*0.25</f>
        <v>8.2588771674212164E-2</v>
      </c>
      <c r="AC135" s="618">
        <f>-G137*0.25</f>
        <v>0.23596418116600842</v>
      </c>
      <c r="AD135" s="592"/>
      <c r="AE135" s="593"/>
    </row>
    <row r="136" spans="5:31">
      <c r="E136" s="568">
        <f>StartAng+DualIncAng*E135</f>
        <v>19.29032921860518</v>
      </c>
      <c r="F136" s="569">
        <v>0</v>
      </c>
      <c r="G136" s="569">
        <v>0</v>
      </c>
      <c r="H136" s="570">
        <f>RedActX</f>
        <v>0.6</v>
      </c>
      <c r="I136" s="570">
        <f>RedActY</f>
        <v>-1.1000000000000001</v>
      </c>
      <c r="J136" s="531">
        <f>IF(DualSingle=2,GrnActX,0)</f>
        <v>-0.6</v>
      </c>
      <c r="K136" s="531">
        <f>IF(DualSingle=2,GrnActY,0)</f>
        <v>-1.1000000000000001</v>
      </c>
      <c r="L136" s="571">
        <f t="shared" ref="L136" si="435">ABS(COS(RADIANS(ABS(E136))))</f>
        <v>0.9438567246640337</v>
      </c>
      <c r="M136" s="572">
        <f t="shared" ref="M136" si="436">L136*SIN(RADIANS(ABS(E136)))</f>
        <v>0.31180787010579053</v>
      </c>
      <c r="N136" s="573">
        <f>IF(DualSingle=2,DEGREES(ACOS(ABS(1+(J136-J137)^2+(K136-K137)^2-GrnActX^2-GrnActY^2)/ABS(2*((J136-J137)^2+(K136-K137)^2)^0.5)-0.00000000001)),0)</f>
        <v>40.635826558623684</v>
      </c>
      <c r="O136" s="574"/>
      <c r="P136" s="531">
        <f>ABS(SIN(RADIANS(N136))*IF(WindFactor=1,SIN(RADIANS(E136)),1))</f>
        <v>0.21514337223111377</v>
      </c>
      <c r="Q136" s="575"/>
      <c r="R136" s="576">
        <f t="shared" ref="R136:S136" si="437">R139</f>
        <v>0.10448890297694265</v>
      </c>
      <c r="S136" s="534">
        <f t="shared" si="437"/>
        <v>0.25802132549835999</v>
      </c>
      <c r="T136" s="577"/>
      <c r="U136" s="578"/>
      <c r="V136" s="619">
        <f t="shared" ref="V136:AC136" si="438">V139</f>
        <v>0.37535232812060898</v>
      </c>
      <c r="W136" s="620">
        <f t="shared" si="438"/>
        <v>0.92688220922317777</v>
      </c>
      <c r="X136" s="620">
        <f t="shared" si="438"/>
        <v>0.28151424609045672</v>
      </c>
      <c r="Y136" s="620">
        <f t="shared" si="438"/>
        <v>0.6951616569173833</v>
      </c>
      <c r="Z136" s="620">
        <f t="shared" si="438"/>
        <v>0.18767616406030449</v>
      </c>
      <c r="AA136" s="620">
        <f t="shared" si="438"/>
        <v>0.46344110461158888</v>
      </c>
      <c r="AB136" s="620">
        <f t="shared" si="438"/>
        <v>9.3838082030152245E-2</v>
      </c>
      <c r="AC136" s="621">
        <f t="shared" si="438"/>
        <v>0.23172055230579444</v>
      </c>
      <c r="AD136" s="592"/>
      <c r="AE136" s="593"/>
    </row>
    <row r="137" spans="5:31">
      <c r="E137" s="568"/>
      <c r="F137" s="569">
        <f>SIN(RADIANS(E136-180))*DualRadius</f>
        <v>-0.33035508669684865</v>
      </c>
      <c r="G137" s="569">
        <f>COS(RADIANS(E136-180))*DualRadius</f>
        <v>-0.9438567246640337</v>
      </c>
      <c r="H137" s="570">
        <f t="shared" ref="H137" si="439">F137</f>
        <v>-0.33035508669684865</v>
      </c>
      <c r="I137" s="570">
        <f t="shared" ref="I137" si="440">G137</f>
        <v>-0.9438567246640337</v>
      </c>
      <c r="J137" s="531">
        <f>IF(DualSingle=2,F137,0)</f>
        <v>-0.33035508669684865</v>
      </c>
      <c r="K137" s="531">
        <f>IF(DualSingle=2,G137,0)</f>
        <v>-0.9438567246640337</v>
      </c>
      <c r="L137" s="574"/>
      <c r="M137" s="578"/>
      <c r="N137" s="577"/>
      <c r="O137" s="574"/>
      <c r="P137" s="574"/>
      <c r="Q137" s="575"/>
      <c r="R137" s="581"/>
      <c r="S137" s="512"/>
      <c r="T137" s="577"/>
      <c r="U137" s="578"/>
      <c r="V137" s="622"/>
      <c r="W137" s="623"/>
      <c r="X137" s="623"/>
      <c r="Y137" s="623"/>
      <c r="Z137" s="623"/>
      <c r="AA137" s="623"/>
      <c r="AB137" s="623"/>
      <c r="AC137" s="624"/>
      <c r="AD137" s="592"/>
      <c r="AE137" s="593"/>
    </row>
    <row r="138" spans="5:31" ht="14.4" thickBot="1">
      <c r="E138" s="582"/>
      <c r="F138" s="583"/>
      <c r="G138" s="583"/>
      <c r="H138" s="583"/>
      <c r="I138" s="583"/>
      <c r="J138" s="583"/>
      <c r="K138" s="583"/>
      <c r="L138" s="583"/>
      <c r="M138" s="584"/>
      <c r="N138" s="585"/>
      <c r="O138" s="586"/>
      <c r="P138" s="586"/>
      <c r="Q138" s="587"/>
      <c r="R138" s="588"/>
      <c r="S138" s="589"/>
      <c r="T138" s="585"/>
      <c r="U138" s="584"/>
      <c r="V138" s="625"/>
      <c r="W138" s="583"/>
      <c r="X138" s="583"/>
      <c r="Y138" s="583"/>
      <c r="Z138" s="583"/>
      <c r="AA138" s="583"/>
      <c r="AB138" s="583"/>
      <c r="AC138" s="626"/>
      <c r="AD138" s="592"/>
      <c r="AE138" s="593"/>
    </row>
    <row r="139" spans="5:31">
      <c r="E139" s="554">
        <f t="shared" ref="E139" si="441">E135+1</f>
        <v>33</v>
      </c>
      <c r="F139" s="555">
        <f>IF(WindFactor=1,M139,L139)*DualRadius</f>
        <v>0.14088937022556111</v>
      </c>
      <c r="G139" s="555">
        <f>IF(WindFactor=1,M140,L140)*DualRadius</f>
        <v>0.34790739512549296</v>
      </c>
      <c r="H139" s="570">
        <f ca="1">((H140-H141)/((H140-H141)^2+(I140-I141)^2)^0.5)*ActBodyLenFact+H140</f>
        <v>0.6</v>
      </c>
      <c r="I139" s="570">
        <f ca="1">((I140-I141)/((H140-H141)^2+(I140-I141)^2)^0.5)*ActBodyLenFact+I140</f>
        <v>-1.1000000000000001</v>
      </c>
      <c r="J139" s="531">
        <f ca="1">IFERROR(((J140-J141)/((J140-J141)^2+(K140-K141)^2)^0.5)*ActBodyLenFact,0)+J140</f>
        <v>-0.6</v>
      </c>
      <c r="K139" s="531">
        <f ca="1">IFERROR(((K140-K141)/((J140-J141)^2+(K140-K141)^2)^0.5)*ActBodyLenFact,0)+K140</f>
        <v>-1.1000000000000001</v>
      </c>
      <c r="L139" s="557">
        <f t="shared" ref="L139" si="442">SIN(RADIANS(E140))</f>
        <v>0.3753523281206087</v>
      </c>
      <c r="M139" s="558">
        <f t="shared" ref="M139" si="443">L139*SIN(RADIANS(ABS(E140)))</f>
        <v>0.14088937022556111</v>
      </c>
      <c r="N139" s="559">
        <f>IFERROR(DEGREES(ACOS(ABS(1+(H140-H141)^2+(I140-I141)^2-RedActX^2-RedActY^2)/ABS(2*((H140-H141)^2+(I140-I141)^2)^0.5)-0.00000000001)),90)</f>
        <v>78.01866607842301</v>
      </c>
      <c r="O139" s="556">
        <f>ABS(SIN(RADIANS(N139))*IF(WindFactor=1,SIN(RADIANS(E140)),1))</f>
        <v>0.36717538396591365</v>
      </c>
      <c r="P139" s="560"/>
      <c r="Q139" s="561">
        <f t="shared" ref="Q139" si="444">+O139+P140</f>
        <v>0.55675105839955286</v>
      </c>
      <c r="R139" s="562">
        <f t="shared" ref="R139" si="445">-F141*Q139/2</f>
        <v>0.10448890297694265</v>
      </c>
      <c r="S139" s="563">
        <f t="shared" ref="S139" si="446">-G141*Q139/2</f>
        <v>0.25802132549835999</v>
      </c>
      <c r="T139" s="564">
        <f t="shared" ref="T139" si="447">((H140-H141)^2+(I140-I141)^2)^0.5</f>
        <v>0.9905967562301724</v>
      </c>
      <c r="U139" s="565">
        <f t="shared" ref="U139" si="448">((J140-J141)^2+(K140-K141)^2)^0.5</f>
        <v>0.28361302149985662</v>
      </c>
      <c r="V139" s="616">
        <f>-F141*1</f>
        <v>0.37535232812060898</v>
      </c>
      <c r="W139" s="617">
        <f>-G141*1</f>
        <v>0.92688220922317777</v>
      </c>
      <c r="X139" s="617">
        <f>-F141*0.75</f>
        <v>0.28151424609045672</v>
      </c>
      <c r="Y139" s="617">
        <f>-G141*0.75</f>
        <v>0.6951616569173833</v>
      </c>
      <c r="Z139" s="617">
        <f>-F141*0.5</f>
        <v>0.18767616406030449</v>
      </c>
      <c r="AA139" s="617">
        <f>-G141*0.5</f>
        <v>0.46344110461158888</v>
      </c>
      <c r="AB139" s="617">
        <f>-F141*0.25</f>
        <v>9.3838082030152245E-2</v>
      </c>
      <c r="AC139" s="618">
        <f>-G141*0.25</f>
        <v>0.23172055230579444</v>
      </c>
      <c r="AD139" s="592"/>
      <c r="AE139" s="593"/>
    </row>
    <row r="140" spans="5:31">
      <c r="E140" s="568">
        <f>StartAng+DualIncAng*E139</f>
        <v>22.046090535548771</v>
      </c>
      <c r="F140" s="569">
        <v>0</v>
      </c>
      <c r="G140" s="569">
        <v>0</v>
      </c>
      <c r="H140" s="570">
        <f>RedActX</f>
        <v>0.6</v>
      </c>
      <c r="I140" s="570">
        <f>RedActY</f>
        <v>-1.1000000000000001</v>
      </c>
      <c r="J140" s="531">
        <f>IF(DualSingle=2,GrnActX,0)</f>
        <v>-0.6</v>
      </c>
      <c r="K140" s="531">
        <f>IF(DualSingle=2,GrnActY,0)</f>
        <v>-1.1000000000000001</v>
      </c>
      <c r="L140" s="571">
        <f t="shared" ref="L140" si="449">ABS(COS(RADIANS(ABS(E140))))</f>
        <v>0.92688220922317788</v>
      </c>
      <c r="M140" s="572">
        <f t="shared" ref="M140" si="450">L140*SIN(RADIANS(ABS(E140)))</f>
        <v>0.34790739512549296</v>
      </c>
      <c r="N140" s="573">
        <f>IF(DualSingle=2,DEGREES(ACOS(ABS(1+(J140-J141)^2+(K140-K141)^2-GrnActX^2-GrnActY^2)/ABS(2*((J140-J141)^2+(K140-K141)^2)^0.5)-0.00000000001)),0)</f>
        <v>30.335375629754143</v>
      </c>
      <c r="O140" s="574"/>
      <c r="P140" s="531">
        <f>ABS(SIN(RADIANS(N140))*IF(WindFactor=1,SIN(RADIANS(E140)),1))</f>
        <v>0.18957567443363918</v>
      </c>
      <c r="Q140" s="575"/>
      <c r="R140" s="576">
        <f t="shared" ref="R140:S140" si="451">R143</f>
        <v>0.11309096430198469</v>
      </c>
      <c r="S140" s="534">
        <f t="shared" si="451"/>
        <v>0.24473049744777403</v>
      </c>
      <c r="T140" s="577"/>
      <c r="U140" s="578"/>
      <c r="V140" s="619">
        <f t="shared" ref="V140:AC140" si="452">V143</f>
        <v>0.41948142243329795</v>
      </c>
      <c r="W140" s="620">
        <f t="shared" si="452"/>
        <v>0.90776392098019465</v>
      </c>
      <c r="X140" s="620">
        <f t="shared" si="452"/>
        <v>0.31461106682497347</v>
      </c>
      <c r="Y140" s="620">
        <f t="shared" si="452"/>
        <v>0.68082294073514604</v>
      </c>
      <c r="Z140" s="620">
        <f t="shared" si="452"/>
        <v>0.20974071121664897</v>
      </c>
      <c r="AA140" s="620">
        <f t="shared" si="452"/>
        <v>0.45388196049009732</v>
      </c>
      <c r="AB140" s="620">
        <f t="shared" si="452"/>
        <v>0.10487035560832449</v>
      </c>
      <c r="AC140" s="621">
        <f t="shared" si="452"/>
        <v>0.22694098024504866</v>
      </c>
      <c r="AD140" s="592"/>
      <c r="AE140" s="593"/>
    </row>
    <row r="141" spans="5:31">
      <c r="E141" s="568"/>
      <c r="F141" s="569">
        <f>SIN(RADIANS(E140-180))*DualRadius</f>
        <v>-0.37535232812060898</v>
      </c>
      <c r="G141" s="569">
        <f>COS(RADIANS(E140-180))*DualRadius</f>
        <v>-0.92688220922317777</v>
      </c>
      <c r="H141" s="570">
        <f t="shared" ref="H141" si="453">F141</f>
        <v>-0.37535232812060898</v>
      </c>
      <c r="I141" s="570">
        <f t="shared" ref="I141" si="454">G141</f>
        <v>-0.92688220922317777</v>
      </c>
      <c r="J141" s="531">
        <f>IF(DualSingle=2,F141,0)</f>
        <v>-0.37535232812060898</v>
      </c>
      <c r="K141" s="531">
        <f>IF(DualSingle=2,G141,0)</f>
        <v>-0.92688220922317777</v>
      </c>
      <c r="L141" s="574"/>
      <c r="M141" s="578"/>
      <c r="N141" s="577"/>
      <c r="O141" s="574"/>
      <c r="P141" s="574"/>
      <c r="Q141" s="575"/>
      <c r="R141" s="581"/>
      <c r="S141" s="512"/>
      <c r="T141" s="577"/>
      <c r="U141" s="578"/>
      <c r="V141" s="622"/>
      <c r="W141" s="623"/>
      <c r="X141" s="623"/>
      <c r="Y141" s="623"/>
      <c r="Z141" s="623"/>
      <c r="AA141" s="623"/>
      <c r="AB141" s="623"/>
      <c r="AC141" s="624"/>
      <c r="AD141" s="592"/>
      <c r="AE141" s="593"/>
    </row>
    <row r="142" spans="5:31" ht="14.4" thickBot="1">
      <c r="E142" s="582"/>
      <c r="F142" s="583"/>
      <c r="G142" s="583"/>
      <c r="H142" s="583"/>
      <c r="I142" s="583"/>
      <c r="J142" s="583"/>
      <c r="K142" s="583"/>
      <c r="L142" s="583"/>
      <c r="M142" s="584"/>
      <c r="N142" s="585"/>
      <c r="O142" s="586"/>
      <c r="P142" s="586"/>
      <c r="Q142" s="587"/>
      <c r="R142" s="588"/>
      <c r="S142" s="589"/>
      <c r="T142" s="585"/>
      <c r="U142" s="584"/>
      <c r="V142" s="625"/>
      <c r="W142" s="583"/>
      <c r="X142" s="583"/>
      <c r="Y142" s="583"/>
      <c r="Z142" s="583"/>
      <c r="AA142" s="583"/>
      <c r="AB142" s="583"/>
      <c r="AC142" s="626"/>
      <c r="AD142" s="592"/>
      <c r="AE142" s="593"/>
    </row>
    <row r="143" spans="5:31">
      <c r="E143" s="554">
        <f t="shared" ref="E143" si="455">E139+1</f>
        <v>34</v>
      </c>
      <c r="F143" s="555">
        <f>IF(WindFactor=1,M143,L143)*DualRadius</f>
        <v>0.175964663766663</v>
      </c>
      <c r="G143" s="555">
        <f>IF(WindFactor=1,M144,L144)*DualRadius</f>
        <v>0.38079010080639997</v>
      </c>
      <c r="H143" s="570">
        <f ca="1">((H144-H145)/((H144-H145)^2+(I144-I145)^2)^0.5)*ActBodyLenFact+H144</f>
        <v>0.6</v>
      </c>
      <c r="I143" s="570">
        <f ca="1">((I144-I145)/((H144-H145)^2+(I144-I145)^2)^0.5)*ActBodyLenFact+I144</f>
        <v>-1.1000000000000001</v>
      </c>
      <c r="J143" s="531">
        <f ca="1">IFERROR(((J144-J145)/((J144-J145)^2+(K144-K145)^2)^0.5)*ActBodyLenFact,0)+J144</f>
        <v>-0.6</v>
      </c>
      <c r="K143" s="531">
        <f ca="1">IFERROR(((K144-K145)/((J144-J145)^2+(K144-K145)^2)^0.5)*ActBodyLenFact,0)+K144</f>
        <v>-1.1000000000000001</v>
      </c>
      <c r="L143" s="557">
        <f t="shared" ref="L143" si="456">SIN(RADIANS(E144))</f>
        <v>0.419481422433298</v>
      </c>
      <c r="M143" s="558">
        <f t="shared" ref="M143" si="457">L143*SIN(RADIANS(ABS(E144)))</f>
        <v>0.175964663766663</v>
      </c>
      <c r="N143" s="559">
        <f>IFERROR(DEGREES(ACOS(ABS(1+(H144-H145)^2+(I144-I145)^2-RedActX^2-RedActY^2)/ABS(2*((H144-H145)^2+(I144-I145)^2)^0.5)-0.00000000001)),90)</f>
        <v>75.876607489770933</v>
      </c>
      <c r="O143" s="556">
        <f>ABS(SIN(RADIANS(N143))*IF(WindFactor=1,SIN(RADIANS(E144)),1))</f>
        <v>0.40680153608027481</v>
      </c>
      <c r="P143" s="560"/>
      <c r="Q143" s="561">
        <f t="shared" ref="Q143" si="458">+O143+P144</f>
        <v>0.53919414903274943</v>
      </c>
      <c r="R143" s="562">
        <f t="shared" ref="R143" si="459">-F145*Q143/2</f>
        <v>0.11309096430198469</v>
      </c>
      <c r="S143" s="563">
        <f t="shared" ref="S143" si="460">-G145*Q143/2</f>
        <v>0.24473049744777403</v>
      </c>
      <c r="T143" s="564">
        <f t="shared" ref="T143" si="461">((H144-H145)^2+(I144-I145)^2)^0.5</f>
        <v>1.037447386985735</v>
      </c>
      <c r="U143" s="565">
        <f t="shared" ref="U143" si="462">((J144-J145)^2+(K144-K145)^2)^0.5</f>
        <v>0.26370754051337686</v>
      </c>
      <c r="V143" s="616">
        <f>-F145*1</f>
        <v>0.41948142243329795</v>
      </c>
      <c r="W143" s="617">
        <f>-G145*1</f>
        <v>0.90776392098019465</v>
      </c>
      <c r="X143" s="617">
        <f>-F145*0.75</f>
        <v>0.31461106682497347</v>
      </c>
      <c r="Y143" s="617">
        <f>-G145*0.75</f>
        <v>0.68082294073514604</v>
      </c>
      <c r="Z143" s="617">
        <f>-F145*0.5</f>
        <v>0.20974071121664897</v>
      </c>
      <c r="AA143" s="617">
        <f>-G145*0.5</f>
        <v>0.45388196049009732</v>
      </c>
      <c r="AB143" s="617">
        <f>-F145*0.25</f>
        <v>0.10487035560832449</v>
      </c>
      <c r="AC143" s="618">
        <f>-G145*0.25</f>
        <v>0.22694098024504866</v>
      </c>
      <c r="AD143" s="592"/>
      <c r="AE143" s="593"/>
    </row>
    <row r="144" spans="5:31">
      <c r="E144" s="568">
        <f>StartAng+DualIncAng*E143</f>
        <v>24.801851852492376</v>
      </c>
      <c r="F144" s="569">
        <v>0</v>
      </c>
      <c r="G144" s="569">
        <v>0</v>
      </c>
      <c r="H144" s="570">
        <f>RedActX</f>
        <v>0.6</v>
      </c>
      <c r="I144" s="570">
        <f>RedActY</f>
        <v>-1.1000000000000001</v>
      </c>
      <c r="J144" s="531">
        <f>IF(DualSingle=2,GrnActX,0)</f>
        <v>-0.6</v>
      </c>
      <c r="K144" s="531">
        <f>IF(DualSingle=2,GrnActY,0)</f>
        <v>-1.1000000000000001</v>
      </c>
      <c r="L144" s="571">
        <f t="shared" ref="L144" si="463">ABS(COS(RADIANS(ABS(E144))))</f>
        <v>0.90776392098019465</v>
      </c>
      <c r="M144" s="572">
        <f t="shared" ref="M144" si="464">L144*SIN(RADIANS(ABS(E144)))</f>
        <v>0.38079010080639997</v>
      </c>
      <c r="N144" s="573">
        <f>IF(DualSingle=2,DEGREES(ACOS(ABS(1+(J144-J145)^2+(K144-K145)^2-GrnActX^2-GrnActY^2)/ABS(2*((J144-J145)^2+(K144-K145)^2)^0.5)-0.00000000001)),0)</f>
        <v>18.39765454732089</v>
      </c>
      <c r="O144" s="574"/>
      <c r="P144" s="531">
        <f>ABS(SIN(RADIANS(N144))*IF(WindFactor=1,SIN(RADIANS(E144)),1))</f>
        <v>0.13239261295247465</v>
      </c>
      <c r="Q144" s="575"/>
      <c r="R144" s="576">
        <f t="shared" ref="R144:S144" si="465">R147</f>
        <v>0.11247577967902524</v>
      </c>
      <c r="S144" s="534">
        <f t="shared" si="465"/>
        <v>0.21553453191632851</v>
      </c>
      <c r="T144" s="577"/>
      <c r="U144" s="578"/>
      <c r="V144" s="619">
        <f t="shared" ref="V144:AC144" si="466">V147</f>
        <v>0.46264030407445034</v>
      </c>
      <c r="W144" s="620">
        <f t="shared" si="466"/>
        <v>0.88654607835458854</v>
      </c>
      <c r="X144" s="620">
        <f t="shared" si="466"/>
        <v>0.34698022805583772</v>
      </c>
      <c r="Y144" s="620">
        <f t="shared" si="466"/>
        <v>0.66490955876594138</v>
      </c>
      <c r="Z144" s="620">
        <f t="shared" si="466"/>
        <v>0.23132015203722517</v>
      </c>
      <c r="AA144" s="620">
        <f t="shared" si="466"/>
        <v>0.44327303917729427</v>
      </c>
      <c r="AB144" s="620">
        <f t="shared" si="466"/>
        <v>0.11566007601861258</v>
      </c>
      <c r="AC144" s="621">
        <f t="shared" si="466"/>
        <v>0.22163651958864714</v>
      </c>
      <c r="AD144" s="592"/>
      <c r="AE144" s="593"/>
    </row>
    <row r="145" spans="5:31">
      <c r="E145" s="568"/>
      <c r="F145" s="569">
        <f>SIN(RADIANS(E144-180))*DualRadius</f>
        <v>-0.41948142243329795</v>
      </c>
      <c r="G145" s="569">
        <f>COS(RADIANS(E144-180))*DualRadius</f>
        <v>-0.90776392098019465</v>
      </c>
      <c r="H145" s="570">
        <f t="shared" ref="H145" si="467">F145</f>
        <v>-0.41948142243329795</v>
      </c>
      <c r="I145" s="570">
        <f t="shared" ref="I145" si="468">G145</f>
        <v>-0.90776392098019465</v>
      </c>
      <c r="J145" s="531">
        <f>IF(DualSingle=2,F145,0)</f>
        <v>-0.41948142243329795</v>
      </c>
      <c r="K145" s="531">
        <f>IF(DualSingle=2,G145,0)</f>
        <v>-0.90776392098019465</v>
      </c>
      <c r="L145" s="574"/>
      <c r="M145" s="578"/>
      <c r="N145" s="577"/>
      <c r="O145" s="574"/>
      <c r="P145" s="574"/>
      <c r="Q145" s="575"/>
      <c r="R145" s="581"/>
      <c r="S145" s="512"/>
      <c r="T145" s="577"/>
      <c r="U145" s="578"/>
      <c r="V145" s="622"/>
      <c r="W145" s="623"/>
      <c r="X145" s="623"/>
      <c r="Y145" s="623"/>
      <c r="Z145" s="623"/>
      <c r="AA145" s="623"/>
      <c r="AB145" s="623"/>
      <c r="AC145" s="624"/>
      <c r="AD145" s="592"/>
      <c r="AE145" s="593"/>
    </row>
    <row r="146" spans="5:31" ht="14.4" thickBot="1">
      <c r="E146" s="582"/>
      <c r="F146" s="583"/>
      <c r="G146" s="583"/>
      <c r="H146" s="583"/>
      <c r="I146" s="583"/>
      <c r="J146" s="583"/>
      <c r="K146" s="583"/>
      <c r="L146" s="583"/>
      <c r="M146" s="584"/>
      <c r="N146" s="585"/>
      <c r="O146" s="586"/>
      <c r="P146" s="586"/>
      <c r="Q146" s="587"/>
      <c r="R146" s="588"/>
      <c r="S146" s="589"/>
      <c r="T146" s="585"/>
      <c r="U146" s="584"/>
      <c r="V146" s="625"/>
      <c r="W146" s="583"/>
      <c r="X146" s="583"/>
      <c r="Y146" s="583"/>
      <c r="Z146" s="583"/>
      <c r="AA146" s="583"/>
      <c r="AB146" s="583"/>
      <c r="AC146" s="626"/>
      <c r="AD146" s="592"/>
      <c r="AE146" s="593"/>
    </row>
    <row r="147" spans="5:31">
      <c r="E147" s="554">
        <f t="shared" ref="E147" si="469">E143+1</f>
        <v>35</v>
      </c>
      <c r="F147" s="555">
        <f>IF(WindFactor=1,M147,L147)*DualRadius</f>
        <v>0.21403605095409997</v>
      </c>
      <c r="G147" s="555">
        <f>IF(WindFactor=1,M148,L148)*DualRadius</f>
        <v>0.41015194726597837</v>
      </c>
      <c r="H147" s="570">
        <f ca="1">((H148-H149)/((H148-H149)^2+(I148-I149)^2)^0.5)*ActBodyLenFact+H148</f>
        <v>0.6</v>
      </c>
      <c r="I147" s="570">
        <f ca="1">((I148-I149)/((H148-H149)^2+(I148-I149)^2)^0.5)*ActBodyLenFact+I148</f>
        <v>-1.1000000000000001</v>
      </c>
      <c r="J147" s="531">
        <f ca="1">IFERROR(((J148-J149)/((J148-J149)^2+(K148-K149)^2)^0.5)*ActBodyLenFact,0)+J148</f>
        <v>-0.6</v>
      </c>
      <c r="K147" s="531">
        <f ca="1">IFERROR(((K148-K149)/((J148-J149)^2+(K148-K149)^2)^0.5)*ActBodyLenFact,0)+K148</f>
        <v>-1.1000000000000001</v>
      </c>
      <c r="L147" s="557">
        <f t="shared" ref="L147" si="470">SIN(RADIANS(E148))</f>
        <v>0.46264030407445045</v>
      </c>
      <c r="M147" s="558">
        <f t="shared" ref="M147" si="471">L147*SIN(RADIANS(ABS(E148)))</f>
        <v>0.21403605095409997</v>
      </c>
      <c r="N147" s="559">
        <f>IFERROR(DEGREES(ACOS(ABS(1+(H148-H149)^2+(I148-I149)^2-RedActX^2-RedActY^2)/ABS(2*((H148-H149)^2+(I148-I149)^2)^0.5)-0.00000000001)),90)</f>
        <v>73.800312079613178</v>
      </c>
      <c r="O147" s="556">
        <f>ABS(SIN(RADIANS(N147))*IF(WindFactor=1,SIN(RADIANS(E148)),1))</f>
        <v>0.44427126577018816</v>
      </c>
      <c r="P147" s="560"/>
      <c r="Q147" s="561">
        <f t="shared" ref="Q147" si="472">+O147+P148</f>
        <v>0.48623424586425606</v>
      </c>
      <c r="R147" s="562">
        <f t="shared" ref="R147" si="473">-F149*Q147/2</f>
        <v>0.11247577967902524</v>
      </c>
      <c r="S147" s="563">
        <f t="shared" ref="S147" si="474">-G149*Q147/2</f>
        <v>0.21553453191632851</v>
      </c>
      <c r="T147" s="564">
        <f t="shared" ref="T147" si="475">((H148-H149)^2+(I148-I149)^2)^0.5</f>
        <v>1.0838666857640959</v>
      </c>
      <c r="U147" s="565">
        <f t="shared" ref="U147" si="476">((J148-J149)^2+(K148-K149)^2)^0.5</f>
        <v>0.25383116973800707</v>
      </c>
      <c r="V147" s="616">
        <f>-F149*1</f>
        <v>0.46264030407445034</v>
      </c>
      <c r="W147" s="617">
        <f>-G149*1</f>
        <v>0.88654607835458854</v>
      </c>
      <c r="X147" s="617">
        <f>-F149*0.75</f>
        <v>0.34698022805583772</v>
      </c>
      <c r="Y147" s="617">
        <f>-G149*0.75</f>
        <v>0.66490955876594138</v>
      </c>
      <c r="Z147" s="617">
        <f>-F149*0.5</f>
        <v>0.23132015203722517</v>
      </c>
      <c r="AA147" s="617">
        <f>-G149*0.5</f>
        <v>0.44327303917729427</v>
      </c>
      <c r="AB147" s="617">
        <f>-F149*0.25</f>
        <v>0.11566007601861258</v>
      </c>
      <c r="AC147" s="618">
        <f>-G149*0.25</f>
        <v>0.22163651958864714</v>
      </c>
      <c r="AD147" s="592"/>
      <c r="AE147" s="593"/>
    </row>
    <row r="148" spans="5:31">
      <c r="E148" s="568">
        <f>StartAng+DualIncAng*E147</f>
        <v>27.557613169435967</v>
      </c>
      <c r="F148" s="569">
        <v>0</v>
      </c>
      <c r="G148" s="569">
        <v>0</v>
      </c>
      <c r="H148" s="570">
        <f>RedActX</f>
        <v>0.6</v>
      </c>
      <c r="I148" s="570">
        <f>RedActY</f>
        <v>-1.1000000000000001</v>
      </c>
      <c r="J148" s="531">
        <f>IF(DualSingle=2,GrnActX,0)</f>
        <v>-0.6</v>
      </c>
      <c r="K148" s="531">
        <f>IF(DualSingle=2,GrnActY,0)</f>
        <v>-1.1000000000000001</v>
      </c>
      <c r="L148" s="571">
        <f t="shared" ref="L148" si="477">ABS(COS(RADIANS(ABS(E148))))</f>
        <v>0.88654607835458843</v>
      </c>
      <c r="M148" s="572">
        <f t="shared" ref="M148" si="478">L148*SIN(RADIANS(ABS(E148)))</f>
        <v>0.41015194726597837</v>
      </c>
      <c r="N148" s="573">
        <f>IF(DualSingle=2,DEGREES(ACOS(ABS(1+(J148-J149)^2+(K148-K149)^2-GrnActX^2-GrnActY^2)/ABS(2*((J148-J149)^2+(K148-K149)^2)^0.5)-0.00000000001)),0)</f>
        <v>5.2040659439021946</v>
      </c>
      <c r="O148" s="574"/>
      <c r="P148" s="531">
        <f>ABS(SIN(RADIANS(N148))*IF(WindFactor=1,SIN(RADIANS(E148)),1))</f>
        <v>4.1962980094067924E-2</v>
      </c>
      <c r="Q148" s="575"/>
      <c r="R148" s="576">
        <f t="shared" ref="R148:S148" si="479">R151</f>
        <v>0.13957714493935156</v>
      </c>
      <c r="S148" s="534">
        <f t="shared" si="479"/>
        <v>0.2387297109578855</v>
      </c>
      <c r="T148" s="577"/>
      <c r="U148" s="578"/>
      <c r="V148" s="619">
        <f t="shared" ref="V148:AC148" si="480">V151</f>
        <v>0.504729151474819</v>
      </c>
      <c r="W148" s="620">
        <f t="shared" si="480"/>
        <v>0.8632777557956125</v>
      </c>
      <c r="X148" s="620">
        <f t="shared" si="480"/>
        <v>0.37854686360611423</v>
      </c>
      <c r="Y148" s="620">
        <f t="shared" si="480"/>
        <v>0.6474583168467094</v>
      </c>
      <c r="Z148" s="620">
        <f t="shared" si="480"/>
        <v>0.2523645757374095</v>
      </c>
      <c r="AA148" s="620">
        <f t="shared" si="480"/>
        <v>0.43163887789780625</v>
      </c>
      <c r="AB148" s="620">
        <f t="shared" si="480"/>
        <v>0.12618228786870475</v>
      </c>
      <c r="AC148" s="621">
        <f t="shared" si="480"/>
        <v>0.21581943894890313</v>
      </c>
      <c r="AD148" s="592"/>
      <c r="AE148" s="593"/>
    </row>
    <row r="149" spans="5:31">
      <c r="E149" s="568"/>
      <c r="F149" s="569">
        <f>SIN(RADIANS(E148-180))*DualRadius</f>
        <v>-0.46264030407445034</v>
      </c>
      <c r="G149" s="569">
        <f>COS(RADIANS(E148-180))*DualRadius</f>
        <v>-0.88654607835458854</v>
      </c>
      <c r="H149" s="570">
        <f t="shared" ref="H149" si="481">F149</f>
        <v>-0.46264030407445034</v>
      </c>
      <c r="I149" s="570">
        <f t="shared" ref="I149" si="482">G149</f>
        <v>-0.88654607835458854</v>
      </c>
      <c r="J149" s="531">
        <f>IF(DualSingle=2,F149,0)</f>
        <v>-0.46264030407445034</v>
      </c>
      <c r="K149" s="531">
        <f>IF(DualSingle=2,G149,0)</f>
        <v>-0.88654607835458854</v>
      </c>
      <c r="L149" s="574"/>
      <c r="M149" s="578"/>
      <c r="N149" s="577"/>
      <c r="O149" s="574"/>
      <c r="P149" s="574"/>
      <c r="Q149" s="575"/>
      <c r="R149" s="581"/>
      <c r="S149" s="512"/>
      <c r="T149" s="577"/>
      <c r="U149" s="578"/>
      <c r="V149" s="622"/>
      <c r="W149" s="623"/>
      <c r="X149" s="623"/>
      <c r="Y149" s="623"/>
      <c r="Z149" s="623"/>
      <c r="AA149" s="623"/>
      <c r="AB149" s="623"/>
      <c r="AC149" s="624"/>
      <c r="AD149" s="592"/>
      <c r="AE149" s="593"/>
    </row>
    <row r="150" spans="5:31" ht="14.4" thickBot="1">
      <c r="E150" s="582"/>
      <c r="F150" s="583"/>
      <c r="G150" s="583"/>
      <c r="H150" s="583"/>
      <c r="I150" s="583"/>
      <c r="J150" s="583"/>
      <c r="K150" s="583"/>
      <c r="L150" s="583"/>
      <c r="M150" s="584"/>
      <c r="N150" s="585"/>
      <c r="O150" s="586"/>
      <c r="P150" s="586"/>
      <c r="Q150" s="587"/>
      <c r="R150" s="588"/>
      <c r="S150" s="589"/>
      <c r="T150" s="585"/>
      <c r="U150" s="584"/>
      <c r="V150" s="625"/>
      <c r="W150" s="583"/>
      <c r="X150" s="583"/>
      <c r="Y150" s="583"/>
      <c r="Z150" s="583"/>
      <c r="AA150" s="583"/>
      <c r="AB150" s="583"/>
      <c r="AC150" s="626"/>
      <c r="AD150" s="592"/>
      <c r="AE150" s="593"/>
    </row>
    <row r="151" spans="5:31">
      <c r="E151" s="554">
        <f t="shared" ref="E151" si="483">E147+1</f>
        <v>36</v>
      </c>
      <c r="F151" s="555">
        <f>IF(WindFactor=1,M151,L151)*DualRadius</f>
        <v>0.25475151634849047</v>
      </c>
      <c r="G151" s="555">
        <f>IF(WindFactor=1,M152,L152)*DualRadius</f>
        <v>0.43572144916980532</v>
      </c>
      <c r="H151" s="570">
        <f ca="1">((H152-H153)/((H152-H153)^2+(I152-I153)^2)^0.5)*ActBodyLenFact+H152</f>
        <v>0.6</v>
      </c>
      <c r="I151" s="570">
        <f ca="1">((I152-I153)/((H152-H153)^2+(I152-I153)^2)^0.5)*ActBodyLenFact+I152</f>
        <v>-1.1000000000000001</v>
      </c>
      <c r="J151" s="531">
        <f ca="1">IFERROR(((J152-J153)/((J152-J153)^2+(K152-K153)^2)^0.5)*ActBodyLenFact,0)+J152</f>
        <v>-0.6</v>
      </c>
      <c r="K151" s="531">
        <f ca="1">IFERROR(((K152-K153)/((J152-J153)^2+(K152-K153)^2)^0.5)*ActBodyLenFact,0)+K152</f>
        <v>-1.1000000000000001</v>
      </c>
      <c r="L151" s="557">
        <f t="shared" ref="L151" si="484">SIN(RADIANS(E152))</f>
        <v>0.50472915147481867</v>
      </c>
      <c r="M151" s="558">
        <f t="shared" ref="M151" si="485">L151*SIN(RADIANS(ABS(E152)))</f>
        <v>0.25475151634849047</v>
      </c>
      <c r="N151" s="559">
        <f>IFERROR(DEGREES(ACOS(ABS(1+(H152-H153)^2+(I152-I153)^2-RedActX^2-RedActY^2)/ABS(2*((H152-H153)^2+(I152-I153)^2)^0.5)-0.00000000001)),90)</f>
        <v>71.781113277690864</v>
      </c>
      <c r="O151" s="556">
        <f>ABS(SIN(RADIANS(N151))*IF(WindFactor=1,SIN(RADIANS(E152)),1))</f>
        <v>0.47942659620727202</v>
      </c>
      <c r="P151" s="560"/>
      <c r="Q151" s="561">
        <f t="shared" ref="Q151" si="486">+O151+P152</f>
        <v>0.5530774060959508</v>
      </c>
      <c r="R151" s="562">
        <f t="shared" ref="R151" si="487">-F153*Q151/2</f>
        <v>0.13957714493935156</v>
      </c>
      <c r="S151" s="563">
        <f t="shared" ref="S151" si="488">-G153*Q151/2</f>
        <v>0.2387297109578855</v>
      </c>
      <c r="T151" s="564">
        <f t="shared" ref="T151" si="489">((H152-H153)^2+(I152-I153)^2)^0.5</f>
        <v>1.1298070273367198</v>
      </c>
      <c r="U151" s="565">
        <f t="shared" ref="U151" si="490">((J152-J153)^2+(K152-K153)^2)^0.5</f>
        <v>0.25517436289696049</v>
      </c>
      <c r="V151" s="616">
        <f>-F153*1</f>
        <v>0.504729151474819</v>
      </c>
      <c r="W151" s="617">
        <f>-G153*1</f>
        <v>0.8632777557956125</v>
      </c>
      <c r="X151" s="617">
        <f>-F153*0.75</f>
        <v>0.37854686360611423</v>
      </c>
      <c r="Y151" s="617">
        <f>-G153*0.75</f>
        <v>0.6474583168467094</v>
      </c>
      <c r="Z151" s="617">
        <f>-F153*0.5</f>
        <v>0.2523645757374095</v>
      </c>
      <c r="AA151" s="617">
        <f>-G153*0.5</f>
        <v>0.43163887789780625</v>
      </c>
      <c r="AB151" s="617">
        <f>-F153*0.25</f>
        <v>0.12618228786870475</v>
      </c>
      <c r="AC151" s="618">
        <f>-G153*0.25</f>
        <v>0.21581943894890313</v>
      </c>
      <c r="AD151" s="592"/>
      <c r="AE151" s="593"/>
    </row>
    <row r="152" spans="5:31">
      <c r="E152" s="568">
        <f>StartAng+DualIncAng*E151</f>
        <v>30.313374486379573</v>
      </c>
      <c r="F152" s="569">
        <v>0</v>
      </c>
      <c r="G152" s="569">
        <v>0</v>
      </c>
      <c r="H152" s="570">
        <f>RedActX</f>
        <v>0.6</v>
      </c>
      <c r="I152" s="570">
        <f>RedActY</f>
        <v>-1.1000000000000001</v>
      </c>
      <c r="J152" s="531">
        <f>IF(DualSingle=2,GrnActX,0)</f>
        <v>-0.6</v>
      </c>
      <c r="K152" s="531">
        <f>IF(DualSingle=2,GrnActY,0)</f>
        <v>-1.1000000000000001</v>
      </c>
      <c r="L152" s="571">
        <f t="shared" ref="L152" si="491">ABS(COS(RADIANS(ABS(E152))))</f>
        <v>0.86327775579561272</v>
      </c>
      <c r="M152" s="572">
        <f t="shared" ref="M152" si="492">L152*SIN(RADIANS(ABS(E152)))</f>
        <v>0.43572144916980532</v>
      </c>
      <c r="N152" s="573">
        <f>IF(DualSingle=2,DEGREES(ACOS(ABS(1+(J152-J153)^2+(K152-K153)^2-GrnActX^2-GrnActY^2)/ABS(2*((J152-J153)^2+(K152-K153)^2)^0.5)-0.00000000001)),0)</f>
        <v>8.3906419803684393</v>
      </c>
      <c r="O152" s="574"/>
      <c r="P152" s="531">
        <f>ABS(SIN(RADIANS(N152))*IF(WindFactor=1,SIN(RADIANS(E152)),1))</f>
        <v>7.3650809888678739E-2</v>
      </c>
      <c r="Q152" s="575"/>
      <c r="R152" s="576">
        <f t="shared" ref="R152:S152" si="493">R155</f>
        <v>0.19391711156364891</v>
      </c>
      <c r="S152" s="534">
        <f t="shared" si="493"/>
        <v>0.29781880662336457</v>
      </c>
      <c r="T152" s="577"/>
      <c r="U152" s="578"/>
      <c r="V152" s="619">
        <f t="shared" ref="V152:AC152" si="494">V155</f>
        <v>0.54565061793227321</v>
      </c>
      <c r="W152" s="620">
        <f t="shared" si="494"/>
        <v>0.8380127702786685</v>
      </c>
      <c r="X152" s="620">
        <f t="shared" si="494"/>
        <v>0.40923796344920493</v>
      </c>
      <c r="Y152" s="620">
        <f t="shared" si="494"/>
        <v>0.6285095777090014</v>
      </c>
      <c r="Z152" s="620">
        <f t="shared" si="494"/>
        <v>0.2728253089661366</v>
      </c>
      <c r="AA152" s="620">
        <f t="shared" si="494"/>
        <v>0.41900638513933425</v>
      </c>
      <c r="AB152" s="620">
        <f t="shared" si="494"/>
        <v>0.1364126544830683</v>
      </c>
      <c r="AC152" s="621">
        <f t="shared" si="494"/>
        <v>0.20950319256966712</v>
      </c>
      <c r="AD152" s="592"/>
      <c r="AE152" s="593"/>
    </row>
    <row r="153" spans="5:31">
      <c r="E153" s="568"/>
      <c r="F153" s="569">
        <f>SIN(RADIANS(E152-180))*DualRadius</f>
        <v>-0.504729151474819</v>
      </c>
      <c r="G153" s="569">
        <f>COS(RADIANS(E152-180))*DualRadius</f>
        <v>-0.8632777557956125</v>
      </c>
      <c r="H153" s="570">
        <f t="shared" ref="H153" si="495">F153</f>
        <v>-0.504729151474819</v>
      </c>
      <c r="I153" s="570">
        <f t="shared" ref="I153" si="496">G153</f>
        <v>-0.8632777557956125</v>
      </c>
      <c r="J153" s="531">
        <f>IF(DualSingle=2,F153,0)</f>
        <v>-0.504729151474819</v>
      </c>
      <c r="K153" s="531">
        <f>IF(DualSingle=2,G153,0)</f>
        <v>-0.8632777557956125</v>
      </c>
      <c r="L153" s="574"/>
      <c r="M153" s="578"/>
      <c r="N153" s="577"/>
      <c r="O153" s="574"/>
      <c r="P153" s="574"/>
      <c r="Q153" s="575"/>
      <c r="R153" s="581"/>
      <c r="S153" s="512"/>
      <c r="T153" s="577"/>
      <c r="U153" s="578"/>
      <c r="V153" s="622"/>
      <c r="W153" s="623"/>
      <c r="X153" s="623"/>
      <c r="Y153" s="623"/>
      <c r="Z153" s="623"/>
      <c r="AA153" s="623"/>
      <c r="AB153" s="623"/>
      <c r="AC153" s="624"/>
      <c r="AD153" s="592"/>
      <c r="AE153" s="593"/>
    </row>
    <row r="154" spans="5:31" ht="14.4" thickBot="1">
      <c r="E154" s="582"/>
      <c r="F154" s="583"/>
      <c r="G154" s="583"/>
      <c r="H154" s="583"/>
      <c r="I154" s="583"/>
      <c r="J154" s="583"/>
      <c r="K154" s="583"/>
      <c r="L154" s="583"/>
      <c r="M154" s="584"/>
      <c r="N154" s="585"/>
      <c r="O154" s="586"/>
      <c r="P154" s="586"/>
      <c r="Q154" s="587"/>
      <c r="R154" s="588"/>
      <c r="S154" s="589"/>
      <c r="T154" s="585"/>
      <c r="U154" s="584"/>
      <c r="V154" s="625"/>
      <c r="W154" s="583"/>
      <c r="X154" s="583"/>
      <c r="Y154" s="583"/>
      <c r="Z154" s="583"/>
      <c r="AA154" s="583"/>
      <c r="AB154" s="583"/>
      <c r="AC154" s="626"/>
      <c r="AD154" s="592"/>
      <c r="AE154" s="593"/>
    </row>
    <row r="155" spans="5:31">
      <c r="E155" s="554">
        <f t="shared" ref="E155" si="497">E151+1</f>
        <v>37</v>
      </c>
      <c r="F155" s="555">
        <f>IF(WindFactor=1,M155,L155)*DualRadius</f>
        <v>0.29773459684987186</v>
      </c>
      <c r="G155" s="555">
        <f>IF(WindFactor=1,M156,L156)*DualRadius</f>
        <v>0.45726218593769169</v>
      </c>
      <c r="H155" s="570">
        <f ca="1">((H156-H157)/((H156-H157)^2+(I156-I157)^2)^0.5)*ActBodyLenFact+H156</f>
        <v>0.6</v>
      </c>
      <c r="I155" s="570">
        <f ca="1">((I156-I157)/((H156-H157)^2+(I156-I157)^2)^0.5)*ActBodyLenFact+I156</f>
        <v>-1.1000000000000001</v>
      </c>
      <c r="J155" s="531">
        <f ca="1">IFERROR(((J156-J157)/((J156-J157)^2+(K156-K157)^2)^0.5)*ActBodyLenFact,0)+J156</f>
        <v>-0.6</v>
      </c>
      <c r="K155" s="531">
        <f ca="1">IFERROR(((K156-K157)/((J156-J157)^2+(K156-K157)^2)^0.5)*ActBodyLenFact,0)+K156</f>
        <v>-1.1000000000000001</v>
      </c>
      <c r="L155" s="557">
        <f t="shared" ref="L155" si="498">SIN(RADIANS(E156))</f>
        <v>0.54565061793227343</v>
      </c>
      <c r="M155" s="558">
        <f t="shared" ref="M155" si="499">L155*SIN(RADIANS(ABS(E156)))</f>
        <v>0.29773459684987186</v>
      </c>
      <c r="N155" s="559">
        <f>IFERROR(DEGREES(ACOS(ABS(1+(H156-H157)^2+(I156-I157)^2-RedActX^2-RedActY^2)/ABS(2*((H156-H157)^2+(I156-I157)^2)^0.5)-0.00000000001)),90)</f>
        <v>69.81177014012043</v>
      </c>
      <c r="O155" s="556">
        <f>ABS(SIN(RADIANS(N155))*IF(WindFactor=1,SIN(RADIANS(E156)),1))</f>
        <v>0.51212799206800264</v>
      </c>
      <c r="P155" s="560"/>
      <c r="Q155" s="561">
        <f t="shared" ref="Q155" si="500">+O155+P156</f>
        <v>0.71077390986375877</v>
      </c>
      <c r="R155" s="562">
        <f t="shared" ref="R155" si="501">-F157*Q155/2</f>
        <v>0.19391711156364891</v>
      </c>
      <c r="S155" s="563">
        <f t="shared" ref="S155" si="502">-G157*Q155/2</f>
        <v>0.29781880662336457</v>
      </c>
      <c r="T155" s="564">
        <f t="shared" ref="T155" si="503">((H156-H157)^2+(I156-I157)^2)^0.5</f>
        <v>1.1752245091494888</v>
      </c>
      <c r="U155" s="565">
        <f t="shared" ref="U155" si="504">((J156-J157)^2+(K156-K157)^2)^0.5</f>
        <v>0.26756525160827876</v>
      </c>
      <c r="V155" s="616">
        <f>-F157*1</f>
        <v>0.54565061793227321</v>
      </c>
      <c r="W155" s="617">
        <f>-G157*1</f>
        <v>0.8380127702786685</v>
      </c>
      <c r="X155" s="617">
        <f>-F157*0.75</f>
        <v>0.40923796344920493</v>
      </c>
      <c r="Y155" s="617">
        <f>-G157*0.75</f>
        <v>0.6285095777090014</v>
      </c>
      <c r="Z155" s="617">
        <f>-F157*0.5</f>
        <v>0.2728253089661366</v>
      </c>
      <c r="AA155" s="617">
        <f>-G157*0.5</f>
        <v>0.41900638513933425</v>
      </c>
      <c r="AB155" s="617">
        <f>-F157*0.25</f>
        <v>0.1364126544830683</v>
      </c>
      <c r="AC155" s="618">
        <f>-G157*0.25</f>
        <v>0.20950319256966712</v>
      </c>
      <c r="AD155" s="592"/>
      <c r="AE155" s="593"/>
    </row>
    <row r="156" spans="5:31">
      <c r="E156" s="568">
        <f>StartAng+DualIncAng*E155</f>
        <v>33.069135803323164</v>
      </c>
      <c r="F156" s="569">
        <v>0</v>
      </c>
      <c r="G156" s="569">
        <v>0</v>
      </c>
      <c r="H156" s="570">
        <f>RedActX</f>
        <v>0.6</v>
      </c>
      <c r="I156" s="570">
        <f>RedActY</f>
        <v>-1.1000000000000001</v>
      </c>
      <c r="J156" s="531">
        <f>IF(DualSingle=2,GrnActX,0)</f>
        <v>-0.6</v>
      </c>
      <c r="K156" s="531">
        <f>IF(DualSingle=2,GrnActY,0)</f>
        <v>-1.1000000000000001</v>
      </c>
      <c r="L156" s="571">
        <f t="shared" ref="L156" si="505">ABS(COS(RADIANS(ABS(E156))))</f>
        <v>0.83801277027866838</v>
      </c>
      <c r="M156" s="572">
        <f t="shared" ref="M156" si="506">L156*SIN(RADIANS(ABS(E156)))</f>
        <v>0.45726218593769169</v>
      </c>
      <c r="N156" s="573">
        <f>IF(DualSingle=2,DEGREES(ACOS(ABS(1+(J156-J157)^2+(K156-K157)^2-GrnActX^2-GrnActY^2)/ABS(2*((J156-J157)^2+(K156-K157)^2)^0.5)-0.00000000001)),0)</f>
        <v>21.349333873492899</v>
      </c>
      <c r="O156" s="574"/>
      <c r="P156" s="531">
        <f>ABS(SIN(RADIANS(N156))*IF(WindFactor=1,SIN(RADIANS(E156)),1))</f>
        <v>0.19864591779575613</v>
      </c>
      <c r="Q156" s="575"/>
      <c r="R156" s="576">
        <f t="shared" ref="R156:S156" si="507">R159</f>
        <v>0.25177823713493852</v>
      </c>
      <c r="S156" s="534">
        <f t="shared" si="507"/>
        <v>0.34877958871969639</v>
      </c>
      <c r="T156" s="577"/>
      <c r="U156" s="578"/>
      <c r="V156" s="619">
        <f t="shared" ref="V156:AC156" si="508">V159</f>
        <v>0.58531005676362069</v>
      </c>
      <c r="W156" s="620">
        <f t="shared" si="508"/>
        <v>0.81080955683277878</v>
      </c>
      <c r="X156" s="620">
        <f t="shared" si="508"/>
        <v>0.43898254257271552</v>
      </c>
      <c r="Y156" s="620">
        <f t="shared" si="508"/>
        <v>0.60810716762458406</v>
      </c>
      <c r="Z156" s="620">
        <f t="shared" si="508"/>
        <v>0.29265502838181034</v>
      </c>
      <c r="AA156" s="620">
        <f t="shared" si="508"/>
        <v>0.40540477841638939</v>
      </c>
      <c r="AB156" s="620">
        <f t="shared" si="508"/>
        <v>0.14632751419090517</v>
      </c>
      <c r="AC156" s="621">
        <f t="shared" si="508"/>
        <v>0.20270238920819469</v>
      </c>
      <c r="AD156" s="592"/>
      <c r="AE156" s="593"/>
    </row>
    <row r="157" spans="5:31">
      <c r="E157" s="568"/>
      <c r="F157" s="569">
        <f>SIN(RADIANS(E156-180))*DualRadius</f>
        <v>-0.54565061793227321</v>
      </c>
      <c r="G157" s="569">
        <f>COS(RADIANS(E156-180))*DualRadius</f>
        <v>-0.8380127702786685</v>
      </c>
      <c r="H157" s="570">
        <f t="shared" ref="H157" si="509">F157</f>
        <v>-0.54565061793227321</v>
      </c>
      <c r="I157" s="570">
        <f t="shared" ref="I157" si="510">G157</f>
        <v>-0.8380127702786685</v>
      </c>
      <c r="J157" s="531">
        <f>IF(DualSingle=2,F157,0)</f>
        <v>-0.54565061793227321</v>
      </c>
      <c r="K157" s="531">
        <f>IF(DualSingle=2,G157,0)</f>
        <v>-0.8380127702786685</v>
      </c>
      <c r="L157" s="574"/>
      <c r="M157" s="578"/>
      <c r="N157" s="577"/>
      <c r="O157" s="574"/>
      <c r="P157" s="574"/>
      <c r="Q157" s="575"/>
      <c r="R157" s="581"/>
      <c r="S157" s="512"/>
      <c r="T157" s="577"/>
      <c r="U157" s="578"/>
      <c r="V157" s="622"/>
      <c r="W157" s="623"/>
      <c r="X157" s="623"/>
      <c r="Y157" s="623"/>
      <c r="Z157" s="623"/>
      <c r="AA157" s="623"/>
      <c r="AB157" s="623"/>
      <c r="AC157" s="624"/>
      <c r="AD157" s="592"/>
      <c r="AE157" s="593"/>
    </row>
    <row r="158" spans="5:31" ht="14.4" thickBot="1">
      <c r="E158" s="582"/>
      <c r="F158" s="583"/>
      <c r="G158" s="583"/>
      <c r="H158" s="583"/>
      <c r="I158" s="583"/>
      <c r="J158" s="583"/>
      <c r="K158" s="583"/>
      <c r="L158" s="583"/>
      <c r="M158" s="584"/>
      <c r="N158" s="585"/>
      <c r="O158" s="586"/>
      <c r="P158" s="586"/>
      <c r="Q158" s="587"/>
      <c r="R158" s="588"/>
      <c r="S158" s="589"/>
      <c r="T158" s="585"/>
      <c r="U158" s="584"/>
      <c r="V158" s="625"/>
      <c r="W158" s="583"/>
      <c r="X158" s="583"/>
      <c r="Y158" s="583"/>
      <c r="Z158" s="583"/>
      <c r="AA158" s="583"/>
      <c r="AB158" s="583"/>
      <c r="AC158" s="626"/>
      <c r="AD158" s="592"/>
      <c r="AE158" s="593"/>
    </row>
    <row r="159" spans="5:31">
      <c r="E159" s="554">
        <f t="shared" ref="E159" si="511">E155+1</f>
        <v>38</v>
      </c>
      <c r="F159" s="555">
        <f>IF(WindFactor=1,M159,L159)*DualRadius</f>
        <v>0.34258786254863277</v>
      </c>
      <c r="G159" s="555">
        <f>IF(WindFactor=1,M160,L160)*DualRadius</f>
        <v>0.47457498773427986</v>
      </c>
      <c r="H159" s="570">
        <f ca="1">((H160-H161)/((H160-H161)^2+(I160-I161)^2)^0.5)*ActBodyLenFact+H160</f>
        <v>0.6</v>
      </c>
      <c r="I159" s="570">
        <f ca="1">((I160-I161)/((H160-H161)^2+(I160-I161)^2)^0.5)*ActBodyLenFact+I160</f>
        <v>-1.1000000000000001</v>
      </c>
      <c r="J159" s="531">
        <f ca="1">IFERROR(((J160-J161)/((J160-J161)^2+(K160-K161)^2)^0.5)*ActBodyLenFact,0)+J160</f>
        <v>-0.6</v>
      </c>
      <c r="K159" s="531">
        <f ca="1">IFERROR(((K160-K161)/((J160-J161)^2+(K160-K161)^2)^0.5)*ActBodyLenFact,0)+K160</f>
        <v>-1.1000000000000001</v>
      </c>
      <c r="L159" s="557">
        <f t="shared" ref="L159" si="512">SIN(RADIANS(E160))</f>
        <v>0.58531005676362058</v>
      </c>
      <c r="M159" s="558">
        <f t="shared" ref="M159" si="513">L159*SIN(RADIANS(ABS(E160)))</f>
        <v>0.34258786254863277</v>
      </c>
      <c r="N159" s="559">
        <f>IFERROR(DEGREES(ACOS(ABS(1+(H160-H161)^2+(I160-I161)^2-RedActX^2-RedActY^2)/ABS(2*((H160-H161)^2+(I160-I161)^2)^0.5)-0.00000000001)),90)</f>
        <v>67.886189569808778</v>
      </c>
      <c r="O159" s="556">
        <f>ABS(SIN(RADIANS(N159))*IF(WindFactor=1,SIN(RADIANS(E160)),1))</f>
        <v>0.54225343143193805</v>
      </c>
      <c r="P159" s="560"/>
      <c r="Q159" s="561">
        <f t="shared" ref="Q159" si="514">+O159+P160</f>
        <v>0.86032431606286219</v>
      </c>
      <c r="R159" s="562">
        <f t="shared" ref="R159" si="515">-F161*Q159/2</f>
        <v>0.25177823713493852</v>
      </c>
      <c r="S159" s="563">
        <f t="shared" ref="S159" si="516">-G161*Q159/2</f>
        <v>0.34877958871969639</v>
      </c>
      <c r="T159" s="564">
        <f t="shared" ref="T159" si="517">((H160-H161)^2+(I160-I161)^2)^0.5</f>
        <v>1.2200782938337325</v>
      </c>
      <c r="U159" s="565">
        <f t="shared" ref="U159" si="518">((J160-J161)^2+(K160-K161)^2)^0.5</f>
        <v>0.28956330370325228</v>
      </c>
      <c r="V159" s="616">
        <f>-F161*1</f>
        <v>0.58531005676362069</v>
      </c>
      <c r="W159" s="617">
        <f>-G161*1</f>
        <v>0.81080955683277878</v>
      </c>
      <c r="X159" s="617">
        <f>-F161*0.75</f>
        <v>0.43898254257271552</v>
      </c>
      <c r="Y159" s="617">
        <f>-G161*0.75</f>
        <v>0.60810716762458406</v>
      </c>
      <c r="Z159" s="617">
        <f>-F161*0.5</f>
        <v>0.29265502838181034</v>
      </c>
      <c r="AA159" s="617">
        <f>-G161*0.5</f>
        <v>0.40540477841638939</v>
      </c>
      <c r="AB159" s="617">
        <f>-F161*0.25</f>
        <v>0.14632751419090517</v>
      </c>
      <c r="AC159" s="618">
        <f>-G161*0.25</f>
        <v>0.20270238920819469</v>
      </c>
      <c r="AD159" s="592"/>
      <c r="AE159" s="593"/>
    </row>
    <row r="160" spans="5:31">
      <c r="E160" s="568">
        <f>StartAng+DualIncAng*E159</f>
        <v>35.824897120266755</v>
      </c>
      <c r="F160" s="569">
        <v>0</v>
      </c>
      <c r="G160" s="569">
        <v>0</v>
      </c>
      <c r="H160" s="570">
        <f>RedActX</f>
        <v>0.6</v>
      </c>
      <c r="I160" s="570">
        <f>RedActY</f>
        <v>-1.1000000000000001</v>
      </c>
      <c r="J160" s="531">
        <f>IF(DualSingle=2,GrnActX,0)</f>
        <v>-0.6</v>
      </c>
      <c r="K160" s="531">
        <f>IF(DualSingle=2,GrnActY,0)</f>
        <v>-1.1000000000000001</v>
      </c>
      <c r="L160" s="571">
        <f t="shared" ref="L160" si="519">ABS(COS(RADIANS(ABS(E160))))</f>
        <v>0.81080955683277889</v>
      </c>
      <c r="M160" s="572">
        <f t="shared" ref="M160" si="520">L160*SIN(RADIANS(ABS(E160)))</f>
        <v>0.47457498773427986</v>
      </c>
      <c r="N160" s="573">
        <f>IF(DualSingle=2,DEGREES(ACOS(ABS(1+(J160-J161)^2+(K160-K161)^2-GrnActX^2-GrnActY^2)/ABS(2*((J160-J161)^2+(K160-K161)^2)^0.5)-0.00000000001)),0)</f>
        <v>32.916955445372999</v>
      </c>
      <c r="O160" s="574"/>
      <c r="P160" s="531">
        <f>ABS(SIN(RADIANS(N160))*IF(WindFactor=1,SIN(RADIANS(E160)),1))</f>
        <v>0.3180708846309242</v>
      </c>
      <c r="Q160" s="575"/>
      <c r="R160" s="576">
        <f t="shared" ref="R160:S160" si="521">R163</f>
        <v>0.30981287251368356</v>
      </c>
      <c r="S160" s="534">
        <f t="shared" si="521"/>
        <v>0.38836469538847246</v>
      </c>
      <c r="T160" s="577"/>
      <c r="U160" s="578"/>
      <c r="V160" s="619">
        <f t="shared" ref="V160:AC160" si="522">V163</f>
        <v>0.62361574021158128</v>
      </c>
      <c r="W160" s="620">
        <f t="shared" si="522"/>
        <v>0.78173103338703498</v>
      </c>
      <c r="X160" s="620">
        <f t="shared" si="522"/>
        <v>0.46771180515868593</v>
      </c>
      <c r="Y160" s="620">
        <f t="shared" si="522"/>
        <v>0.58629827504027621</v>
      </c>
      <c r="Z160" s="620">
        <f t="shared" si="522"/>
        <v>0.31180787010579064</v>
      </c>
      <c r="AA160" s="620">
        <f t="shared" si="522"/>
        <v>0.39086551669351749</v>
      </c>
      <c r="AB160" s="620">
        <f t="shared" si="522"/>
        <v>0.15590393505289532</v>
      </c>
      <c r="AC160" s="621">
        <f t="shared" si="522"/>
        <v>0.19543275834675874</v>
      </c>
      <c r="AD160" s="592"/>
      <c r="AE160" s="593"/>
    </row>
    <row r="161" spans="5:31">
      <c r="E161" s="568"/>
      <c r="F161" s="569">
        <f>SIN(RADIANS(E160-180))*DualRadius</f>
        <v>-0.58531005676362069</v>
      </c>
      <c r="G161" s="569">
        <f>COS(RADIANS(E160-180))*DualRadius</f>
        <v>-0.81080955683277878</v>
      </c>
      <c r="H161" s="570">
        <f t="shared" ref="H161" si="523">F161</f>
        <v>-0.58531005676362069</v>
      </c>
      <c r="I161" s="570">
        <f t="shared" ref="I161" si="524">G161</f>
        <v>-0.81080955683277878</v>
      </c>
      <c r="J161" s="531">
        <f>IF(DualSingle=2,F161,0)</f>
        <v>-0.58531005676362069</v>
      </c>
      <c r="K161" s="531">
        <f>IF(DualSingle=2,G161,0)</f>
        <v>-0.81080955683277878</v>
      </c>
      <c r="L161" s="574"/>
      <c r="M161" s="578"/>
      <c r="N161" s="577"/>
      <c r="O161" s="574"/>
      <c r="P161" s="574"/>
      <c r="Q161" s="575"/>
      <c r="R161" s="581"/>
      <c r="S161" s="512"/>
      <c r="T161" s="577"/>
      <c r="U161" s="578"/>
      <c r="V161" s="622"/>
      <c r="W161" s="623"/>
      <c r="X161" s="623"/>
      <c r="Y161" s="623"/>
      <c r="Z161" s="623"/>
      <c r="AA161" s="623"/>
      <c r="AB161" s="623"/>
      <c r="AC161" s="624"/>
      <c r="AD161" s="592"/>
      <c r="AE161" s="593"/>
    </row>
    <row r="162" spans="5:31" ht="14.4" thickBot="1">
      <c r="E162" s="582"/>
      <c r="F162" s="583"/>
      <c r="G162" s="583"/>
      <c r="H162" s="583"/>
      <c r="I162" s="583"/>
      <c r="J162" s="583"/>
      <c r="K162" s="583"/>
      <c r="L162" s="583"/>
      <c r="M162" s="584"/>
      <c r="N162" s="585"/>
      <c r="O162" s="586"/>
      <c r="P162" s="586"/>
      <c r="Q162" s="587"/>
      <c r="R162" s="588"/>
      <c r="S162" s="589"/>
      <c r="T162" s="585"/>
      <c r="U162" s="584"/>
      <c r="V162" s="625"/>
      <c r="W162" s="583"/>
      <c r="X162" s="583"/>
      <c r="Y162" s="583"/>
      <c r="Z162" s="583"/>
      <c r="AA162" s="583"/>
      <c r="AB162" s="583"/>
      <c r="AC162" s="626"/>
      <c r="AD162" s="592"/>
      <c r="AE162" s="593"/>
    </row>
    <row r="163" spans="5:31">
      <c r="E163" s="554">
        <f t="shared" ref="E163" si="525">E159+1</f>
        <v>39</v>
      </c>
      <c r="F163" s="555">
        <f>IF(WindFactor=1,M163,L163)*DualRadius</f>
        <v>0.38889659143963817</v>
      </c>
      <c r="G163" s="555">
        <f>IF(WindFactor=1,M164,L164)*DualRadius</f>
        <v>0.48749977703202008</v>
      </c>
      <c r="H163" s="570">
        <f ca="1">((H164-H165)/((H164-H165)^2+(I164-I165)^2)^0.5)*ActBodyLenFact+H164</f>
        <v>0.6</v>
      </c>
      <c r="I163" s="570">
        <f ca="1">((I164-I165)/((H164-H165)^2+(I164-I165)^2)^0.5)*ActBodyLenFact+I164</f>
        <v>-1.1000000000000001</v>
      </c>
      <c r="J163" s="531">
        <f ca="1">IFERROR(((J164-J165)/((J164-J165)^2+(K164-K165)^2)^0.5)*ActBodyLenFact,0)+J164</f>
        <v>-0.6</v>
      </c>
      <c r="K163" s="531">
        <f ca="1">IFERROR(((K164-K165)/((J164-J165)^2+(K164-K165)^2)^0.5)*ActBodyLenFact,0)+K164</f>
        <v>-1.1000000000000001</v>
      </c>
      <c r="L163" s="557">
        <f>SIN(RADIANS(E164))</f>
        <v>0.62361574021158106</v>
      </c>
      <c r="M163" s="558">
        <f t="shared" ref="M163" si="526">L163*SIN(RADIANS(ABS(E164)))</f>
        <v>0.38889659143963817</v>
      </c>
      <c r="N163" s="559">
        <f>IFERROR(DEGREES(ACOS(ABS(1+(H164-H165)^2+(I164-I165)^2-RedActX^2-RedActY^2)/ABS(2*((H164-H165)^2+(I164-I165)^2)^0.5)-0.00000000001)),90)</f>
        <v>65.999210042035187</v>
      </c>
      <c r="O163" s="556">
        <f>ABS(SIN(RADIANS(N163))*IF(WindFactor=1,SIN(RADIANS(E164)),1))</f>
        <v>0.56969782960104276</v>
      </c>
      <c r="P163" s="560"/>
      <c r="Q163" s="561">
        <f>+O163+P164</f>
        <v>0.99360183695353732</v>
      </c>
      <c r="R163" s="562">
        <f t="shared" ref="R163" si="527">-F165*Q163/2</f>
        <v>0.30981287251368356</v>
      </c>
      <c r="S163" s="563">
        <f t="shared" ref="S163" si="528">-G165*Q163/2</f>
        <v>0.38836469538847246</v>
      </c>
      <c r="T163" s="564">
        <f t="shared" ref="T163" si="529">((H164-H165)^2+(I164-I165)^2)^0.5</f>
        <v>1.2643301051554616</v>
      </c>
      <c r="U163" s="565">
        <f t="shared" ref="U163" si="530">((J164-J165)^2+(K164-K165)^2)^0.5</f>
        <v>0.31914391470718284</v>
      </c>
      <c r="V163" s="616">
        <f>-F165*1</f>
        <v>0.62361574021158128</v>
      </c>
      <c r="W163" s="617">
        <f>-G165*1</f>
        <v>0.78173103338703498</v>
      </c>
      <c r="X163" s="617">
        <f>-F165*0.75</f>
        <v>0.46771180515868593</v>
      </c>
      <c r="Y163" s="617">
        <f>-G165*0.75</f>
        <v>0.58629827504027621</v>
      </c>
      <c r="Z163" s="617">
        <f>-F165*0.5</f>
        <v>0.31180787010579064</v>
      </c>
      <c r="AA163" s="617">
        <f>-G165*0.5</f>
        <v>0.39086551669351749</v>
      </c>
      <c r="AB163" s="617">
        <f>-F165*0.25</f>
        <v>0.15590393505289532</v>
      </c>
      <c r="AC163" s="618">
        <f>-G165*0.25</f>
        <v>0.19543275834675874</v>
      </c>
      <c r="AD163" s="592"/>
      <c r="AE163" s="593"/>
    </row>
    <row r="164" spans="5:31">
      <c r="E164" s="568">
        <f>StartAng+DualIncAng*E163</f>
        <v>38.58065843721036</v>
      </c>
      <c r="F164" s="569">
        <v>0</v>
      </c>
      <c r="G164" s="569">
        <v>0</v>
      </c>
      <c r="H164" s="570">
        <f>RedActX</f>
        <v>0.6</v>
      </c>
      <c r="I164" s="570">
        <f>RedActY</f>
        <v>-1.1000000000000001</v>
      </c>
      <c r="J164" s="531">
        <f>IF(DualSingle=2,GrnActX,0)</f>
        <v>-0.6</v>
      </c>
      <c r="K164" s="531">
        <f>IF(DualSingle=2,GrnActY,0)</f>
        <v>-1.1000000000000001</v>
      </c>
      <c r="L164" s="571">
        <f t="shared" ref="L164" si="531">ABS(COS(RADIANS(ABS(E164))))</f>
        <v>0.78173103338703509</v>
      </c>
      <c r="M164" s="572">
        <f t="shared" ref="M164" si="532">L164*SIN(RADIANS(ABS(E164)))</f>
        <v>0.48749977703202008</v>
      </c>
      <c r="N164" s="573">
        <f>IF(DualSingle=2,DEGREES(ACOS(ABS(1+(J164-J165)^2+(K164-K165)^2-GrnActX^2-GrnActY^2)/ABS(2*((J164-J165)^2+(K164-K165)^2)^0.5)-0.00000000001)),0)</f>
        <v>42.824261565976983</v>
      </c>
      <c r="O164" s="574"/>
      <c r="P164" s="531">
        <f>ABS(SIN(RADIANS(N164))*IF(WindFactor=1,SIN(RADIANS(E164)),1))</f>
        <v>0.42390400735249462</v>
      </c>
      <c r="Q164" s="575"/>
      <c r="R164" s="576">
        <f t="shared" ref="R164:S164" si="533">R167</f>
        <v>0.36618437433431666</v>
      </c>
      <c r="S164" s="534">
        <f t="shared" si="533"/>
        <v>0.41628496479272853</v>
      </c>
      <c r="T164" s="577"/>
      <c r="U164" s="578"/>
      <c r="V164" s="619">
        <f t="shared" ref="V164:AC164" si="534">V167</f>
        <v>0.66047907160062713</v>
      </c>
      <c r="W164" s="620">
        <f t="shared" si="534"/>
        <v>0.75084445524860455</v>
      </c>
      <c r="X164" s="620">
        <f t="shared" si="534"/>
        <v>0.49535930370047032</v>
      </c>
      <c r="Y164" s="620">
        <f t="shared" si="534"/>
        <v>0.56313334143645344</v>
      </c>
      <c r="Z164" s="620">
        <f t="shared" si="534"/>
        <v>0.33023953580031357</v>
      </c>
      <c r="AA164" s="620">
        <f t="shared" si="534"/>
        <v>0.37542222762430227</v>
      </c>
      <c r="AB164" s="620">
        <f t="shared" si="534"/>
        <v>0.16511976790015678</v>
      </c>
      <c r="AC164" s="621">
        <f t="shared" si="534"/>
        <v>0.18771111381215114</v>
      </c>
      <c r="AD164" s="592"/>
      <c r="AE164" s="593"/>
    </row>
    <row r="165" spans="5:31">
      <c r="E165" s="568"/>
      <c r="F165" s="569">
        <f>SIN(RADIANS(E164-180))*DualRadius</f>
        <v>-0.62361574021158128</v>
      </c>
      <c r="G165" s="569">
        <f>COS(RADIANS(E164-180))*DualRadius</f>
        <v>-0.78173103338703498</v>
      </c>
      <c r="H165" s="570">
        <f t="shared" ref="H165" si="535">F165</f>
        <v>-0.62361574021158128</v>
      </c>
      <c r="I165" s="570">
        <f t="shared" ref="I165" si="536">G165</f>
        <v>-0.78173103338703498</v>
      </c>
      <c r="J165" s="531">
        <f>IF(DualSingle=2,F165,0)</f>
        <v>-0.62361574021158128</v>
      </c>
      <c r="K165" s="531">
        <f>IF(DualSingle=2,G165,0)</f>
        <v>-0.78173103338703498</v>
      </c>
      <c r="L165" s="574"/>
      <c r="M165" s="578"/>
      <c r="N165" s="577"/>
      <c r="O165" s="574"/>
      <c r="P165" s="574"/>
      <c r="Q165" s="575"/>
      <c r="R165" s="581"/>
      <c r="S165" s="512"/>
      <c r="T165" s="577"/>
      <c r="U165" s="578"/>
      <c r="V165" s="622"/>
      <c r="W165" s="623"/>
      <c r="X165" s="623"/>
      <c r="Y165" s="623"/>
      <c r="Z165" s="623"/>
      <c r="AA165" s="623"/>
      <c r="AB165" s="623"/>
      <c r="AC165" s="624"/>
      <c r="AD165" s="592"/>
      <c r="AE165" s="593"/>
    </row>
    <row r="166" spans="5:31" ht="14.4" thickBot="1">
      <c r="E166" s="582"/>
      <c r="F166" s="583"/>
      <c r="G166" s="583"/>
      <c r="H166" s="583"/>
      <c r="I166" s="583"/>
      <c r="J166" s="583"/>
      <c r="K166" s="583"/>
      <c r="L166" s="583"/>
      <c r="M166" s="584"/>
      <c r="N166" s="585"/>
      <c r="O166" s="586"/>
      <c r="P166" s="586"/>
      <c r="Q166" s="587"/>
      <c r="R166" s="588"/>
      <c r="S166" s="589"/>
      <c r="T166" s="585"/>
      <c r="U166" s="584"/>
      <c r="V166" s="625"/>
      <c r="W166" s="583"/>
      <c r="X166" s="583"/>
      <c r="Y166" s="583"/>
      <c r="Z166" s="583"/>
      <c r="AA166" s="583"/>
      <c r="AB166" s="583"/>
      <c r="AC166" s="626"/>
      <c r="AD166" s="592"/>
      <c r="AE166" s="593"/>
    </row>
    <row r="167" spans="5:31">
      <c r="E167" s="554">
        <f t="shared" ref="E167" si="537">E163+1</f>
        <v>40</v>
      </c>
      <c r="F167" s="555">
        <f>IF(WindFactor=1,M167,L167)*DualRadius</f>
        <v>0.4362326040224262</v>
      </c>
      <c r="G167" s="555">
        <f>IF(WindFactor=1,M168,L168)*DualRadius</f>
        <v>0.49591704871907688</v>
      </c>
      <c r="H167" s="570">
        <f ca="1">((H168-H169)/((H168-H169)^2+(I168-I169)^2)^0.5)*ActBodyLenFact+H168</f>
        <v>0.6</v>
      </c>
      <c r="I167" s="570">
        <f ca="1">((I168-I169)/((H168-H169)^2+(I168-I169)^2)^0.5)*ActBodyLenFact+I168</f>
        <v>-1.1000000000000001</v>
      </c>
      <c r="J167" s="531">
        <f ca="1">IFERROR(((J168-J169)/((J168-J169)^2+(K168-K169)^2)^0.5)*ActBodyLenFact,0)+J168</f>
        <v>-0.6</v>
      </c>
      <c r="K167" s="531">
        <f ca="1">IFERROR(((K168-K169)/((J168-J169)^2+(K168-K169)^2)^0.5)*ActBodyLenFact,0)+K168</f>
        <v>-1.1000000000000001</v>
      </c>
      <c r="L167" s="557">
        <f>SIN(RADIANS(E168))</f>
        <v>0.66047907160062702</v>
      </c>
      <c r="M167" s="558">
        <f t="shared" ref="M167" si="538">L167*SIN(RADIANS(ABS(E168)))</f>
        <v>0.4362326040224262</v>
      </c>
      <c r="N167" s="559">
        <f>IFERROR(DEGREES(ACOS(ABS(1+(H168-H169)^2+(I168-I169)^2-RedActX^2-RedActY^2)/ABS(2*((H168-H169)^2+(I168-I169)^2)^0.5)-0.00000000001)),90)</f>
        <v>64.146431761557466</v>
      </c>
      <c r="O167" s="556">
        <f>ABS(SIN(RADIANS(N167))*IF(WindFactor=1,SIN(RADIANS(E168)),1))</f>
        <v>0.59437268699486545</v>
      </c>
      <c r="P167" s="560"/>
      <c r="Q167" s="561">
        <f>+O167+P168</f>
        <v>1.1088447464259334</v>
      </c>
      <c r="R167" s="562">
        <f t="shared" ref="R167" si="539">-F169*Q167/2</f>
        <v>0.36618437433431666</v>
      </c>
      <c r="S167" s="563">
        <f t="shared" ref="S167" si="540">-G169*Q167/2</f>
        <v>0.41628496479272853</v>
      </c>
      <c r="T167" s="564">
        <f t="shared" ref="T167" si="541">((H168-H169)^2+(I168-I169)^2)^0.5</f>
        <v>1.3079438383867339</v>
      </c>
      <c r="U167" s="565">
        <f t="shared" ref="U167" si="542">((J168-J169)^2+(K168-K169)^2)^0.5</f>
        <v>0.35435478341955196</v>
      </c>
      <c r="V167" s="616">
        <f>-F169*1</f>
        <v>0.66047907160062713</v>
      </c>
      <c r="W167" s="617">
        <f>-G169*1</f>
        <v>0.75084445524860455</v>
      </c>
      <c r="X167" s="617">
        <f>-F169*0.75</f>
        <v>0.49535930370047032</v>
      </c>
      <c r="Y167" s="617">
        <f>-G169*0.75</f>
        <v>0.56313334143645344</v>
      </c>
      <c r="Z167" s="617">
        <f>-F169*0.5</f>
        <v>0.33023953580031357</v>
      </c>
      <c r="AA167" s="617">
        <f>-G169*0.5</f>
        <v>0.37542222762430227</v>
      </c>
      <c r="AB167" s="617">
        <f>-F169*0.25</f>
        <v>0.16511976790015678</v>
      </c>
      <c r="AC167" s="618">
        <f>-G169*0.25</f>
        <v>0.18771111381215114</v>
      </c>
      <c r="AD167" s="592"/>
      <c r="AE167" s="593"/>
    </row>
    <row r="168" spans="5:31">
      <c r="E168" s="568">
        <f>StartAng+DualIncAng*E167</f>
        <v>41.336419754153951</v>
      </c>
      <c r="F168" s="569">
        <v>0</v>
      </c>
      <c r="G168" s="569">
        <v>0</v>
      </c>
      <c r="H168" s="570">
        <f>RedActX</f>
        <v>0.6</v>
      </c>
      <c r="I168" s="570">
        <f>RedActY</f>
        <v>-1.1000000000000001</v>
      </c>
      <c r="J168" s="531">
        <f>IF(DualSingle=2,GrnActX,0)</f>
        <v>-0.6</v>
      </c>
      <c r="K168" s="531">
        <f>IF(DualSingle=2,GrnActY,0)</f>
        <v>-1.1000000000000001</v>
      </c>
      <c r="L168" s="571">
        <f t="shared" ref="L168" si="543">ABS(COS(RADIANS(ABS(E168))))</f>
        <v>0.75084445524860455</v>
      </c>
      <c r="M168" s="572">
        <f t="shared" ref="M168" si="544">L168*SIN(RADIANS(ABS(E168)))</f>
        <v>0.49591704871907688</v>
      </c>
      <c r="N168" s="573">
        <f>IF(DualSingle=2,DEGREES(ACOS(ABS(1+(J168-J169)^2+(K168-K169)^2-GrnActX^2-GrnActY^2)/ABS(2*((J168-J169)^2+(K168-K169)^2)^0.5)-0.00000000001)),0)</f>
        <v>51.163416309840784</v>
      </c>
      <c r="O168" s="574"/>
      <c r="P168" s="531">
        <f>ABS(SIN(RADIANS(N168))*IF(WindFactor=1,SIN(RADIANS(E168)),1))</f>
        <v>0.51447205943106811</v>
      </c>
      <c r="Q168" s="575"/>
      <c r="R168" s="576">
        <f t="shared" ref="R168:S168" si="545">R171</f>
        <v>0.42008084211123042</v>
      </c>
      <c r="S168" s="534">
        <f t="shared" si="545"/>
        <v>0.43360818965151859</v>
      </c>
      <c r="T168" s="577"/>
      <c r="U168" s="578"/>
      <c r="V168" s="619">
        <f t="shared" ref="V168:AC168" si="546">V171</f>
        <v>0.69581479025098592</v>
      </c>
      <c r="W168" s="620">
        <f t="shared" si="546"/>
        <v>0.71822125954887772</v>
      </c>
      <c r="X168" s="620">
        <f t="shared" si="546"/>
        <v>0.52186109268823944</v>
      </c>
      <c r="Y168" s="620">
        <f t="shared" si="546"/>
        <v>0.53866594466165829</v>
      </c>
      <c r="Z168" s="620">
        <f t="shared" si="546"/>
        <v>0.34790739512549296</v>
      </c>
      <c r="AA168" s="620">
        <f t="shared" si="546"/>
        <v>0.35911062977443886</v>
      </c>
      <c r="AB168" s="620">
        <f t="shared" si="546"/>
        <v>0.17395369756274648</v>
      </c>
      <c r="AC168" s="621">
        <f t="shared" si="546"/>
        <v>0.17955531488721943</v>
      </c>
      <c r="AD168" s="592"/>
      <c r="AE168" s="593"/>
    </row>
    <row r="169" spans="5:31">
      <c r="E169" s="568"/>
      <c r="F169" s="569">
        <f>SIN(RADIANS(E168-180))*DualRadius</f>
        <v>-0.66047907160062713</v>
      </c>
      <c r="G169" s="569">
        <f>COS(RADIANS(E168-180))*DualRadius</f>
        <v>-0.75084445524860455</v>
      </c>
      <c r="H169" s="570">
        <f t="shared" ref="H169" si="547">F169</f>
        <v>-0.66047907160062713</v>
      </c>
      <c r="I169" s="570">
        <f t="shared" ref="I169" si="548">G169</f>
        <v>-0.75084445524860455</v>
      </c>
      <c r="J169" s="531">
        <f>IF(DualSingle=2,F169,0)</f>
        <v>-0.66047907160062713</v>
      </c>
      <c r="K169" s="531">
        <f>IF(DualSingle=2,G169,0)</f>
        <v>-0.75084445524860455</v>
      </c>
      <c r="L169" s="574"/>
      <c r="M169" s="578"/>
      <c r="N169" s="577"/>
      <c r="O169" s="574"/>
      <c r="P169" s="574"/>
      <c r="Q169" s="575"/>
      <c r="R169" s="581"/>
      <c r="S169" s="512"/>
      <c r="T169" s="577"/>
      <c r="U169" s="578"/>
      <c r="V169" s="622"/>
      <c r="W169" s="623"/>
      <c r="X169" s="623"/>
      <c r="Y169" s="623"/>
      <c r="Z169" s="623"/>
      <c r="AA169" s="623"/>
      <c r="AB169" s="623"/>
      <c r="AC169" s="624"/>
      <c r="AD169" s="592"/>
      <c r="AE169" s="593"/>
    </row>
    <row r="170" spans="5:31" ht="14.4" thickBot="1">
      <c r="E170" s="582"/>
      <c r="F170" s="583"/>
      <c r="G170" s="583"/>
      <c r="H170" s="583"/>
      <c r="I170" s="583"/>
      <c r="J170" s="583"/>
      <c r="K170" s="583"/>
      <c r="L170" s="583"/>
      <c r="M170" s="584"/>
      <c r="N170" s="585"/>
      <c r="O170" s="586"/>
      <c r="P170" s="586"/>
      <c r="Q170" s="587"/>
      <c r="R170" s="588"/>
      <c r="S170" s="589"/>
      <c r="T170" s="585"/>
      <c r="U170" s="584"/>
      <c r="V170" s="625"/>
      <c r="W170" s="583"/>
      <c r="X170" s="583"/>
      <c r="Y170" s="583"/>
      <c r="Z170" s="583"/>
      <c r="AA170" s="583"/>
      <c r="AB170" s="583"/>
      <c r="AC170" s="626"/>
      <c r="AD170" s="592"/>
      <c r="AE170" s="593"/>
    </row>
    <row r="171" spans="5:31">
      <c r="E171" s="554">
        <f t="shared" ref="E171" si="549">E167+1</f>
        <v>41</v>
      </c>
      <c r="F171" s="555">
        <f>IF(WindFactor=1,M171,L171)*DualRadius</f>
        <v>0.48415822233202355</v>
      </c>
      <c r="G171" s="555">
        <f>IF(WindFactor=1,M172,L172)*DualRadius</f>
        <v>0.49974897506680127</v>
      </c>
      <c r="H171" s="570">
        <f ca="1">((H172-H173)/((H172-H173)^2+(I172-I173)^2)^0.5)*ActBodyLenFact+H172</f>
        <v>0.6</v>
      </c>
      <c r="I171" s="570">
        <f ca="1">((I172-I173)/((H172-H173)^2+(I172-I173)^2)^0.5)*ActBodyLenFact+I172</f>
        <v>-1.1000000000000001</v>
      </c>
      <c r="J171" s="531">
        <f ca="1">IFERROR(((J172-J173)/((J172-J173)^2+(K172-K173)^2)^0.5)*ActBodyLenFact,0)+J172</f>
        <v>-0.6</v>
      </c>
      <c r="K171" s="531">
        <f ca="1">IFERROR(((K172-K173)/((J172-J173)^2+(K172-K173)^2)^0.5)*ActBodyLenFact,0)+K172</f>
        <v>-1.1000000000000001</v>
      </c>
      <c r="L171" s="557">
        <f>SIN(RADIANS(E172))</f>
        <v>0.69581479025098592</v>
      </c>
      <c r="M171" s="558">
        <f t="shared" ref="M171" si="550">L171*SIN(RADIANS(ABS(E172)))</f>
        <v>0.48415822233202355</v>
      </c>
      <c r="N171" s="559">
        <f>IFERROR(DEGREES(ACOS(ABS(1+(H172-H173)^2+(I172-I173)^2-RedActX^2-RedActY^2)/ABS(2*((H172-H173)^2+(I172-I173)^2)^0.5)-0.00000000001)),90)</f>
        <v>62.324082185743194</v>
      </c>
      <c r="O171" s="556">
        <f>ABS(SIN(RADIANS(N171))*IF(WindFactor=1,SIN(RADIANS(E172)),1))</f>
        <v>0.61620587341677924</v>
      </c>
      <c r="P171" s="560"/>
      <c r="Q171" s="561">
        <f>+O171+P172</f>
        <v>1.2074501663286115</v>
      </c>
      <c r="R171" s="562">
        <f t="shared" ref="R171" si="551">-F173*Q171/2</f>
        <v>0.42008084211123042</v>
      </c>
      <c r="S171" s="563">
        <f t="shared" ref="S171" si="552">-G173*Q171/2</f>
        <v>0.43360818965151859</v>
      </c>
      <c r="T171" s="564">
        <f t="shared" ref="T171" si="553">((H172-H173)^2+(I172-I173)^2)^0.5</f>
        <v>1.3508852568940311</v>
      </c>
      <c r="U171" s="565">
        <f t="shared" ref="U171" si="554">((J172-J173)^2+(K172-K173)^2)^0.5</f>
        <v>0.39361844556789499</v>
      </c>
      <c r="V171" s="616">
        <f>-F173*1</f>
        <v>0.69581479025098592</v>
      </c>
      <c r="W171" s="617">
        <f>-G173*1</f>
        <v>0.71822125954887772</v>
      </c>
      <c r="X171" s="617">
        <f>-F173*0.75</f>
        <v>0.52186109268823944</v>
      </c>
      <c r="Y171" s="617">
        <f>-G173*0.75</f>
        <v>0.53866594466165829</v>
      </c>
      <c r="Z171" s="617">
        <f>-F173*0.5</f>
        <v>0.34790739512549296</v>
      </c>
      <c r="AA171" s="617">
        <f>-G173*0.5</f>
        <v>0.35911062977443886</v>
      </c>
      <c r="AB171" s="617">
        <f>-F173*0.25</f>
        <v>0.17395369756274648</v>
      </c>
      <c r="AC171" s="618">
        <f>-G173*0.25</f>
        <v>0.17955531488721943</v>
      </c>
      <c r="AD171" s="592"/>
      <c r="AE171" s="593"/>
    </row>
    <row r="172" spans="5:31">
      <c r="E172" s="568">
        <f>StartAng+DualIncAng*E171</f>
        <v>44.092181071097542</v>
      </c>
      <c r="F172" s="569">
        <v>0</v>
      </c>
      <c r="G172" s="569">
        <v>0</v>
      </c>
      <c r="H172" s="570">
        <f>RedActX</f>
        <v>0.6</v>
      </c>
      <c r="I172" s="570">
        <f>RedActY</f>
        <v>-1.1000000000000001</v>
      </c>
      <c r="J172" s="531">
        <f>IF(DualSingle=2,GrnActX,0)</f>
        <v>-0.6</v>
      </c>
      <c r="K172" s="531">
        <f>IF(DualSingle=2,GrnActY,0)</f>
        <v>-1.1000000000000001</v>
      </c>
      <c r="L172" s="571">
        <f t="shared" ref="L172" si="555">ABS(COS(RADIANS(ABS(E172))))</f>
        <v>0.71822125954887772</v>
      </c>
      <c r="M172" s="572">
        <f t="shared" ref="M172" si="556">L172*SIN(RADIANS(ABS(E172)))</f>
        <v>0.49974897506680127</v>
      </c>
      <c r="N172" s="573">
        <f>IF(DualSingle=2,DEGREES(ACOS(ABS(1+(J172-J173)^2+(K172-K173)^2-GrnActX^2-GrnActY^2)/ABS(2*((J172-J173)^2+(K172-K173)^2)^0.5)-0.00000000001)),0)</f>
        <v>58.180689171576049</v>
      </c>
      <c r="O172" s="574"/>
      <c r="P172" s="531">
        <f>ABS(SIN(RADIANS(N172))*IF(WindFactor=1,SIN(RADIANS(E172)),1))</f>
        <v>0.59124429291183234</v>
      </c>
      <c r="Q172" s="575"/>
      <c r="R172" s="576">
        <f t="shared" ref="R172:S172" si="557">R175</f>
        <v>0.47115185312551394</v>
      </c>
      <c r="S172" s="534">
        <f t="shared" si="557"/>
        <v>0.44169973087140413</v>
      </c>
      <c r="T172" s="577"/>
      <c r="U172" s="578"/>
      <c r="V172" s="619">
        <f t="shared" ref="V172:AC172" si="558">V175</f>
        <v>0.72954116867686447</v>
      </c>
      <c r="W172" s="620">
        <f t="shared" si="558"/>
        <v>0.68393690001753438</v>
      </c>
      <c r="X172" s="620">
        <f t="shared" si="558"/>
        <v>0.5471558765076483</v>
      </c>
      <c r="Y172" s="620">
        <f t="shared" si="558"/>
        <v>0.51295267501315078</v>
      </c>
      <c r="Z172" s="620">
        <f t="shared" si="558"/>
        <v>0.36477058433843224</v>
      </c>
      <c r="AA172" s="620">
        <f t="shared" si="558"/>
        <v>0.34196845000876719</v>
      </c>
      <c r="AB172" s="620">
        <f t="shared" si="558"/>
        <v>0.18238529216921612</v>
      </c>
      <c r="AC172" s="621">
        <f t="shared" si="558"/>
        <v>0.17098422500438359</v>
      </c>
      <c r="AD172" s="592"/>
      <c r="AE172" s="593"/>
    </row>
    <row r="173" spans="5:31">
      <c r="E173" s="568"/>
      <c r="F173" s="569">
        <f>SIN(RADIANS(E172-180))*DualRadius</f>
        <v>-0.69581479025098592</v>
      </c>
      <c r="G173" s="569">
        <f>COS(RADIANS(E172-180))*DualRadius</f>
        <v>-0.71822125954887772</v>
      </c>
      <c r="H173" s="570">
        <f t="shared" ref="H173" si="559">F173</f>
        <v>-0.69581479025098592</v>
      </c>
      <c r="I173" s="570">
        <f t="shared" ref="I173" si="560">G173</f>
        <v>-0.71822125954887772</v>
      </c>
      <c r="J173" s="531">
        <f>IF(DualSingle=2,F173,0)</f>
        <v>-0.69581479025098592</v>
      </c>
      <c r="K173" s="531">
        <f>IF(DualSingle=2,G173,0)</f>
        <v>-0.71822125954887772</v>
      </c>
      <c r="L173" s="574"/>
      <c r="M173" s="578"/>
      <c r="N173" s="577"/>
      <c r="O173" s="574"/>
      <c r="P173" s="574"/>
      <c r="Q173" s="575"/>
      <c r="R173" s="581"/>
      <c r="S173" s="512"/>
      <c r="T173" s="577"/>
      <c r="U173" s="578"/>
      <c r="V173" s="622"/>
      <c r="W173" s="623"/>
      <c r="X173" s="623"/>
      <c r="Y173" s="623"/>
      <c r="Z173" s="623"/>
      <c r="AA173" s="623"/>
      <c r="AB173" s="623"/>
      <c r="AC173" s="624"/>
      <c r="AD173" s="592"/>
      <c r="AE173" s="593"/>
    </row>
    <row r="174" spans="5:31" ht="14.4" thickBot="1">
      <c r="E174" s="582"/>
      <c r="F174" s="583"/>
      <c r="G174" s="583"/>
      <c r="H174" s="583"/>
      <c r="I174" s="583"/>
      <c r="J174" s="583"/>
      <c r="K174" s="583"/>
      <c r="L174" s="583"/>
      <c r="M174" s="584"/>
      <c r="N174" s="585"/>
      <c r="O174" s="586"/>
      <c r="P174" s="586"/>
      <c r="Q174" s="587"/>
      <c r="R174" s="588"/>
      <c r="S174" s="589"/>
      <c r="T174" s="585"/>
      <c r="U174" s="584"/>
      <c r="V174" s="625"/>
      <c r="W174" s="583"/>
      <c r="X174" s="583"/>
      <c r="Y174" s="583"/>
      <c r="Z174" s="583"/>
      <c r="AA174" s="583"/>
      <c r="AB174" s="583"/>
      <c r="AC174" s="626"/>
      <c r="AD174" s="592"/>
      <c r="AE174" s="593"/>
    </row>
    <row r="175" spans="5:31">
      <c r="E175" s="554">
        <f t="shared" ref="E175" si="561">E171+1</f>
        <v>42</v>
      </c>
      <c r="F175" s="555">
        <f>IF(WindFactor=1,M175,L175)*DualRadius</f>
        <v>0.53223031679440558</v>
      </c>
      <c r="G175" s="555">
        <f>IF(WindFactor=1,M176,L176)*DualRadius</f>
        <v>0.49896012534002376</v>
      </c>
      <c r="H175" s="570">
        <f ca="1">((H176-H177)/((H176-H177)^2+(I176-I177)^2)^0.5)*ActBodyLenFact+H176</f>
        <v>0.6</v>
      </c>
      <c r="I175" s="570">
        <f ca="1">((I176-I177)/((H176-H177)^2+(I176-I177)^2)^0.5)*ActBodyLenFact+I176</f>
        <v>-1.1000000000000001</v>
      </c>
      <c r="J175" s="531">
        <f ca="1">IFERROR(((J176-J177)/((J176-J177)^2+(K176-K177)^2)^0.5)*ActBodyLenFact,0)+J176</f>
        <v>-0.6</v>
      </c>
      <c r="K175" s="531">
        <f ca="1">IFERROR(((K176-K177)/((J176-J177)^2+(K176-K177)^2)^0.5)*ActBodyLenFact,0)+K176</f>
        <v>-1.1000000000000001</v>
      </c>
      <c r="L175" s="557">
        <f>SIN(RADIANS(E176))</f>
        <v>0.72954116867686469</v>
      </c>
      <c r="M175" s="558">
        <f t="shared" ref="M175" si="562">L175*SIN(RADIANS(ABS(E176)))</f>
        <v>0.53223031679440558</v>
      </c>
      <c r="N175" s="559">
        <f>IFERROR(DEGREES(ACOS(ABS(1+(H176-H177)^2+(I176-I177)^2-RedActX^2-RedActY^2)/ABS(2*((H176-H177)^2+(I176-I177)^2)^0.5)-0.00000000001)),90)</f>
        <v>60.528908717955943</v>
      </c>
      <c r="O175" s="556">
        <f>ABS(SIN(RADIANS(N175))*IF(WindFactor=1,SIN(RADIANS(E176)),1))</f>
        <v>0.63514148776773804</v>
      </c>
      <c r="P175" s="560"/>
      <c r="Q175" s="561">
        <f>+O175+P176</f>
        <v>1.2916388364484503</v>
      </c>
      <c r="R175" s="562">
        <f t="shared" ref="R175" si="563">-F177*Q175/2</f>
        <v>0.47115185312551394</v>
      </c>
      <c r="S175" s="563">
        <f t="shared" ref="S175" si="564">-G177*Q175/2</f>
        <v>0.44169973087140413</v>
      </c>
      <c r="T175" s="564">
        <f t="shared" ref="T175" si="565">((H176-H177)^2+(I176-I177)^2)^0.5</f>
        <v>1.3931217543250343</v>
      </c>
      <c r="U175" s="565">
        <f t="shared" ref="U175" si="566">((J176-J177)^2+(K176-K177)^2)^0.5</f>
        <v>0.43576302912154802</v>
      </c>
      <c r="V175" s="616">
        <f>-F177*1</f>
        <v>0.72954116867686447</v>
      </c>
      <c r="W175" s="617">
        <f>-G177*1</f>
        <v>0.68393690001753438</v>
      </c>
      <c r="X175" s="617">
        <f>-F177*0.75</f>
        <v>0.5471558765076483</v>
      </c>
      <c r="Y175" s="617">
        <f>-G177*0.75</f>
        <v>0.51295267501315078</v>
      </c>
      <c r="Z175" s="617">
        <f>-F177*0.5</f>
        <v>0.36477058433843224</v>
      </c>
      <c r="AA175" s="617">
        <f>-G177*0.5</f>
        <v>0.34196845000876719</v>
      </c>
      <c r="AB175" s="617">
        <f>-F177*0.25</f>
        <v>0.18238529216921612</v>
      </c>
      <c r="AC175" s="618">
        <f>-G177*0.25</f>
        <v>0.17098422500438359</v>
      </c>
      <c r="AD175" s="592"/>
      <c r="AE175" s="593"/>
    </row>
    <row r="176" spans="5:31">
      <c r="E176" s="568">
        <f>StartAng+DualIncAng*E175</f>
        <v>46.847942388041147</v>
      </c>
      <c r="F176" s="569">
        <v>0</v>
      </c>
      <c r="G176" s="569">
        <v>0</v>
      </c>
      <c r="H176" s="570">
        <f>RedActX</f>
        <v>0.6</v>
      </c>
      <c r="I176" s="570">
        <f>RedActY</f>
        <v>-1.1000000000000001</v>
      </c>
      <c r="J176" s="531">
        <f>IF(DualSingle=2,GrnActX,0)</f>
        <v>-0.6</v>
      </c>
      <c r="K176" s="531">
        <f>IF(DualSingle=2,GrnActY,0)</f>
        <v>-1.1000000000000001</v>
      </c>
      <c r="L176" s="571">
        <f t="shared" ref="L176" si="567">ABS(COS(RADIANS(ABS(E176))))</f>
        <v>0.68393690001753404</v>
      </c>
      <c r="M176" s="572">
        <f t="shared" ref="M176" si="568">L176*SIN(RADIANS(ABS(E176)))</f>
        <v>0.49896012534002376</v>
      </c>
      <c r="N176" s="573">
        <f>IF(DualSingle=2,DEGREES(ACOS(ABS(1+(J176-J177)^2+(K176-K177)^2-GrnActX^2-GrnActY^2)/ABS(2*((J176-J177)^2+(K176-K177)^2)^0.5)-0.00000000001)),0)</f>
        <v>64.141909623751545</v>
      </c>
      <c r="O176" s="574"/>
      <c r="P176" s="531">
        <f>ABS(SIN(RADIANS(N176))*IF(WindFactor=1,SIN(RADIANS(E176)),1))</f>
        <v>0.6564973486807123</v>
      </c>
      <c r="Q176" s="575"/>
      <c r="R176" s="576">
        <f t="shared" ref="R176:S176" si="569">R179</f>
        <v>0.51918796691453395</v>
      </c>
      <c r="S176" s="534">
        <f t="shared" si="569"/>
        <v>0.44180572727910067</v>
      </c>
      <c r="T176" s="577"/>
      <c r="U176" s="578"/>
      <c r="V176" s="619">
        <f t="shared" ref="V176:AC176" si="570">V179</f>
        <v>0.76158020161280005</v>
      </c>
      <c r="W176" s="620">
        <f t="shared" si="570"/>
        <v>0.64807067246667382</v>
      </c>
      <c r="X176" s="620">
        <f t="shared" si="570"/>
        <v>0.57118515120960001</v>
      </c>
      <c r="Y176" s="620">
        <f t="shared" si="570"/>
        <v>0.48605300435000537</v>
      </c>
      <c r="Z176" s="620">
        <f t="shared" si="570"/>
        <v>0.38079010080640002</v>
      </c>
      <c r="AA176" s="620">
        <f t="shared" si="570"/>
        <v>0.32403533623333691</v>
      </c>
      <c r="AB176" s="620">
        <f t="shared" si="570"/>
        <v>0.19039505040320001</v>
      </c>
      <c r="AC176" s="621">
        <f t="shared" si="570"/>
        <v>0.16201766811666846</v>
      </c>
      <c r="AD176" s="592"/>
      <c r="AE176" s="593"/>
    </row>
    <row r="177" spans="5:31">
      <c r="E177" s="568"/>
      <c r="F177" s="569">
        <f>SIN(RADIANS(E176-180))*DualRadius</f>
        <v>-0.72954116867686447</v>
      </c>
      <c r="G177" s="569">
        <f>COS(RADIANS(E176-180))*DualRadius</f>
        <v>-0.68393690001753438</v>
      </c>
      <c r="H177" s="570">
        <f t="shared" ref="H177" si="571">F177</f>
        <v>-0.72954116867686447</v>
      </c>
      <c r="I177" s="570">
        <f t="shared" ref="I177" si="572">G177</f>
        <v>-0.68393690001753438</v>
      </c>
      <c r="J177" s="531">
        <f>IF(DualSingle=2,F177,0)</f>
        <v>-0.72954116867686447</v>
      </c>
      <c r="K177" s="531">
        <f>IF(DualSingle=2,G177,0)</f>
        <v>-0.68393690001753438</v>
      </c>
      <c r="L177" s="574"/>
      <c r="M177" s="578"/>
      <c r="N177" s="577"/>
      <c r="O177" s="574"/>
      <c r="P177" s="574"/>
      <c r="Q177" s="575"/>
      <c r="R177" s="581"/>
      <c r="S177" s="512"/>
      <c r="T177" s="577"/>
      <c r="U177" s="578"/>
      <c r="V177" s="622"/>
      <c r="W177" s="623"/>
      <c r="X177" s="623"/>
      <c r="Y177" s="623"/>
      <c r="Z177" s="623"/>
      <c r="AA177" s="623"/>
      <c r="AB177" s="623"/>
      <c r="AC177" s="624"/>
      <c r="AD177" s="592"/>
      <c r="AE177" s="593"/>
    </row>
    <row r="178" spans="5:31" ht="14.4" thickBot="1">
      <c r="E178" s="582"/>
      <c r="F178" s="583"/>
      <c r="G178" s="583"/>
      <c r="H178" s="583"/>
      <c r="I178" s="583"/>
      <c r="J178" s="583"/>
      <c r="K178" s="583"/>
      <c r="L178" s="583"/>
      <c r="M178" s="584"/>
      <c r="N178" s="585"/>
      <c r="O178" s="586"/>
      <c r="P178" s="586"/>
      <c r="Q178" s="587"/>
      <c r="R178" s="588"/>
      <c r="S178" s="589"/>
      <c r="T178" s="585"/>
      <c r="U178" s="584"/>
      <c r="V178" s="625"/>
      <c r="W178" s="583"/>
      <c r="X178" s="583"/>
      <c r="Y178" s="583"/>
      <c r="Z178" s="583"/>
      <c r="AA178" s="583"/>
      <c r="AB178" s="583"/>
      <c r="AC178" s="626"/>
      <c r="AD178" s="592"/>
      <c r="AE178" s="593"/>
    </row>
    <row r="179" spans="5:31">
      <c r="E179" s="554">
        <f t="shared" ref="E179" si="573">E175+1</f>
        <v>43</v>
      </c>
      <c r="F179" s="555">
        <f>IF(WindFactor=1,M179,L179)*DualRadius</f>
        <v>0.58000440348859283</v>
      </c>
      <c r="G179" s="555">
        <f>IF(WindFactor=1,M180,L180)*DualRadius</f>
        <v>0.49355779339651246</v>
      </c>
      <c r="H179" s="570">
        <f ca="1">((H180-H181)/((H180-H181)^2+(I180-I181)^2)^0.5)*ActBodyLenFact+H180</f>
        <v>0.6</v>
      </c>
      <c r="I179" s="570">
        <f ca="1">((I180-I181)/((H180-H181)^2+(I180-I181)^2)^0.5)*ActBodyLenFact+I180</f>
        <v>-1.1000000000000001</v>
      </c>
      <c r="J179" s="531">
        <f ca="1">IFERROR(((J180-J181)/((J180-J181)^2+(K180-K181)^2)^0.5)*ActBodyLenFact,0)+J180</f>
        <v>-0.6</v>
      </c>
      <c r="K179" s="531">
        <f ca="1">IFERROR(((K180-K181)/((J180-J181)^2+(K180-K181)^2)^0.5)*ActBodyLenFact,0)+K180</f>
        <v>-1.1000000000000001</v>
      </c>
      <c r="L179" s="557">
        <f>SIN(RADIANS(E180))</f>
        <v>0.76158020161279982</v>
      </c>
      <c r="M179" s="558">
        <f t="shared" ref="M179" si="574">L179*SIN(RADIANS(ABS(E180)))</f>
        <v>0.58000440348859283</v>
      </c>
      <c r="N179" s="559">
        <f>IFERROR(DEGREES(ACOS(ABS(1+(H180-H181)^2+(I180-I181)^2-RedActX^2-RedActY^2)/ABS(2*((H180-H181)^2+(I180-I181)^2)^0.5)-0.00000000001)),90)</f>
        <v>58.758092447579969</v>
      </c>
      <c r="O179" s="556">
        <f>ABS(SIN(RADIANS(N179))*IF(WindFactor=1,SIN(RADIANS(E180)),1))</f>
        <v>0.6511397504269788</v>
      </c>
      <c r="P179" s="560"/>
      <c r="Q179" s="561">
        <f>+O179+P180</f>
        <v>1.3634492225902104</v>
      </c>
      <c r="R179" s="562">
        <f t="shared" ref="R179" si="575">-F181*Q179/2</f>
        <v>0.51918796691453395</v>
      </c>
      <c r="S179" s="563">
        <f t="shared" ref="S179" si="576">-G181*Q179/2</f>
        <v>0.44180572727910067</v>
      </c>
      <c r="T179" s="564">
        <f t="shared" ref="T179" si="577">((H180-H181)^2+(I180-I181)^2)^0.5</f>
        <v>1.4346221671606352</v>
      </c>
      <c r="U179" s="565">
        <f t="shared" ref="U179" si="578">((J180-J181)^2+(K180-K181)^2)^0.5</f>
        <v>0.47994612055725339</v>
      </c>
      <c r="V179" s="616">
        <f>-F181*1</f>
        <v>0.76158020161280005</v>
      </c>
      <c r="W179" s="617">
        <f>-G181*1</f>
        <v>0.64807067246667382</v>
      </c>
      <c r="X179" s="617">
        <f>-F181*0.75</f>
        <v>0.57118515120960001</v>
      </c>
      <c r="Y179" s="617">
        <f>-G181*0.75</f>
        <v>0.48605300435000537</v>
      </c>
      <c r="Z179" s="617">
        <f>-F181*0.5</f>
        <v>0.38079010080640002</v>
      </c>
      <c r="AA179" s="617">
        <f>-G181*0.5</f>
        <v>0.32403533623333691</v>
      </c>
      <c r="AB179" s="617">
        <f>-F181*0.25</f>
        <v>0.19039505040320001</v>
      </c>
      <c r="AC179" s="618">
        <f>-G181*0.25</f>
        <v>0.16201766811666846</v>
      </c>
      <c r="AD179" s="592"/>
      <c r="AE179" s="593"/>
    </row>
    <row r="180" spans="5:31">
      <c r="E180" s="568">
        <f>StartAng+DualIncAng*E179</f>
        <v>49.603703704984738</v>
      </c>
      <c r="F180" s="569">
        <v>0</v>
      </c>
      <c r="G180" s="569">
        <v>0</v>
      </c>
      <c r="H180" s="570">
        <f>RedActX</f>
        <v>0.6</v>
      </c>
      <c r="I180" s="570">
        <f>RedActY</f>
        <v>-1.1000000000000001</v>
      </c>
      <c r="J180" s="531">
        <f>IF(DualSingle=2,GrnActX,0)</f>
        <v>-0.6</v>
      </c>
      <c r="K180" s="531">
        <f>IF(DualSingle=2,GrnActY,0)</f>
        <v>-1.1000000000000001</v>
      </c>
      <c r="L180" s="571">
        <f t="shared" ref="L180" si="579">ABS(COS(RADIANS(ABS(E180))))</f>
        <v>0.64807067246667416</v>
      </c>
      <c r="M180" s="572">
        <f t="shared" ref="M180" si="580">L180*SIN(RADIANS(ABS(E180)))</f>
        <v>0.49355779339651246</v>
      </c>
      <c r="N180" s="573">
        <f>IF(DualSingle=2,DEGREES(ACOS(ABS(1+(J180-J181)^2+(K180-K181)^2-GrnActX^2-GrnActY^2)/ABS(2*((J180-J181)^2+(K180-K181)^2)^0.5)-0.00000000001)),0)</f>
        <v>69.277412374304674</v>
      </c>
      <c r="O180" s="574"/>
      <c r="P180" s="531">
        <f>ABS(SIN(RADIANS(N180))*IF(WindFactor=1,SIN(RADIANS(E180)),1))</f>
        <v>0.71230947216323148</v>
      </c>
      <c r="Q180" s="575"/>
      <c r="R180" s="576">
        <f t="shared" ref="R180:S180" si="581">R183</f>
        <v>0.56399190891747553</v>
      </c>
      <c r="S180" s="534">
        <f t="shared" si="581"/>
        <v>0.43496822830621662</v>
      </c>
      <c r="T180" s="577"/>
      <c r="U180" s="578"/>
      <c r="V180" s="619">
        <f t="shared" ref="V180:AC180" si="582">V183</f>
        <v>0.79185778643093729</v>
      </c>
      <c r="W180" s="620">
        <f t="shared" si="582"/>
        <v>0.61070553138865225</v>
      </c>
      <c r="X180" s="620">
        <f t="shared" si="582"/>
        <v>0.59389333982320291</v>
      </c>
      <c r="Y180" s="620">
        <f t="shared" si="582"/>
        <v>0.45802914854148918</v>
      </c>
      <c r="Z180" s="620">
        <f t="shared" si="582"/>
        <v>0.39592889321546865</v>
      </c>
      <c r="AA180" s="620">
        <f t="shared" si="582"/>
        <v>0.30535276569432612</v>
      </c>
      <c r="AB180" s="620">
        <f t="shared" si="582"/>
        <v>0.19796444660773432</v>
      </c>
      <c r="AC180" s="621">
        <f t="shared" si="582"/>
        <v>0.15267638284716306</v>
      </c>
      <c r="AD180" s="592"/>
      <c r="AE180" s="593"/>
    </row>
    <row r="181" spans="5:31">
      <c r="E181" s="568"/>
      <c r="F181" s="569">
        <f>SIN(RADIANS(E180-180))*DualRadius</f>
        <v>-0.76158020161280005</v>
      </c>
      <c r="G181" s="569">
        <f>COS(RADIANS(E180-180))*DualRadius</f>
        <v>-0.64807067246667382</v>
      </c>
      <c r="H181" s="570">
        <f t="shared" ref="H181" si="583">F181</f>
        <v>-0.76158020161280005</v>
      </c>
      <c r="I181" s="570">
        <f t="shared" ref="I181" si="584">G181</f>
        <v>-0.64807067246667382</v>
      </c>
      <c r="J181" s="531">
        <f>IF(DualSingle=2,F181,0)</f>
        <v>-0.76158020161280005</v>
      </c>
      <c r="K181" s="531">
        <f>IF(DualSingle=2,G181,0)</f>
        <v>-0.64807067246667382</v>
      </c>
      <c r="L181" s="574"/>
      <c r="M181" s="578"/>
      <c r="N181" s="577"/>
      <c r="O181" s="574"/>
      <c r="P181" s="574"/>
      <c r="Q181" s="575"/>
      <c r="R181" s="581"/>
      <c r="S181" s="512"/>
      <c r="T181" s="577"/>
      <c r="U181" s="578"/>
      <c r="V181" s="622"/>
      <c r="W181" s="623"/>
      <c r="X181" s="623"/>
      <c r="Y181" s="623"/>
      <c r="Z181" s="623"/>
      <c r="AA181" s="623"/>
      <c r="AB181" s="623"/>
      <c r="AC181" s="624"/>
      <c r="AD181" s="592"/>
      <c r="AE181" s="593"/>
    </row>
    <row r="182" spans="5:31" ht="14.4" thickBot="1">
      <c r="E182" s="582"/>
      <c r="F182" s="583"/>
      <c r="G182" s="583"/>
      <c r="H182" s="583"/>
      <c r="I182" s="583"/>
      <c r="J182" s="583"/>
      <c r="K182" s="583"/>
      <c r="L182" s="583"/>
      <c r="M182" s="584"/>
      <c r="N182" s="585"/>
      <c r="O182" s="586"/>
      <c r="P182" s="586"/>
      <c r="Q182" s="587"/>
      <c r="R182" s="588"/>
      <c r="S182" s="589"/>
      <c r="T182" s="585"/>
      <c r="U182" s="584"/>
      <c r="V182" s="625"/>
      <c r="W182" s="583"/>
      <c r="X182" s="583"/>
      <c r="Y182" s="583"/>
      <c r="Z182" s="583"/>
      <c r="AA182" s="583"/>
      <c r="AB182" s="583"/>
      <c r="AC182" s="626"/>
      <c r="AD182" s="592"/>
      <c r="AE182" s="593"/>
    </row>
    <row r="183" spans="5:31">
      <c r="E183" s="554">
        <f t="shared" ref="E183" si="585">E179+1</f>
        <v>44</v>
      </c>
      <c r="F183" s="555">
        <f>IF(WindFactor=1,M183,L183)*DualRadius</f>
        <v>0.62703875393130393</v>
      </c>
      <c r="G183" s="555">
        <f>IF(WindFactor=1,M184,L184)*DualRadius</f>
        <v>0.48359193024654745</v>
      </c>
      <c r="H183" s="570">
        <f ca="1">((H184-H185)/((H184-H185)^2+(I184-I185)^2)^0.5)*ActBodyLenFact+H184</f>
        <v>0.6</v>
      </c>
      <c r="I183" s="570">
        <f ca="1">((I184-I185)/((H184-H185)^2+(I184-I185)^2)^0.5)*ActBodyLenFact+I184</f>
        <v>-1.1000000000000001</v>
      </c>
      <c r="J183" s="531">
        <f ca="1">IFERROR(((J184-J185)/((J184-J185)^2+(K184-K185)^2)^0.5)*ActBodyLenFact,0)+J184</f>
        <v>-0.6</v>
      </c>
      <c r="K183" s="531">
        <f ca="1">IFERROR(((K184-K185)/((J184-J185)^2+(K184-K185)^2)^0.5)*ActBodyLenFact,0)+K184</f>
        <v>-1.1000000000000001</v>
      </c>
      <c r="L183" s="557">
        <f>SIN(RADIANS(E184))</f>
        <v>0.79185778643093729</v>
      </c>
      <c r="M183" s="558">
        <f t="shared" ref="M183" si="586">L183*SIN(RADIANS(ABS(E184)))</f>
        <v>0.62703875393130393</v>
      </c>
      <c r="N183" s="559">
        <f>IFERROR(DEGREES(ACOS(ABS(1+(H184-H185)^2+(I184-I185)^2-RedActX^2-RedActY^2)/ABS(2*((H184-H185)^2+(I184-I185)^2)^0.5)-0.00000000001)),90)</f>
        <v>57.009178322203233</v>
      </c>
      <c r="O183" s="556">
        <f>ABS(SIN(RADIANS(N183))*IF(WindFactor=1,SIN(RADIANS(E184)),1))</f>
        <v>0.66417689800267965</v>
      </c>
      <c r="P183" s="560"/>
      <c r="Q183" s="561">
        <f>+O183+P184</f>
        <v>1.4244777751305593</v>
      </c>
      <c r="R183" s="562">
        <f t="shared" ref="R183" si="587">-F185*Q183/2</f>
        <v>0.56399190891747553</v>
      </c>
      <c r="S183" s="563">
        <f t="shared" ref="S183" si="588">-G185*Q183/2</f>
        <v>0.43496822830621662</v>
      </c>
      <c r="T183" s="564">
        <f t="shared" ref="T183" si="589">((H184-H185)^2+(I184-I185)^2)^0.5</f>
        <v>1.4753566262643381</v>
      </c>
      <c r="U183" s="565">
        <f t="shared" ref="U183" si="590">((J184-J185)^2+(K184-K185)^2)^0.5</f>
        <v>0.52556492199141336</v>
      </c>
      <c r="V183" s="616">
        <f>-F185*1</f>
        <v>0.79185778643093729</v>
      </c>
      <c r="W183" s="617">
        <f>-G185*1</f>
        <v>0.61070553138865225</v>
      </c>
      <c r="X183" s="617">
        <f>-F185*0.75</f>
        <v>0.59389333982320291</v>
      </c>
      <c r="Y183" s="617">
        <f>-G185*0.75</f>
        <v>0.45802914854148918</v>
      </c>
      <c r="Z183" s="617">
        <f>-F185*0.5</f>
        <v>0.39592889321546865</v>
      </c>
      <c r="AA183" s="617">
        <f>-G185*0.5</f>
        <v>0.30535276569432612</v>
      </c>
      <c r="AB183" s="617">
        <f>-F185*0.25</f>
        <v>0.19796444660773432</v>
      </c>
      <c r="AC183" s="618">
        <f>-G185*0.25</f>
        <v>0.15267638284716306</v>
      </c>
      <c r="AD183" s="592"/>
      <c r="AE183" s="593"/>
    </row>
    <row r="184" spans="5:31">
      <c r="E184" s="568">
        <f>StartAng+DualIncAng*E183</f>
        <v>52.35946502192833</v>
      </c>
      <c r="F184" s="569">
        <v>0</v>
      </c>
      <c r="G184" s="569">
        <v>0</v>
      </c>
      <c r="H184" s="570">
        <f>RedActX</f>
        <v>0.6</v>
      </c>
      <c r="I184" s="570">
        <f>RedActY</f>
        <v>-1.1000000000000001</v>
      </c>
      <c r="J184" s="531">
        <f>IF(DualSingle=2,GrnActX,0)</f>
        <v>-0.6</v>
      </c>
      <c r="K184" s="531">
        <f>IF(DualSingle=2,GrnActY,0)</f>
        <v>-1.1000000000000001</v>
      </c>
      <c r="L184" s="571">
        <f t="shared" ref="L184" si="591">ABS(COS(RADIANS(ABS(E184))))</f>
        <v>0.61070553138865225</v>
      </c>
      <c r="M184" s="572">
        <f t="shared" ref="M184" si="592">L184*SIN(RADIANS(ABS(E184)))</f>
        <v>0.48359193024654745</v>
      </c>
      <c r="N184" s="573">
        <f>IF(DualSingle=2,DEGREES(ACOS(ABS(1+(J184-J185)^2+(K184-K185)^2-GrnActX^2-GrnActY^2)/ABS(2*((J184-J185)^2+(K184-K185)^2)^0.5)-0.00000000001)),0)</f>
        <v>73.770161338220447</v>
      </c>
      <c r="O184" s="574"/>
      <c r="P184" s="531">
        <f>ABS(SIN(RADIANS(N184))*IF(WindFactor=1,SIN(RADIANS(E184)),1))</f>
        <v>0.76030087712787975</v>
      </c>
      <c r="Q184" s="575"/>
      <c r="R184" s="576">
        <f t="shared" ref="R184:S184" si="593">R187</f>
        <v>0.60534454411746341</v>
      </c>
      <c r="S184" s="534">
        <f t="shared" si="593"/>
        <v>0.42205508842059047</v>
      </c>
      <c r="T184" s="577"/>
      <c r="U184" s="578"/>
      <c r="V184" s="619">
        <f t="shared" ref="V184:AC184" si="594">V187</f>
        <v>0.82030389453195673</v>
      </c>
      <c r="W184" s="620">
        <f t="shared" si="594"/>
        <v>0.5719278980918</v>
      </c>
      <c r="X184" s="620">
        <f t="shared" si="594"/>
        <v>0.6152279208989675</v>
      </c>
      <c r="Y184" s="620">
        <f t="shared" si="594"/>
        <v>0.42894592356884997</v>
      </c>
      <c r="Z184" s="620">
        <f t="shared" si="594"/>
        <v>0.41015194726597837</v>
      </c>
      <c r="AA184" s="620">
        <f t="shared" si="594"/>
        <v>0.2859639490459</v>
      </c>
      <c r="AB184" s="620">
        <f t="shared" si="594"/>
        <v>0.20507597363298918</v>
      </c>
      <c r="AC184" s="621">
        <f t="shared" si="594"/>
        <v>0.14298197452295</v>
      </c>
      <c r="AD184" s="592"/>
      <c r="AE184" s="593"/>
    </row>
    <row r="185" spans="5:31">
      <c r="E185" s="568"/>
      <c r="F185" s="569">
        <f>SIN(RADIANS(E184-180))*DualRadius</f>
        <v>-0.79185778643093729</v>
      </c>
      <c r="G185" s="569">
        <f>COS(RADIANS(E184-180))*DualRadius</f>
        <v>-0.61070553138865225</v>
      </c>
      <c r="H185" s="570">
        <f t="shared" ref="H185" si="595">F185</f>
        <v>-0.79185778643093729</v>
      </c>
      <c r="I185" s="570">
        <f t="shared" ref="I185" si="596">G185</f>
        <v>-0.61070553138865225</v>
      </c>
      <c r="J185" s="531">
        <f>IF(DualSingle=2,F185,0)</f>
        <v>-0.79185778643093729</v>
      </c>
      <c r="K185" s="531">
        <f>IF(DualSingle=2,G185,0)</f>
        <v>-0.61070553138865225</v>
      </c>
      <c r="L185" s="574"/>
      <c r="M185" s="578"/>
      <c r="N185" s="577"/>
      <c r="O185" s="574"/>
      <c r="P185" s="574"/>
      <c r="Q185" s="575"/>
      <c r="R185" s="581"/>
      <c r="S185" s="512"/>
      <c r="T185" s="577"/>
      <c r="U185" s="578"/>
      <c r="V185" s="622"/>
      <c r="W185" s="623"/>
      <c r="X185" s="623"/>
      <c r="Y185" s="623"/>
      <c r="Z185" s="623"/>
      <c r="AA185" s="623"/>
      <c r="AB185" s="623"/>
      <c r="AC185" s="624"/>
      <c r="AD185" s="592"/>
      <c r="AE185" s="593"/>
    </row>
    <row r="186" spans="5:31" ht="14.4" thickBot="1">
      <c r="E186" s="582"/>
      <c r="F186" s="583"/>
      <c r="G186" s="583"/>
      <c r="H186" s="583"/>
      <c r="I186" s="583"/>
      <c r="J186" s="583"/>
      <c r="K186" s="583"/>
      <c r="L186" s="583"/>
      <c r="M186" s="584"/>
      <c r="N186" s="585"/>
      <c r="O186" s="586"/>
      <c r="P186" s="586"/>
      <c r="Q186" s="587"/>
      <c r="R186" s="588"/>
      <c r="S186" s="589"/>
      <c r="T186" s="585"/>
      <c r="U186" s="584"/>
      <c r="V186" s="625"/>
      <c r="W186" s="583"/>
      <c r="X186" s="583"/>
      <c r="Y186" s="583"/>
      <c r="Z186" s="583"/>
      <c r="AA186" s="583"/>
      <c r="AB186" s="583"/>
      <c r="AC186" s="626"/>
      <c r="AD186" s="592"/>
      <c r="AE186" s="593"/>
    </row>
    <row r="187" spans="5:31">
      <c r="E187" s="554">
        <f t="shared" ref="E187" si="597">E183+1</f>
        <v>45</v>
      </c>
      <c r="F187" s="555">
        <f>IF(WindFactor=1,M187,L187)*DualRadius</f>
        <v>0.67289847938429559</v>
      </c>
      <c r="G187" s="555">
        <f>IF(WindFactor=1,M188,L188)*DualRadius</f>
        <v>0.46915468219617962</v>
      </c>
      <c r="H187" s="570">
        <f ca="1">((H188-H189)/((H188-H189)^2+(I188-I189)^2)^0.5)*ActBodyLenFact+H188</f>
        <v>0.6</v>
      </c>
      <c r="I187" s="570">
        <f ca="1">((I188-I189)/((H188-H189)^2+(I188-I189)^2)^0.5)*ActBodyLenFact+I188</f>
        <v>-1.1000000000000001</v>
      </c>
      <c r="J187" s="531">
        <f ca="1">IFERROR(((J188-J189)/((J188-J189)^2+(K188-K189)^2)^0.5)*ActBodyLenFact,0)+J188</f>
        <v>-0.6</v>
      </c>
      <c r="K187" s="531">
        <f ca="1">IFERROR(((K188-K189)/((J188-J189)^2+(K188-K189)^2)^0.5)*ActBodyLenFact,0)+K188</f>
        <v>-1.1000000000000001</v>
      </c>
      <c r="L187" s="557">
        <f>SIN(RADIANS(E188))</f>
        <v>0.82030389453195673</v>
      </c>
      <c r="M187" s="558">
        <f t="shared" ref="M187" si="598">L187*SIN(RADIANS(ABS(E188)))</f>
        <v>0.67289847938429559</v>
      </c>
      <c r="N187" s="559">
        <f>IFERROR(DEGREES(ACOS(ABS(1+(H188-H189)^2+(I188-I189)^2-RedActX^2-RedActY^2)/ABS(2*((H188-H189)^2+(I188-I189)^2)^0.5)-0.00000000001)),90)</f>
        <v>55.280018245971519</v>
      </c>
      <c r="O187" s="556">
        <f>ABS(SIN(RADIANS(N187))*IF(WindFactor=1,SIN(RADIANS(E188)),1))</f>
        <v>0.67424505888394992</v>
      </c>
      <c r="P187" s="560"/>
      <c r="Q187" s="561">
        <f>+O187+P188</f>
        <v>1.4759031333451285</v>
      </c>
      <c r="R187" s="562">
        <f t="shared" ref="R187" si="599">-F189*Q187/2</f>
        <v>0.60534454411746341</v>
      </c>
      <c r="S187" s="563">
        <f t="shared" ref="S187" si="600">-G189*Q187/2</f>
        <v>0.42205508842059047</v>
      </c>
      <c r="T187" s="564">
        <f t="shared" ref="T187" si="601">((H188-H189)^2+(I188-I189)^2)^0.5</f>
        <v>1.5152964388648142</v>
      </c>
      <c r="U187" s="565">
        <f t="shared" ref="U187" si="602">((J188-J189)^2+(K188-K189)^2)^0.5</f>
        <v>0.57218349395949197</v>
      </c>
      <c r="V187" s="616">
        <f>-F189*1</f>
        <v>0.82030389453195673</v>
      </c>
      <c r="W187" s="617">
        <f>-G189*1</f>
        <v>0.5719278980918</v>
      </c>
      <c r="X187" s="617">
        <f>-F189*0.75</f>
        <v>0.6152279208989675</v>
      </c>
      <c r="Y187" s="617">
        <f>-G189*0.75</f>
        <v>0.42894592356884997</v>
      </c>
      <c r="Z187" s="617">
        <f>-F189*0.5</f>
        <v>0.41015194726597837</v>
      </c>
      <c r="AA187" s="617">
        <f>-G189*0.5</f>
        <v>0.2859639490459</v>
      </c>
      <c r="AB187" s="617">
        <f>-F189*0.25</f>
        <v>0.20507597363298918</v>
      </c>
      <c r="AC187" s="618">
        <f>-G189*0.25</f>
        <v>0.14298197452295</v>
      </c>
      <c r="AD187" s="592"/>
      <c r="AE187" s="593"/>
    </row>
    <row r="188" spans="5:31">
      <c r="E188" s="568">
        <f>StartAng+DualIncAng*E187</f>
        <v>55.115226338871935</v>
      </c>
      <c r="F188" s="569">
        <v>0</v>
      </c>
      <c r="G188" s="569">
        <v>0</v>
      </c>
      <c r="H188" s="570">
        <f>RedActX</f>
        <v>0.6</v>
      </c>
      <c r="I188" s="570">
        <f>RedActY</f>
        <v>-1.1000000000000001</v>
      </c>
      <c r="J188" s="531">
        <f>IF(DualSingle=2,GrnActX,0)</f>
        <v>-0.6</v>
      </c>
      <c r="K188" s="531">
        <f>IF(DualSingle=2,GrnActY,0)</f>
        <v>-1.1000000000000001</v>
      </c>
      <c r="L188" s="571">
        <f t="shared" ref="L188" si="603">ABS(COS(RADIANS(ABS(E188))))</f>
        <v>0.5719278980918</v>
      </c>
      <c r="M188" s="572">
        <f t="shared" ref="M188" si="604">L188*SIN(RADIANS(ABS(E188)))</f>
        <v>0.46915468219617962</v>
      </c>
      <c r="N188" s="573">
        <f>IF(DualSingle=2,DEGREES(ACOS(ABS(1+(J188-J189)^2+(K188-K189)^2-GrnActX^2-GrnActY^2)/ABS(2*((J188-J189)^2+(K188-K189)^2)^0.5)-0.00000000001)),0)</f>
        <v>77.76040414902188</v>
      </c>
      <c r="O188" s="574"/>
      <c r="P188" s="531">
        <f>ABS(SIN(RADIANS(N188))*IF(WindFactor=1,SIN(RADIANS(E188)),1))</f>
        <v>0.80165807446117843</v>
      </c>
      <c r="Q188" s="575"/>
      <c r="R188" s="576">
        <f t="shared" ref="R188:S188" si="605">R191</f>
        <v>0.64300768400003472</v>
      </c>
      <c r="S188" s="534">
        <f t="shared" si="605"/>
        <v>0.40381182042142311</v>
      </c>
      <c r="T188" s="577"/>
      <c r="U188" s="578"/>
      <c r="V188" s="619">
        <f t="shared" ref="V188:AC188" si="606">V191</f>
        <v>0.84685273331323074</v>
      </c>
      <c r="W188" s="620">
        <f t="shared" si="606"/>
        <v>0.5318274608178013</v>
      </c>
      <c r="X188" s="620">
        <f t="shared" si="606"/>
        <v>0.63513954998492306</v>
      </c>
      <c r="Y188" s="620">
        <f t="shared" si="606"/>
        <v>0.39887059561335098</v>
      </c>
      <c r="Z188" s="620">
        <f t="shared" si="606"/>
        <v>0.42342636665661537</v>
      </c>
      <c r="AA188" s="620">
        <f t="shared" si="606"/>
        <v>0.26591373040890065</v>
      </c>
      <c r="AB188" s="620">
        <f t="shared" si="606"/>
        <v>0.21171318332830769</v>
      </c>
      <c r="AC188" s="621">
        <f t="shared" si="606"/>
        <v>0.13295686520445033</v>
      </c>
      <c r="AD188" s="592"/>
      <c r="AE188" s="593"/>
    </row>
    <row r="189" spans="5:31">
      <c r="E189" s="568"/>
      <c r="F189" s="569">
        <f>SIN(RADIANS(E188-180))*DualRadius</f>
        <v>-0.82030389453195673</v>
      </c>
      <c r="G189" s="569">
        <f>COS(RADIANS(E188-180))*DualRadius</f>
        <v>-0.5719278980918</v>
      </c>
      <c r="H189" s="570">
        <f t="shared" ref="H189" si="607">F189</f>
        <v>-0.82030389453195673</v>
      </c>
      <c r="I189" s="570">
        <f t="shared" ref="I189" si="608">G189</f>
        <v>-0.5719278980918</v>
      </c>
      <c r="J189" s="531">
        <f>IF(DualSingle=2,F189,0)</f>
        <v>-0.82030389453195673</v>
      </c>
      <c r="K189" s="531">
        <f>IF(DualSingle=2,G189,0)</f>
        <v>-0.5719278980918</v>
      </c>
      <c r="L189" s="574"/>
      <c r="M189" s="578"/>
      <c r="N189" s="577"/>
      <c r="O189" s="574"/>
      <c r="P189" s="574"/>
      <c r="Q189" s="575"/>
      <c r="R189" s="581"/>
      <c r="S189" s="512"/>
      <c r="T189" s="577"/>
      <c r="U189" s="578"/>
      <c r="V189" s="622"/>
      <c r="W189" s="623"/>
      <c r="X189" s="623"/>
      <c r="Y189" s="623"/>
      <c r="Z189" s="623"/>
      <c r="AA189" s="623"/>
      <c r="AB189" s="623"/>
      <c r="AC189" s="624"/>
      <c r="AD189" s="592"/>
      <c r="AE189" s="593"/>
    </row>
    <row r="190" spans="5:31" ht="14.4" thickBot="1">
      <c r="E190" s="582"/>
      <c r="F190" s="583"/>
      <c r="G190" s="583"/>
      <c r="H190" s="583"/>
      <c r="I190" s="583"/>
      <c r="J190" s="583"/>
      <c r="K190" s="583"/>
      <c r="L190" s="583"/>
      <c r="M190" s="584"/>
      <c r="N190" s="585"/>
      <c r="O190" s="586"/>
      <c r="P190" s="586"/>
      <c r="Q190" s="587"/>
      <c r="R190" s="588"/>
      <c r="S190" s="589"/>
      <c r="T190" s="585"/>
      <c r="U190" s="584"/>
      <c r="V190" s="625"/>
      <c r="W190" s="583"/>
      <c r="X190" s="583"/>
      <c r="Y190" s="583"/>
      <c r="Z190" s="583"/>
      <c r="AA190" s="583"/>
      <c r="AB190" s="583"/>
      <c r="AC190" s="626"/>
      <c r="AD190" s="592"/>
      <c r="AE190" s="593"/>
    </row>
    <row r="191" spans="5:31">
      <c r="E191" s="554">
        <f t="shared" ref="E191" si="609">E187+1</f>
        <v>46</v>
      </c>
      <c r="F191" s="555">
        <f>IF(WindFactor=1,M191,L191)*DualRadius</f>
        <v>0.71715955192009007</v>
      </c>
      <c r="G191" s="555">
        <f>IF(WindFactor=1,M192,L192)*DualRadius</f>
        <v>0.4503795388445902</v>
      </c>
      <c r="H191" s="570">
        <f ca="1">((H192-H193)/((H192-H193)^2+(I192-I193)^2)^0.5)*ActBodyLenFact+H192</f>
        <v>0.6</v>
      </c>
      <c r="I191" s="570">
        <f ca="1">((I192-I193)/((H192-H193)^2+(I192-I193)^2)^0.5)*ActBodyLenFact+I192</f>
        <v>-1.1000000000000001</v>
      </c>
      <c r="J191" s="531">
        <f ca="1">IFERROR(((J192-J193)/((J192-J193)^2+(K192-K193)^2)^0.5)*ActBodyLenFact,0)+J192</f>
        <v>-0.6</v>
      </c>
      <c r="K191" s="531">
        <f ca="1">IFERROR(((K192-K193)/((J192-J193)^2+(K192-K193)^2)^0.5)*ActBodyLenFact,0)+K192</f>
        <v>-1.1000000000000001</v>
      </c>
      <c r="L191" s="557">
        <f>SIN(RADIANS(E192))</f>
        <v>0.84685273331323085</v>
      </c>
      <c r="M191" s="558">
        <f t="shared" ref="M191" si="610">L191*SIN(RADIANS(ABS(E192)))</f>
        <v>0.71715955192009007</v>
      </c>
      <c r="N191" s="559">
        <f>IFERROR(DEGREES(ACOS(ABS(1+(H192-H193)^2+(I192-I193)^2-RedActX^2-RedActY^2)/ABS(2*((H192-H193)^2+(I192-I193)^2)^0.5)-0.00000000001)),90)</f>
        <v>53.568724419171097</v>
      </c>
      <c r="O191" s="556">
        <f>ABS(SIN(RADIANS(N191))*IF(WindFactor=1,SIN(RADIANS(E192)),1))</f>
        <v>0.68135209423130916</v>
      </c>
      <c r="P191" s="560"/>
      <c r="Q191" s="561">
        <f>+O191+P192</f>
        <v>1.5185820596795581</v>
      </c>
      <c r="R191" s="562">
        <f t="shared" ref="R191" si="611">-F193*Q191/2</f>
        <v>0.64300768400003472</v>
      </c>
      <c r="S191" s="563">
        <f t="shared" ref="S191" si="612">-G193*Q191/2</f>
        <v>0.40381182042142311</v>
      </c>
      <c r="T191" s="564">
        <f t="shared" ref="T191" si="613">((H192-H193)^2+(I192-I193)^2)^0.5</f>
        <v>1.5544139944611648</v>
      </c>
      <c r="U191" s="565">
        <f t="shared" ref="U191" si="614">((J192-J193)^2+(K192-K193)^2)^0.5</f>
        <v>0.61948067461782874</v>
      </c>
      <c r="V191" s="616">
        <f>-F193*1</f>
        <v>0.84685273331323074</v>
      </c>
      <c r="W191" s="617">
        <f>-G193*1</f>
        <v>0.5318274608178013</v>
      </c>
      <c r="X191" s="617">
        <f>-F193*0.75</f>
        <v>0.63513954998492306</v>
      </c>
      <c r="Y191" s="617">
        <f>-G193*0.75</f>
        <v>0.39887059561335098</v>
      </c>
      <c r="Z191" s="617">
        <f>-F193*0.5</f>
        <v>0.42342636665661537</v>
      </c>
      <c r="AA191" s="617">
        <f>-G193*0.5</f>
        <v>0.26591373040890065</v>
      </c>
      <c r="AB191" s="617">
        <f>-F193*0.25</f>
        <v>0.21171318332830769</v>
      </c>
      <c r="AC191" s="618">
        <f>-G193*0.25</f>
        <v>0.13295686520445033</v>
      </c>
      <c r="AD191" s="592"/>
      <c r="AE191" s="593"/>
    </row>
    <row r="192" spans="5:31">
      <c r="E192" s="568">
        <f>StartAng+DualIncAng*E191</f>
        <v>57.870987655815526</v>
      </c>
      <c r="F192" s="569">
        <v>0</v>
      </c>
      <c r="G192" s="569">
        <v>0</v>
      </c>
      <c r="H192" s="570">
        <f>RedActX</f>
        <v>0.6</v>
      </c>
      <c r="I192" s="570">
        <f>RedActY</f>
        <v>-1.1000000000000001</v>
      </c>
      <c r="J192" s="531">
        <f>IF(DualSingle=2,GrnActX,0)</f>
        <v>-0.6</v>
      </c>
      <c r="K192" s="531">
        <f>IF(DualSingle=2,GrnActY,0)</f>
        <v>-1.1000000000000001</v>
      </c>
      <c r="L192" s="571">
        <f t="shared" ref="L192" si="615">ABS(COS(RADIANS(ABS(E192))))</f>
        <v>0.5318274608178013</v>
      </c>
      <c r="M192" s="572">
        <f t="shared" ref="M192" si="616">L192*SIN(RADIANS(ABS(E192)))</f>
        <v>0.4503795388445902</v>
      </c>
      <c r="N192" s="573">
        <f>IF(DualSingle=2,DEGREES(ACOS(ABS(1+(J192-J193)^2+(K192-K193)^2-GrnActX^2-GrnActY^2)/ABS(2*((J192-J193)^2+(K192-K193)^2)^0.5)-0.00000000001)),0)</f>
        <v>81.354387083821194</v>
      </c>
      <c r="O192" s="574"/>
      <c r="P192" s="531">
        <f>ABS(SIN(RADIANS(N192))*IF(WindFactor=1,SIN(RADIANS(E192)),1))</f>
        <v>0.83722996544824879</v>
      </c>
      <c r="Q192" s="575"/>
      <c r="R192" s="576">
        <f t="shared" ref="R192:S192" si="617">R195</f>
        <v>0.67673786157642624</v>
      </c>
      <c r="S192" s="534">
        <f t="shared" si="617"/>
        <v>0.38090604604710188</v>
      </c>
      <c r="T192" s="577"/>
      <c r="U192" s="578"/>
      <c r="V192" s="619">
        <f t="shared" ref="V192:AC192" si="618">V195</f>
        <v>0.87144289833961053</v>
      </c>
      <c r="W192" s="620">
        <f t="shared" si="618"/>
        <v>0.49049696730301934</v>
      </c>
      <c r="X192" s="620">
        <f t="shared" si="618"/>
        <v>0.65358217375470784</v>
      </c>
      <c r="Y192" s="620">
        <f t="shared" si="618"/>
        <v>0.36787272547726452</v>
      </c>
      <c r="Z192" s="620">
        <f t="shared" si="618"/>
        <v>0.43572144916980526</v>
      </c>
      <c r="AA192" s="620">
        <f t="shared" si="618"/>
        <v>0.24524848365150967</v>
      </c>
      <c r="AB192" s="620">
        <f t="shared" si="618"/>
        <v>0.21786072458490263</v>
      </c>
      <c r="AC192" s="621">
        <f t="shared" si="618"/>
        <v>0.12262424182575483</v>
      </c>
      <c r="AD192" s="592"/>
      <c r="AE192" s="593"/>
    </row>
    <row r="193" spans="5:31">
      <c r="E193" s="568"/>
      <c r="F193" s="569">
        <f>SIN(RADIANS(E192-180))*DualRadius</f>
        <v>-0.84685273331323074</v>
      </c>
      <c r="G193" s="569">
        <f>COS(RADIANS(E192-180))*DualRadius</f>
        <v>-0.5318274608178013</v>
      </c>
      <c r="H193" s="570">
        <f t="shared" ref="H193" si="619">F193</f>
        <v>-0.84685273331323074</v>
      </c>
      <c r="I193" s="570">
        <f t="shared" ref="I193" si="620">G193</f>
        <v>-0.5318274608178013</v>
      </c>
      <c r="J193" s="531">
        <f>IF(DualSingle=2,F193,0)</f>
        <v>-0.84685273331323074</v>
      </c>
      <c r="K193" s="531">
        <f>IF(DualSingle=2,G193,0)</f>
        <v>-0.5318274608178013</v>
      </c>
      <c r="L193" s="574"/>
      <c r="M193" s="578"/>
      <c r="N193" s="577"/>
      <c r="O193" s="574"/>
      <c r="P193" s="574"/>
      <c r="Q193" s="575"/>
      <c r="R193" s="581"/>
      <c r="S193" s="512"/>
      <c r="T193" s="577"/>
      <c r="U193" s="578"/>
      <c r="V193" s="622"/>
      <c r="W193" s="623"/>
      <c r="X193" s="623"/>
      <c r="Y193" s="623"/>
      <c r="Z193" s="623"/>
      <c r="AA193" s="623"/>
      <c r="AB193" s="623"/>
      <c r="AC193" s="624"/>
      <c r="AD193" s="592"/>
      <c r="AE193" s="593"/>
    </row>
    <row r="194" spans="5:31" ht="14.4" thickBot="1">
      <c r="E194" s="582"/>
      <c r="F194" s="583"/>
      <c r="G194" s="583"/>
      <c r="H194" s="583"/>
      <c r="I194" s="583"/>
      <c r="J194" s="583"/>
      <c r="K194" s="583"/>
      <c r="L194" s="583"/>
      <c r="M194" s="584"/>
      <c r="N194" s="585"/>
      <c r="O194" s="586"/>
      <c r="P194" s="586"/>
      <c r="Q194" s="587"/>
      <c r="R194" s="588"/>
      <c r="S194" s="589"/>
      <c r="T194" s="585"/>
      <c r="U194" s="584"/>
      <c r="V194" s="625"/>
      <c r="W194" s="583"/>
      <c r="X194" s="583"/>
      <c r="Y194" s="583"/>
      <c r="Z194" s="583"/>
      <c r="AA194" s="583"/>
      <c r="AB194" s="583"/>
      <c r="AC194" s="626"/>
      <c r="AD194" s="592"/>
      <c r="AE194" s="593"/>
    </row>
    <row r="195" spans="5:31">
      <c r="E195" s="554">
        <f t="shared" ref="E195" si="621">E191+1</f>
        <v>47</v>
      </c>
      <c r="F195" s="555">
        <f>IF(WindFactor=1,M195,L195)*DualRadius</f>
        <v>0.75941272506654101</v>
      </c>
      <c r="G195" s="555">
        <f>IF(WindFactor=1,M196,L196)*DualRadius</f>
        <v>0.42744009881333228</v>
      </c>
      <c r="H195" s="570">
        <f ca="1">((H196-H197)/((H196-H197)^2+(I196-I197)^2)^0.5)*ActBodyLenFact+H196</f>
        <v>0.6</v>
      </c>
      <c r="I195" s="570">
        <f ca="1">((I196-I197)/((H196-H197)^2+(I196-I197)^2)^0.5)*ActBodyLenFact+I196</f>
        <v>-1.1000000000000001</v>
      </c>
      <c r="J195" s="531">
        <f ca="1">IFERROR(((J196-J197)/((J196-J197)^2+(K196-K197)^2)^0.5)*ActBodyLenFact,0)+J196</f>
        <v>-0.6</v>
      </c>
      <c r="K195" s="531">
        <f ca="1">IFERROR(((K196-K197)/((J196-J197)^2+(K196-K197)^2)^0.5)*ActBodyLenFact,0)+K196</f>
        <v>-1.1000000000000001</v>
      </c>
      <c r="L195" s="557">
        <f>SIN(RADIANS(E196))</f>
        <v>0.87144289833961064</v>
      </c>
      <c r="M195" s="558">
        <f t="shared" ref="M195" si="622">L195*SIN(RADIANS(ABS(E196)))</f>
        <v>0.75941272506654101</v>
      </c>
      <c r="N195" s="559">
        <f>IFERROR(DEGREES(ACOS(ABS(1+(H196-H197)^2+(I196-I197)^2-RedActX^2-RedActY^2)/ABS(2*((H196-H197)^2+(I196-I197)^2)^0.5)-0.00000000001)),90)</f>
        <v>51.873630847192473</v>
      </c>
      <c r="O195" s="556">
        <f>ABS(SIN(RADIANS(N195))*IF(WindFactor=1,SIN(RADIANS(E196)),1))</f>
        <v>0.68552139353353259</v>
      </c>
      <c r="P195" s="560"/>
      <c r="Q195" s="561">
        <f>+O195+P196</f>
        <v>1.5531433278435975</v>
      </c>
      <c r="R195" s="562">
        <f t="shared" ref="R195" si="623">-F197*Q195/2</f>
        <v>0.67673786157642624</v>
      </c>
      <c r="S195" s="563">
        <f t="shared" ref="S195" si="624">-G197*Q195/2</f>
        <v>0.38090604604710188</v>
      </c>
      <c r="T195" s="564">
        <f t="shared" ref="T195" si="625">((H196-H197)^2+(I196-I197)^2)^0.5</f>
        <v>1.5926826896594595</v>
      </c>
      <c r="U195" s="565">
        <f t="shared" ref="U195" si="626">((J196-J197)^2+(K196-K197)^2)^0.5</f>
        <v>0.6672145036836542</v>
      </c>
      <c r="V195" s="616">
        <f>-F197*1</f>
        <v>0.87144289833961053</v>
      </c>
      <c r="W195" s="617">
        <f>-G197*1</f>
        <v>0.49049696730301934</v>
      </c>
      <c r="X195" s="617">
        <f>-F197*0.75</f>
        <v>0.65358217375470784</v>
      </c>
      <c r="Y195" s="617">
        <f>-G197*0.75</f>
        <v>0.36787272547726452</v>
      </c>
      <c r="Z195" s="617">
        <f>-F197*0.5</f>
        <v>0.43572144916980526</v>
      </c>
      <c r="AA195" s="617">
        <f>-G197*0.5</f>
        <v>0.24524848365150967</v>
      </c>
      <c r="AB195" s="617">
        <f>-F197*0.25</f>
        <v>0.21786072458490263</v>
      </c>
      <c r="AC195" s="618">
        <f>-G197*0.25</f>
        <v>0.12262424182575483</v>
      </c>
      <c r="AD195" s="592"/>
      <c r="AE195" s="593"/>
    </row>
    <row r="196" spans="5:31">
      <c r="E196" s="568">
        <f>StartAng+DualIncAng*E195</f>
        <v>60.626748972759131</v>
      </c>
      <c r="F196" s="569">
        <v>0</v>
      </c>
      <c r="G196" s="569">
        <v>0</v>
      </c>
      <c r="H196" s="570">
        <f>RedActX</f>
        <v>0.6</v>
      </c>
      <c r="I196" s="570">
        <f>RedActY</f>
        <v>-1.1000000000000001</v>
      </c>
      <c r="J196" s="531">
        <f>IF(DualSingle=2,GrnActX,0)</f>
        <v>-0.6</v>
      </c>
      <c r="K196" s="531">
        <f>IF(DualSingle=2,GrnActY,0)</f>
        <v>-1.1000000000000001</v>
      </c>
      <c r="L196" s="571">
        <f t="shared" ref="L196" si="627">ABS(COS(RADIANS(ABS(E196))))</f>
        <v>0.49049696730301923</v>
      </c>
      <c r="M196" s="572">
        <f t="shared" ref="M196" si="628">L196*SIN(RADIANS(ABS(E196)))</f>
        <v>0.42744009881333228</v>
      </c>
      <c r="N196" s="573">
        <f>IF(DualSingle=2,DEGREES(ACOS(ABS(1+(J196-J197)^2+(K196-K197)^2-GrnActX^2-GrnActY^2)/ABS(2*((J196-J197)^2+(K196-K197)^2)^0.5)-0.00000000001)),0)</f>
        <v>84.632606319604278</v>
      </c>
      <c r="O196" s="574"/>
      <c r="P196" s="531">
        <f>ABS(SIN(RADIANS(N196))*IF(WindFactor=1,SIN(RADIANS(E196)),1))</f>
        <v>0.86762193431006485</v>
      </c>
      <c r="Q196" s="575"/>
      <c r="R196" s="576">
        <f t="shared" ref="R196:S196" si="629">R199</f>
        <v>0.70630126564842333</v>
      </c>
      <c r="S196" s="534">
        <f t="shared" si="629"/>
        <v>0.35395903375675275</v>
      </c>
      <c r="T196" s="577"/>
      <c r="U196" s="578"/>
      <c r="V196" s="619">
        <f t="shared" ref="V196:AC196" si="630">V199</f>
        <v>0.8940175153648765</v>
      </c>
      <c r="W196" s="620">
        <f t="shared" si="630"/>
        <v>0.4480320102635667</v>
      </c>
      <c r="X196" s="620">
        <f t="shared" si="630"/>
        <v>0.6705131365236574</v>
      </c>
      <c r="Y196" s="620">
        <f t="shared" si="630"/>
        <v>0.33602400769767504</v>
      </c>
      <c r="Z196" s="620">
        <f t="shared" si="630"/>
        <v>0.44700875768243825</v>
      </c>
      <c r="AA196" s="620">
        <f t="shared" si="630"/>
        <v>0.22401600513178335</v>
      </c>
      <c r="AB196" s="620">
        <f t="shared" si="630"/>
        <v>0.22350437884121913</v>
      </c>
      <c r="AC196" s="621">
        <f t="shared" si="630"/>
        <v>0.11200800256589168</v>
      </c>
      <c r="AD196" s="592"/>
      <c r="AE196" s="593"/>
    </row>
    <row r="197" spans="5:31">
      <c r="E197" s="568"/>
      <c r="F197" s="569">
        <f>SIN(RADIANS(E196-180))*DualRadius</f>
        <v>-0.87144289833961053</v>
      </c>
      <c r="G197" s="569">
        <f>COS(RADIANS(E196-180))*DualRadius</f>
        <v>-0.49049696730301934</v>
      </c>
      <c r="H197" s="570">
        <f t="shared" ref="H197" si="631">F197</f>
        <v>-0.87144289833961053</v>
      </c>
      <c r="I197" s="570">
        <f t="shared" ref="I197" si="632">G197</f>
        <v>-0.49049696730301934</v>
      </c>
      <c r="J197" s="531">
        <f>IF(DualSingle=2,F197,0)</f>
        <v>-0.87144289833961053</v>
      </c>
      <c r="K197" s="531">
        <f>IF(DualSingle=2,G197,0)</f>
        <v>-0.49049696730301934</v>
      </c>
      <c r="L197" s="574"/>
      <c r="M197" s="578"/>
      <c r="N197" s="577"/>
      <c r="O197" s="574"/>
      <c r="P197" s="574"/>
      <c r="Q197" s="575"/>
      <c r="R197" s="581"/>
      <c r="S197" s="512"/>
      <c r="T197" s="577"/>
      <c r="U197" s="578"/>
      <c r="V197" s="622"/>
      <c r="W197" s="623"/>
      <c r="X197" s="623"/>
      <c r="Y197" s="623"/>
      <c r="Z197" s="623"/>
      <c r="AA197" s="623"/>
      <c r="AB197" s="623"/>
      <c r="AC197" s="624"/>
      <c r="AD197" s="592"/>
      <c r="AE197" s="593"/>
    </row>
    <row r="198" spans="5:31" ht="14.4" thickBot="1">
      <c r="E198" s="582"/>
      <c r="F198" s="583"/>
      <c r="G198" s="583"/>
      <c r="H198" s="583"/>
      <c r="I198" s="583"/>
      <c r="J198" s="583"/>
      <c r="K198" s="583"/>
      <c r="L198" s="583"/>
      <c r="M198" s="584"/>
      <c r="N198" s="585"/>
      <c r="O198" s="586"/>
      <c r="P198" s="586"/>
      <c r="Q198" s="587"/>
      <c r="R198" s="588"/>
      <c r="S198" s="589"/>
      <c r="T198" s="585"/>
      <c r="U198" s="584"/>
      <c r="V198" s="625"/>
      <c r="W198" s="583"/>
      <c r="X198" s="583"/>
      <c r="Y198" s="583"/>
      <c r="Z198" s="583"/>
      <c r="AA198" s="583"/>
      <c r="AB198" s="583"/>
      <c r="AC198" s="626"/>
      <c r="AD198" s="592"/>
      <c r="AE198" s="593"/>
    </row>
    <row r="199" spans="5:31">
      <c r="E199" s="554">
        <f t="shared" ref="E199" si="633">E195+1</f>
        <v>48</v>
      </c>
      <c r="F199" s="555">
        <f>IF(WindFactor=1,M199,L199)*DualRadius</f>
        <v>0.79926731777918736</v>
      </c>
      <c r="G199" s="555">
        <f>IF(WindFactor=1,M200,L200)*DualRadius</f>
        <v>0.40054846461976468</v>
      </c>
      <c r="H199" s="570">
        <f ca="1">((H200-H201)/((H200-H201)^2+(I200-I201)^2)^0.5)*ActBodyLenFact+H200</f>
        <v>0.6</v>
      </c>
      <c r="I199" s="570">
        <f ca="1">((I200-I201)/((H200-H201)^2+(I200-I201)^2)^0.5)*ActBodyLenFact+I200</f>
        <v>-1.1000000000000001</v>
      </c>
      <c r="J199" s="531">
        <f ca="1">IFERROR(((J200-J201)/((J200-J201)^2+(K200-K201)^2)^0.5)*ActBodyLenFact,0)+J200</f>
        <v>-0.6</v>
      </c>
      <c r="K199" s="531">
        <f ca="1">IFERROR(((K200-K201)/((J200-J201)^2+(K200-K201)^2)^0.5)*ActBodyLenFact,0)+K200</f>
        <v>-1.1000000000000001</v>
      </c>
      <c r="L199" s="557">
        <f>SIN(RADIANS(E200))</f>
        <v>0.89401751536487661</v>
      </c>
      <c r="M199" s="558">
        <f t="shared" ref="M199" si="634">L199*SIN(RADIANS(ABS(E200)))</f>
        <v>0.79926731777918736</v>
      </c>
      <c r="N199" s="559">
        <f>IFERROR(DEGREES(ACOS(ABS(1+(H200-H201)^2+(I200-I201)^2-RedActX^2-RedActY^2)/ABS(2*((H200-H201)^2+(I200-I201)^2)^0.5)-0.00000000001)),90)</f>
        <v>50.193261408461218</v>
      </c>
      <c r="O199" s="556">
        <f>ABS(SIN(RADIANS(N199))*IF(WindFactor=1,SIN(RADIANS(E200)),1))</f>
        <v>0.68679161716953774</v>
      </c>
      <c r="P199" s="560"/>
      <c r="Q199" s="561">
        <f>+O199+P200</f>
        <v>1.5800613601181173</v>
      </c>
      <c r="R199" s="562">
        <f t="shared" ref="R199" si="635">-F201*Q199/2</f>
        <v>0.70630126564842333</v>
      </c>
      <c r="S199" s="563">
        <f t="shared" ref="S199" si="636">-G201*Q199/2</f>
        <v>0.35395903375675275</v>
      </c>
      <c r="T199" s="564">
        <f t="shared" ref="T199" si="637">((H200-H201)^2+(I200-I201)^2)^0.5</f>
        <v>1.6300768680826081</v>
      </c>
      <c r="U199" s="565">
        <f t="shared" ref="U199" si="638">((J200-J201)^2+(K200-K201)^2)^0.5</f>
        <v>0.71519826550565802</v>
      </c>
      <c r="V199" s="616">
        <f>-F201*1</f>
        <v>0.8940175153648765</v>
      </c>
      <c r="W199" s="617">
        <f>-G201*1</f>
        <v>0.4480320102635667</v>
      </c>
      <c r="X199" s="617">
        <f>-F201*0.75</f>
        <v>0.6705131365236574</v>
      </c>
      <c r="Y199" s="617">
        <f>-G201*0.75</f>
        <v>0.33602400769767504</v>
      </c>
      <c r="Z199" s="617">
        <f>-F201*0.5</f>
        <v>0.44700875768243825</v>
      </c>
      <c r="AA199" s="617">
        <f>-G201*0.5</f>
        <v>0.22401600513178335</v>
      </c>
      <c r="AB199" s="617">
        <f>-F201*0.25</f>
        <v>0.22350437884121913</v>
      </c>
      <c r="AC199" s="618">
        <f>-G201*0.25</f>
        <v>0.11200800256589168</v>
      </c>
      <c r="AD199" s="592"/>
      <c r="AE199" s="593"/>
    </row>
    <row r="200" spans="5:31">
      <c r="E200" s="568">
        <f>StartAng+DualIncAng*E199</f>
        <v>63.382510289702722</v>
      </c>
      <c r="F200" s="569">
        <v>0</v>
      </c>
      <c r="G200" s="569">
        <v>0</v>
      </c>
      <c r="H200" s="570">
        <f>RedActX</f>
        <v>0.6</v>
      </c>
      <c r="I200" s="570">
        <f>RedActY</f>
        <v>-1.1000000000000001</v>
      </c>
      <c r="J200" s="531">
        <f>IF(DualSingle=2,GrnActX,0)</f>
        <v>-0.6</v>
      </c>
      <c r="K200" s="531">
        <f>IF(DualSingle=2,GrnActY,0)</f>
        <v>-1.1000000000000001</v>
      </c>
      <c r="L200" s="571">
        <f t="shared" ref="L200" si="639">ABS(COS(RADIANS(ABS(E200))))</f>
        <v>0.44803201026356659</v>
      </c>
      <c r="M200" s="572">
        <f t="shared" ref="M200" si="640">L200*SIN(RADIANS(ABS(E200)))</f>
        <v>0.40054846461976468</v>
      </c>
      <c r="N200" s="573">
        <f>IF(DualSingle=2,DEGREES(ACOS(ABS(1+(J200-J201)^2+(K200-K201)^2-GrnActX^2-GrnActY^2)/ABS(2*((J200-J201)^2+(K200-K201)^2)^0.5)-0.00000000001)),0)</f>
        <v>87.656420920102107</v>
      </c>
      <c r="O200" s="574"/>
      <c r="P200" s="531">
        <f>ABS(SIN(RADIANS(N200))*IF(WindFactor=1,SIN(RADIANS(E200)),1))</f>
        <v>0.89326974294857953</v>
      </c>
      <c r="Q200" s="575"/>
      <c r="R200" s="576">
        <f t="shared" ref="R200:S200" si="641">R203</f>
        <v>0.73148670233824553</v>
      </c>
      <c r="S200" s="534">
        <f t="shared" si="641"/>
        <v>0.32356590441433097</v>
      </c>
      <c r="T200" s="577"/>
      <c r="U200" s="578"/>
      <c r="V200" s="619">
        <f t="shared" ref="V200:AC200" si="642">V203</f>
        <v>0.91452437187538316</v>
      </c>
      <c r="W200" s="620">
        <f t="shared" si="642"/>
        <v>0.40453080630025667</v>
      </c>
      <c r="X200" s="620">
        <f t="shared" si="642"/>
        <v>0.6858932789065374</v>
      </c>
      <c r="Y200" s="620">
        <f t="shared" si="642"/>
        <v>0.30339810472519252</v>
      </c>
      <c r="Z200" s="620">
        <f t="shared" si="642"/>
        <v>0.45726218593769158</v>
      </c>
      <c r="AA200" s="620">
        <f t="shared" si="642"/>
        <v>0.20226540315012834</v>
      </c>
      <c r="AB200" s="620">
        <f t="shared" si="642"/>
        <v>0.22863109296884579</v>
      </c>
      <c r="AC200" s="621">
        <f t="shared" si="642"/>
        <v>0.10113270157506417</v>
      </c>
      <c r="AD200" s="592"/>
      <c r="AE200" s="593"/>
    </row>
    <row r="201" spans="5:31">
      <c r="E201" s="568"/>
      <c r="F201" s="569">
        <f>SIN(RADIANS(E200-180))*DualRadius</f>
        <v>-0.8940175153648765</v>
      </c>
      <c r="G201" s="569">
        <f>COS(RADIANS(E200-180))*DualRadius</f>
        <v>-0.4480320102635667</v>
      </c>
      <c r="H201" s="570">
        <f t="shared" ref="H201" si="643">F201</f>
        <v>-0.8940175153648765</v>
      </c>
      <c r="I201" s="570">
        <f t="shared" ref="I201" si="644">G201</f>
        <v>-0.4480320102635667</v>
      </c>
      <c r="J201" s="531">
        <f>IF(DualSingle=2,F201,0)</f>
        <v>-0.8940175153648765</v>
      </c>
      <c r="K201" s="531">
        <f>IF(DualSingle=2,G201,0)</f>
        <v>-0.4480320102635667</v>
      </c>
      <c r="L201" s="574"/>
      <c r="M201" s="578"/>
      <c r="N201" s="577"/>
      <c r="O201" s="574"/>
      <c r="P201" s="574"/>
      <c r="Q201" s="575"/>
      <c r="R201" s="581"/>
      <c r="S201" s="512"/>
      <c r="T201" s="577"/>
      <c r="U201" s="578"/>
      <c r="V201" s="622"/>
      <c r="W201" s="623"/>
      <c r="X201" s="623"/>
      <c r="Y201" s="623"/>
      <c r="Z201" s="623"/>
      <c r="AA201" s="623"/>
      <c r="AB201" s="623"/>
      <c r="AC201" s="624"/>
      <c r="AD201" s="592"/>
      <c r="AE201" s="593"/>
    </row>
    <row r="202" spans="5:31" ht="14.4" thickBot="1">
      <c r="E202" s="582"/>
      <c r="F202" s="583"/>
      <c r="G202" s="583"/>
      <c r="H202" s="583"/>
      <c r="I202" s="583"/>
      <c r="J202" s="583"/>
      <c r="K202" s="583"/>
      <c r="L202" s="583"/>
      <c r="M202" s="584"/>
      <c r="N202" s="585"/>
      <c r="O202" s="586"/>
      <c r="P202" s="586"/>
      <c r="Q202" s="587"/>
      <c r="R202" s="588"/>
      <c r="S202" s="589"/>
      <c r="T202" s="585"/>
      <c r="U202" s="584"/>
      <c r="V202" s="625"/>
      <c r="W202" s="583"/>
      <c r="X202" s="583"/>
      <c r="Y202" s="583"/>
      <c r="Z202" s="583"/>
      <c r="AA202" s="583"/>
      <c r="AB202" s="583"/>
      <c r="AC202" s="626"/>
      <c r="AD202" s="592"/>
      <c r="AE202" s="593"/>
    </row>
    <row r="203" spans="5:31">
      <c r="E203" s="554">
        <f t="shared" ref="E203" si="645">E199+1</f>
        <v>49</v>
      </c>
      <c r="F203" s="555">
        <f>IF(WindFactor=1,M203,L203)*DualRadius</f>
        <v>0.83635482675406436</v>
      </c>
      <c r="G203" s="555">
        <f>IF(WindFactor=1,M204,L204)*DualRadius</f>
        <v>0.3699532815359845</v>
      </c>
      <c r="H203" s="570">
        <f ca="1">((H204-H205)/((H204-H205)^2+(I204-I205)^2)^0.5)*ActBodyLenFact+H204</f>
        <v>0.6</v>
      </c>
      <c r="I203" s="570">
        <f ca="1">((I204-I205)/((H204-H205)^2+(I204-I205)^2)^0.5)*ActBodyLenFact+I204</f>
        <v>-1.1000000000000001</v>
      </c>
      <c r="J203" s="531">
        <f ca="1">IFERROR(((J204-J205)/((J204-J205)^2+(K204-K205)^2)^0.5)*ActBodyLenFact,0)+J204</f>
        <v>-0.6</v>
      </c>
      <c r="K203" s="531">
        <f ca="1">IFERROR(((K204-K205)/((J204-J205)^2+(K204-K205)^2)^0.5)*ActBodyLenFact,0)+K204</f>
        <v>-1.1000000000000001</v>
      </c>
      <c r="L203" s="557">
        <f>SIN(RADIANS(E204))</f>
        <v>0.91452437187538327</v>
      </c>
      <c r="M203" s="558">
        <f t="shared" ref="M203" si="646">L203*SIN(RADIANS(ABS(E204)))</f>
        <v>0.83635482675406436</v>
      </c>
      <c r="N203" s="559">
        <f>IFERROR(DEGREES(ACOS(ABS(1+(H204-H205)^2+(I204-I205)^2-RedActX^2-RedActY^2)/ABS(2*((H204-H205)^2+(I204-I205)^2)^0.5)-0.00000000001)),90)</f>
        <v>48.526303220851823</v>
      </c>
      <c r="O203" s="556">
        <f>ABS(SIN(RADIANS(N203))*IF(WindFactor=1,SIN(RADIANS(E204)),1))</f>
        <v>0.68521638090334491</v>
      </c>
      <c r="P203" s="560"/>
      <c r="Q203" s="561">
        <f>+O203+P204</f>
        <v>1.5997095863901611</v>
      </c>
      <c r="R203" s="562">
        <f t="shared" ref="R203" si="647">-F205*Q203/2</f>
        <v>0.73148670233824553</v>
      </c>
      <c r="S203" s="563">
        <f t="shared" ref="S203" si="648">-G205*Q203/2</f>
        <v>0.32356590441433097</v>
      </c>
      <c r="T203" s="564">
        <f t="shared" ref="T203" si="649">((H204-H205)^2+(I204-I205)^2)^0.5</f>
        <v>1.6665717723488223</v>
      </c>
      <c r="U203" s="565">
        <f t="shared" ref="U203" si="650">((J204-J205)^2+(K204-K205)^2)^0.5</f>
        <v>0.76328433751058689</v>
      </c>
      <c r="V203" s="616">
        <f>-F205*1</f>
        <v>0.91452437187538316</v>
      </c>
      <c r="W203" s="617">
        <f>-G205*1</f>
        <v>0.40453080630025667</v>
      </c>
      <c r="X203" s="617">
        <f>-F205*0.75</f>
        <v>0.6858932789065374</v>
      </c>
      <c r="Y203" s="617">
        <f>-G205*0.75</f>
        <v>0.30339810472519252</v>
      </c>
      <c r="Z203" s="617">
        <f>-F205*0.5</f>
        <v>0.45726218593769158</v>
      </c>
      <c r="AA203" s="617">
        <f>-G205*0.5</f>
        <v>0.20226540315012834</v>
      </c>
      <c r="AB203" s="617">
        <f>-F205*0.25</f>
        <v>0.22863109296884579</v>
      </c>
      <c r="AC203" s="618">
        <f>-G205*0.25</f>
        <v>0.10113270157506417</v>
      </c>
      <c r="AD203" s="592"/>
      <c r="AE203" s="593"/>
    </row>
    <row r="204" spans="5:31">
      <c r="E204" s="568">
        <f>StartAng+DualIncAng*E203</f>
        <v>66.138271606646313</v>
      </c>
      <c r="F204" s="569">
        <v>0</v>
      </c>
      <c r="G204" s="569">
        <v>0</v>
      </c>
      <c r="H204" s="570">
        <f>RedActX</f>
        <v>0.6</v>
      </c>
      <c r="I204" s="570">
        <f>RedActY</f>
        <v>-1.1000000000000001</v>
      </c>
      <c r="J204" s="531">
        <f>IF(DualSingle=2,GrnActX,0)</f>
        <v>-0.6</v>
      </c>
      <c r="K204" s="531">
        <f>IF(DualSingle=2,GrnActY,0)</f>
        <v>-1.1000000000000001</v>
      </c>
      <c r="L204" s="571">
        <f t="shared" ref="L204" si="651">ABS(COS(RADIANS(ABS(E204))))</f>
        <v>0.40453080630025662</v>
      </c>
      <c r="M204" s="572">
        <f t="shared" ref="M204" si="652">L204*SIN(RADIANS(ABS(E204)))</f>
        <v>0.3699532815359845</v>
      </c>
      <c r="N204" s="573">
        <f>IF(DualSingle=2,DEGREES(ACOS(ABS(1+(J204-J205)^2+(K204-K205)^2-GrnActX^2-GrnActY^2)/ABS(2*((J204-J205)^2+(K204-K205)^2)^0.5)-0.00000000001)),0)</f>
        <v>89.526974599407737</v>
      </c>
      <c r="O204" s="574"/>
      <c r="P204" s="531">
        <f>ABS(SIN(RADIANS(N204))*IF(WindFactor=1,SIN(RADIANS(E204)),1))</f>
        <v>0.91449320548681634</v>
      </c>
      <c r="Q204" s="575"/>
      <c r="R204" s="576">
        <f t="shared" ref="R204:S204" si="653">R207</f>
        <v>0.7521159246756306</v>
      </c>
      <c r="S204" s="534">
        <f t="shared" si="653"/>
        <v>0.2903073773806964</v>
      </c>
      <c r="T204" s="577"/>
      <c r="U204" s="578"/>
      <c r="V204" s="619">
        <f t="shared" ref="V204:AC204" si="654">V207</f>
        <v>0.93291603785164479</v>
      </c>
      <c r="W204" s="620">
        <f t="shared" si="654"/>
        <v>0.36009396873481297</v>
      </c>
      <c r="X204" s="620">
        <f t="shared" si="654"/>
        <v>0.69968702838873353</v>
      </c>
      <c r="Y204" s="620">
        <f t="shared" si="654"/>
        <v>0.27007047655110972</v>
      </c>
      <c r="Z204" s="620">
        <f t="shared" si="654"/>
        <v>0.46645801892582239</v>
      </c>
      <c r="AA204" s="620">
        <f t="shared" si="654"/>
        <v>0.18004698436740649</v>
      </c>
      <c r="AB204" s="620">
        <f t="shared" si="654"/>
        <v>0.2332290094629112</v>
      </c>
      <c r="AC204" s="621">
        <f t="shared" si="654"/>
        <v>9.0023492183703244E-2</v>
      </c>
      <c r="AD204" s="592"/>
      <c r="AE204" s="593"/>
    </row>
    <row r="205" spans="5:31">
      <c r="E205" s="568"/>
      <c r="F205" s="569">
        <f>SIN(RADIANS(E204-180))*DualRadius</f>
        <v>-0.91452437187538316</v>
      </c>
      <c r="G205" s="569">
        <f>COS(RADIANS(E204-180))*DualRadius</f>
        <v>-0.40453080630025667</v>
      </c>
      <c r="H205" s="570">
        <f t="shared" ref="H205" si="655">F205</f>
        <v>-0.91452437187538316</v>
      </c>
      <c r="I205" s="570">
        <f t="shared" ref="I205" si="656">G205</f>
        <v>-0.40453080630025667</v>
      </c>
      <c r="J205" s="531">
        <f>IF(DualSingle=2,F205,0)</f>
        <v>-0.91452437187538316</v>
      </c>
      <c r="K205" s="531">
        <f>IF(DualSingle=2,G205,0)</f>
        <v>-0.40453080630025667</v>
      </c>
      <c r="L205" s="574"/>
      <c r="M205" s="578"/>
      <c r="N205" s="577"/>
      <c r="O205" s="574"/>
      <c r="P205" s="574"/>
      <c r="Q205" s="575"/>
      <c r="R205" s="581"/>
      <c r="S205" s="512"/>
      <c r="T205" s="577"/>
      <c r="U205" s="578"/>
      <c r="V205" s="622"/>
      <c r="W205" s="623"/>
      <c r="X205" s="623"/>
      <c r="Y205" s="623"/>
      <c r="Z205" s="623"/>
      <c r="AA205" s="623"/>
      <c r="AB205" s="623"/>
      <c r="AC205" s="624"/>
      <c r="AD205" s="592"/>
      <c r="AE205" s="593"/>
    </row>
    <row r="206" spans="5:31" ht="14.4" thickBot="1">
      <c r="E206" s="582"/>
      <c r="F206" s="583"/>
      <c r="G206" s="583"/>
      <c r="H206" s="583"/>
      <c r="I206" s="583"/>
      <c r="J206" s="583"/>
      <c r="K206" s="583"/>
      <c r="L206" s="583"/>
      <c r="M206" s="584"/>
      <c r="N206" s="585"/>
      <c r="O206" s="586"/>
      <c r="P206" s="586"/>
      <c r="Q206" s="587"/>
      <c r="R206" s="588"/>
      <c r="S206" s="589"/>
      <c r="T206" s="585"/>
      <c r="U206" s="584"/>
      <c r="V206" s="625"/>
      <c r="W206" s="583"/>
      <c r="X206" s="583"/>
      <c r="Y206" s="583"/>
      <c r="Z206" s="583"/>
      <c r="AA206" s="583"/>
      <c r="AB206" s="583"/>
      <c r="AC206" s="626"/>
      <c r="AD206" s="592"/>
      <c r="AE206" s="593"/>
    </row>
    <row r="207" spans="5:31">
      <c r="E207" s="554">
        <f t="shared" ref="E207" si="657">E203+1</f>
        <v>50</v>
      </c>
      <c r="F207" s="555">
        <f>IF(WindFactor=1,M207,L207)*DualRadius</f>
        <v>0.87033233368081153</v>
      </c>
      <c r="G207" s="555">
        <f>IF(WindFactor=1,M208,L208)*DualRadius</f>
        <v>0.33593743856635588</v>
      </c>
      <c r="H207" s="570">
        <f ca="1">((H208-H209)/((H208-H209)^2+(I208-I209)^2)^0.5)*ActBodyLenFact+H208</f>
        <v>0.6</v>
      </c>
      <c r="I207" s="570">
        <f ca="1">((I208-I209)/((H208-H209)^2+(I208-I209)^2)^0.5)*ActBodyLenFact+I208</f>
        <v>-1.1000000000000001</v>
      </c>
      <c r="J207" s="531">
        <f ca="1">IFERROR(((J208-J209)/((J208-J209)^2+(K208-K209)^2)^0.5)*ActBodyLenFact,0)+J208</f>
        <v>-0.6</v>
      </c>
      <c r="K207" s="531">
        <f ca="1">IFERROR(((K208-K209)/((J208-J209)^2+(K208-K209)^2)^0.5)*ActBodyLenFact,0)+K208</f>
        <v>-1.1000000000000001</v>
      </c>
      <c r="L207" s="557">
        <f>SIN(RADIANS(E208))</f>
        <v>0.93291603785164479</v>
      </c>
      <c r="M207" s="558">
        <f t="shared" ref="M207" si="658">L207*SIN(RADIANS(ABS(E208)))</f>
        <v>0.87033233368081153</v>
      </c>
      <c r="N207" s="559">
        <f>IFERROR(DEGREES(ACOS(ABS(1+(H208-H209)^2+(I208-I209)^2-RedActX^2-RedActY^2)/ABS(2*((H208-H209)^2+(I208-I209)^2)^0.5)-0.00000000001)),90)</f>
        <v>46.871584313415497</v>
      </c>
      <c r="O207" s="556">
        <f>ABS(SIN(RADIANS(N207))*IF(WindFactor=1,SIN(RADIANS(E208)),1))</f>
        <v>0.68086387915056301</v>
      </c>
      <c r="P207" s="560"/>
      <c r="Q207" s="561">
        <f>+O207+P208</f>
        <v>1.6123978882550509</v>
      </c>
      <c r="R207" s="562">
        <f t="shared" ref="R207" si="659">-F209*Q207/2</f>
        <v>0.7521159246756306</v>
      </c>
      <c r="S207" s="563">
        <f t="shared" ref="S207" si="660">-G209*Q207/2</f>
        <v>0.2903073773806964</v>
      </c>
      <c r="T207" s="564">
        <f t="shared" ref="T207" si="661">((H208-H209)^2+(I208-I209)^2)^0.5</f>
        <v>1.7021435057613048</v>
      </c>
      <c r="U207" s="565">
        <f t="shared" ref="U207" si="662">((J208-J209)^2+(K208-K209)^2)^0.5</f>
        <v>0.81135320506018693</v>
      </c>
      <c r="V207" s="616">
        <f>-F209*1</f>
        <v>0.93291603785164479</v>
      </c>
      <c r="W207" s="617">
        <f>-G209*1</f>
        <v>0.36009396873481297</v>
      </c>
      <c r="X207" s="617">
        <f>-F209*0.75</f>
        <v>0.69968702838873353</v>
      </c>
      <c r="Y207" s="617">
        <f>-G209*0.75</f>
        <v>0.27007047655110972</v>
      </c>
      <c r="Z207" s="617">
        <f>-F209*0.5</f>
        <v>0.46645801892582239</v>
      </c>
      <c r="AA207" s="617">
        <f>-G209*0.5</f>
        <v>0.18004698436740649</v>
      </c>
      <c r="AB207" s="617">
        <f>-F209*0.25</f>
        <v>0.2332290094629112</v>
      </c>
      <c r="AC207" s="618">
        <f>-G209*0.25</f>
        <v>9.0023492183703244E-2</v>
      </c>
      <c r="AD207" s="592"/>
      <c r="AE207" s="593"/>
    </row>
    <row r="208" spans="5:31">
      <c r="E208" s="568">
        <f>StartAng+DualIncAng*E207</f>
        <v>68.894032923589904</v>
      </c>
      <c r="F208" s="569">
        <v>0</v>
      </c>
      <c r="G208" s="569">
        <v>0</v>
      </c>
      <c r="H208" s="570">
        <f>RedActX</f>
        <v>0.6</v>
      </c>
      <c r="I208" s="570">
        <f>RedActY</f>
        <v>-1.1000000000000001</v>
      </c>
      <c r="J208" s="531">
        <f>IF(DualSingle=2,GrnActX,0)</f>
        <v>-0.6</v>
      </c>
      <c r="K208" s="531">
        <f>IF(DualSingle=2,GrnActY,0)</f>
        <v>-1.1000000000000001</v>
      </c>
      <c r="L208" s="571">
        <f t="shared" ref="L208" si="663">ABS(COS(RADIANS(ABS(E208))))</f>
        <v>0.36009396873481309</v>
      </c>
      <c r="M208" s="572">
        <f t="shared" ref="M208" si="664">L208*SIN(RADIANS(ABS(E208)))</f>
        <v>0.33593743856635588</v>
      </c>
      <c r="N208" s="573">
        <f>IF(DualSingle=2,DEGREES(ACOS(ABS(1+(J208-J209)^2+(K208-K209)^2-GrnActX^2-GrnActY^2)/ABS(2*((J208-J209)^2+(K208-K209)^2)^0.5)-0.00000000001)),0)</f>
        <v>86.880905610217994</v>
      </c>
      <c r="O208" s="574"/>
      <c r="P208" s="531">
        <f>ABS(SIN(RADIANS(N208))*IF(WindFactor=1,SIN(RADIANS(E208)),1))</f>
        <v>0.93153400910448791</v>
      </c>
      <c r="Q208" s="575"/>
      <c r="R208" s="576"/>
      <c r="S208" s="534"/>
      <c r="T208" s="577"/>
      <c r="U208" s="578"/>
      <c r="V208" s="619"/>
      <c r="W208" s="620"/>
      <c r="X208" s="620"/>
      <c r="Y208" s="620"/>
      <c r="Z208" s="620"/>
      <c r="AA208" s="620"/>
      <c r="AB208" s="620"/>
      <c r="AC208" s="621"/>
      <c r="AD208" s="592"/>
      <c r="AE208" s="593"/>
    </row>
    <row r="209" spans="5:31">
      <c r="E209" s="568"/>
      <c r="F209" s="569">
        <f>SIN(RADIANS(E208-180))*DualRadius</f>
        <v>-0.93291603785164479</v>
      </c>
      <c r="G209" s="569">
        <f>COS(RADIANS(E208-180))*DualRadius</f>
        <v>-0.36009396873481297</v>
      </c>
      <c r="H209" s="570">
        <f t="shared" ref="H209" si="665">F209</f>
        <v>-0.93291603785164479</v>
      </c>
      <c r="I209" s="570">
        <f t="shared" ref="I209" si="666">G209</f>
        <v>-0.36009396873481297</v>
      </c>
      <c r="J209" s="531">
        <f>IF(DualSingle=2,F209,0)</f>
        <v>-0.93291603785164479</v>
      </c>
      <c r="K209" s="531">
        <f>IF(DualSingle=2,G209,0)</f>
        <v>-0.36009396873481297</v>
      </c>
      <c r="L209" s="574"/>
      <c r="M209" s="578"/>
      <c r="N209" s="577"/>
      <c r="O209" s="574"/>
      <c r="P209" s="574"/>
      <c r="Q209" s="575"/>
      <c r="R209" s="581"/>
      <c r="S209" s="512"/>
      <c r="T209" s="577"/>
      <c r="U209" s="578"/>
      <c r="V209" s="622"/>
      <c r="W209" s="623"/>
      <c r="X209" s="623"/>
      <c r="Y209" s="623"/>
      <c r="Z209" s="623"/>
      <c r="AA209" s="623"/>
      <c r="AB209" s="623"/>
      <c r="AC209" s="624"/>
      <c r="AD209" s="592"/>
      <c r="AE209" s="593"/>
    </row>
    <row r="210" spans="5:31" ht="14.4" thickBot="1">
      <c r="E210" s="582"/>
      <c r="F210" s="583"/>
      <c r="G210" s="583"/>
      <c r="H210" s="583"/>
      <c r="I210" s="583"/>
      <c r="J210" s="583"/>
      <c r="K210" s="583"/>
      <c r="L210" s="583"/>
      <c r="M210" s="584"/>
      <c r="N210" s="585"/>
      <c r="O210" s="586"/>
      <c r="P210" s="586"/>
      <c r="Q210" s="587"/>
      <c r="R210" s="588"/>
      <c r="S210" s="589"/>
      <c r="T210" s="585"/>
      <c r="U210" s="584"/>
      <c r="V210" s="625"/>
      <c r="W210" s="583"/>
      <c r="X210" s="583"/>
      <c r="Y210" s="583"/>
      <c r="Z210" s="583"/>
      <c r="AA210" s="583"/>
      <c r="AB210" s="583"/>
      <c r="AC210" s="626"/>
      <c r="AD210" s="592"/>
      <c r="AE210" s="593"/>
    </row>
  </sheetData>
  <sheetProtection sheet="1" objects="1" scenarios="1"/>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dimension ref="A1:AI843"/>
  <sheetViews>
    <sheetView zoomScale="80" zoomScaleNormal="80" workbookViewId="0">
      <selection activeCell="Y3" sqref="Y3"/>
    </sheetView>
  </sheetViews>
  <sheetFormatPr defaultRowHeight="14.4"/>
  <cols>
    <col min="1" max="1" width="29.109375" customWidth="1"/>
    <col min="2" max="2" width="1.88671875" customWidth="1"/>
    <col min="3" max="3" width="14.33203125" customWidth="1"/>
    <col min="4" max="4" width="5.5546875" style="9" customWidth="1"/>
    <col min="5" max="5" width="5.88671875" style="9" customWidth="1"/>
    <col min="6" max="6" width="5.33203125" customWidth="1"/>
    <col min="7" max="7" width="6.109375" customWidth="1"/>
    <col min="8" max="8" width="4.109375" customWidth="1"/>
    <col min="9" max="9" width="5" customWidth="1"/>
    <col min="10" max="10" width="5.33203125" style="13" customWidth="1"/>
    <col min="11" max="11" width="6.5546875" style="13" bestFit="1" customWidth="1"/>
    <col min="12" max="12" width="6.5546875" style="13" customWidth="1"/>
    <col min="13" max="13" width="3.88671875" style="13" customWidth="1"/>
    <col min="14" max="14" width="4.21875" style="13" customWidth="1"/>
    <col min="15" max="15" width="7.44140625" style="13" bestFit="1" customWidth="1"/>
    <col min="16" max="19" width="3.77734375" style="13" customWidth="1"/>
    <col min="20" max="20" width="3.77734375" customWidth="1"/>
    <col min="21" max="21" width="6.109375" customWidth="1"/>
    <col min="22" max="22" width="5.44140625" style="103" customWidth="1"/>
    <col min="23" max="23" width="7" bestFit="1" customWidth="1"/>
    <col min="24" max="24" width="5.21875" style="11" customWidth="1"/>
    <col min="25" max="25" width="4.88671875" style="11" bestFit="1" customWidth="1"/>
    <col min="26" max="26" width="2.88671875" style="13" customWidth="1"/>
    <col min="27" max="27" width="2.88671875" style="14" customWidth="1"/>
    <col min="28" max="28" width="5.5546875" style="13" customWidth="1"/>
    <col min="29" max="29" width="14.21875" style="27" customWidth="1"/>
    <col min="30" max="31" width="8.88671875" style="22"/>
  </cols>
  <sheetData>
    <row r="1" spans="1:35" s="27" customFormat="1">
      <c r="C1" s="135"/>
      <c r="D1" s="135"/>
      <c r="E1" s="135"/>
      <c r="F1" s="135"/>
      <c r="G1" s="135"/>
      <c r="H1" s="135"/>
      <c r="I1" s="135"/>
      <c r="J1" s="135"/>
      <c r="K1" s="135"/>
      <c r="L1" s="135"/>
      <c r="M1" s="135"/>
      <c r="N1" s="135"/>
      <c r="O1" s="135"/>
      <c r="P1" s="135"/>
      <c r="Q1" s="135"/>
      <c r="R1" s="135"/>
      <c r="S1" s="135"/>
      <c r="T1" s="135"/>
      <c r="U1" s="135"/>
      <c r="V1" s="27" t="s">
        <v>171</v>
      </c>
      <c r="W1" s="298"/>
      <c r="Y1" s="62" t="s">
        <v>361</v>
      </c>
      <c r="Z1" s="627" t="s">
        <v>583</v>
      </c>
      <c r="AA1" s="811"/>
      <c r="AB1" s="627"/>
      <c r="AC1" s="183"/>
      <c r="AD1" s="22"/>
      <c r="AE1" s="22"/>
      <c r="AF1" s="22"/>
      <c r="AG1" s="22"/>
      <c r="AH1" s="22"/>
      <c r="AI1" s="22"/>
    </row>
    <row r="2" spans="1:35" s="27" customFormat="1" ht="10.199999999999999" customHeight="1">
      <c r="A2" s="694" t="s">
        <v>437</v>
      </c>
      <c r="B2" s="695" t="s">
        <v>171</v>
      </c>
      <c r="C2" s="27" t="s">
        <v>582</v>
      </c>
      <c r="F2" s="9" t="s">
        <v>24</v>
      </c>
      <c r="G2" s="417"/>
      <c r="H2" s="418" t="s">
        <v>701</v>
      </c>
      <c r="J2" s="14" t="s">
        <v>25</v>
      </c>
      <c r="K2" s="92"/>
      <c r="L2" s="92"/>
      <c r="N2" s="14" t="s">
        <v>26</v>
      </c>
      <c r="P2" s="9" t="s">
        <v>35</v>
      </c>
      <c r="R2" s="14" t="s">
        <v>37</v>
      </c>
      <c r="T2" s="92" t="s">
        <v>44</v>
      </c>
      <c r="V2" s="27" t="s">
        <v>46</v>
      </c>
      <c r="W2" s="103"/>
      <c r="X2" s="181"/>
      <c r="Y2" s="813" t="s">
        <v>713</v>
      </c>
      <c r="Z2" s="678"/>
      <c r="AA2" s="691" t="s">
        <v>678</v>
      </c>
      <c r="AB2" s="675" t="s">
        <v>596</v>
      </c>
      <c r="AC2" t="s">
        <v>34</v>
      </c>
      <c r="AD2" s="22" t="s">
        <v>595</v>
      </c>
      <c r="AF2" s="22"/>
      <c r="AG2" s="22"/>
      <c r="AH2" s="22"/>
      <c r="AI2" s="22"/>
    </row>
    <row r="3" spans="1:35" s="27" customFormat="1" ht="10.199999999999999" customHeight="1" thickBot="1">
      <c r="A3" s="299" t="s">
        <v>565</v>
      </c>
      <c r="B3" s="695" t="s">
        <v>46</v>
      </c>
      <c r="D3" s="27" t="s">
        <v>15</v>
      </c>
      <c r="E3" s="172" t="s">
        <v>12</v>
      </c>
      <c r="F3" s="174" t="s">
        <v>13</v>
      </c>
      <c r="G3" s="175" t="s">
        <v>14</v>
      </c>
      <c r="H3" s="417"/>
      <c r="I3" s="172" t="s">
        <v>12</v>
      </c>
      <c r="J3" s="174" t="s">
        <v>13</v>
      </c>
      <c r="K3" s="175" t="s">
        <v>14</v>
      </c>
      <c r="L3" s="92" t="s">
        <v>679</v>
      </c>
      <c r="M3" s="172" t="s">
        <v>12</v>
      </c>
      <c r="N3" s="174" t="s">
        <v>13</v>
      </c>
      <c r="O3" s="180" t="s">
        <v>61</v>
      </c>
      <c r="P3" s="94"/>
      <c r="Q3" s="14" t="s">
        <v>36</v>
      </c>
      <c r="R3" s="92"/>
      <c r="S3" s="92" t="s">
        <v>43</v>
      </c>
      <c r="T3" s="92"/>
      <c r="U3" s="177" t="s">
        <v>16</v>
      </c>
      <c r="V3" s="177" t="s">
        <v>22</v>
      </c>
      <c r="W3" s="103" t="s">
        <v>184</v>
      </c>
      <c r="X3" s="21" t="s">
        <v>176</v>
      </c>
      <c r="Y3" s="180"/>
      <c r="Z3" s="182" t="s">
        <v>84</v>
      </c>
      <c r="AA3" s="691"/>
      <c r="AB3" s="676" t="s">
        <v>597</v>
      </c>
      <c r="AD3" s="22"/>
      <c r="AE3" s="22"/>
      <c r="AF3" s="22"/>
      <c r="AG3" s="22"/>
      <c r="AH3" s="22"/>
      <c r="AI3" s="22"/>
    </row>
    <row r="4" spans="1:35" s="27" customFormat="1" ht="10.199999999999999" customHeight="1" thickTop="1" thickBot="1">
      <c r="A4" s="872" t="str">
        <f ca="1">OFFSET(SelectPanel,,-1)</f>
        <v>Shine Solar Poly Silver 1000V</v>
      </c>
      <c r="B4" s="873" t="s">
        <v>691</v>
      </c>
      <c r="C4" s="874" t="str">
        <f t="shared" ref="C4:Z4" ca="1" si="0">OFFSET(SelectPanel,,C5)</f>
        <v>SS250-60P</v>
      </c>
      <c r="D4" s="875">
        <f t="shared" ca="1" si="0"/>
        <v>250</v>
      </c>
      <c r="E4" s="876">
        <f t="shared" ca="1" si="0"/>
        <v>1640</v>
      </c>
      <c r="F4" s="877">
        <f t="shared" ca="1" si="0"/>
        <v>64.566929133858267</v>
      </c>
      <c r="G4" s="878">
        <f t="shared" ca="1" si="0"/>
        <v>5.3805774278215219</v>
      </c>
      <c r="H4" s="879">
        <f t="shared" ca="1" si="0"/>
        <v>1.6449686473574201</v>
      </c>
      <c r="I4" s="876">
        <f t="shared" ca="1" si="0"/>
        <v>992</v>
      </c>
      <c r="J4" s="877">
        <f t="shared" ca="1" si="0"/>
        <v>39.055118110236222</v>
      </c>
      <c r="K4" s="878">
        <f t="shared" ca="1" si="0"/>
        <v>3.2545931758530187</v>
      </c>
      <c r="L4" s="880">
        <f t="shared" ca="1" si="0"/>
        <v>17.511590578736712</v>
      </c>
      <c r="M4" s="876">
        <f t="shared" ca="1" si="0"/>
        <v>40</v>
      </c>
      <c r="N4" s="877">
        <f t="shared" ca="1" si="0"/>
        <v>1.5748031496062993</v>
      </c>
      <c r="O4" s="881">
        <f t="shared" ca="1" si="0"/>
        <v>15.37298387096774</v>
      </c>
      <c r="P4" s="875">
        <f t="shared" ca="1" si="0"/>
        <v>60</v>
      </c>
      <c r="Q4" s="875">
        <f t="shared" ca="1" si="0"/>
        <v>30.5</v>
      </c>
      <c r="R4" s="875">
        <f t="shared" ca="1" si="0"/>
        <v>37.200000000000003</v>
      </c>
      <c r="S4" s="882">
        <f t="shared" ca="1" si="0"/>
        <v>8.1999999999999993</v>
      </c>
      <c r="T4" s="882">
        <f t="shared" ca="1" si="0"/>
        <v>8.8000000000000007</v>
      </c>
      <c r="U4" s="883">
        <f t="shared" ca="1" si="0"/>
        <v>97.5</v>
      </c>
      <c r="V4" s="884">
        <f t="shared" ca="1" si="0"/>
        <v>0.38984406237505004</v>
      </c>
      <c r="W4" s="885" t="str">
        <f t="shared" ca="1" si="0"/>
        <v>160815</v>
      </c>
      <c r="X4" s="882">
        <f t="shared" ca="1" si="0"/>
        <v>153.72983870967741</v>
      </c>
      <c r="Y4" s="879">
        <f t="shared" ca="1" si="0"/>
        <v>1.5767162944582298</v>
      </c>
      <c r="Z4" s="886">
        <f t="shared" ca="1" si="0"/>
        <v>40.786000000000001</v>
      </c>
      <c r="AA4" s="691"/>
      <c r="AB4" s="677"/>
      <c r="AC4" s="288"/>
      <c r="AD4" s="22"/>
      <c r="AE4" s="22"/>
      <c r="AF4" s="22"/>
      <c r="AG4" s="22"/>
      <c r="AH4" s="22"/>
      <c r="AI4" s="22"/>
    </row>
    <row r="5" spans="1:35" ht="10.199999999999999" customHeight="1" thickTop="1">
      <c r="A5" s="9" t="s">
        <v>601</v>
      </c>
      <c r="B5" s="135">
        <v>0</v>
      </c>
      <c r="C5" s="135">
        <f>B5+1</f>
        <v>1</v>
      </c>
      <c r="D5" s="135">
        <f>C5+1</f>
        <v>2</v>
      </c>
      <c r="E5" s="135">
        <f t="shared" ref="E5:Z5" si="1">D5+1</f>
        <v>3</v>
      </c>
      <c r="F5" s="135">
        <f t="shared" si="1"/>
        <v>4</v>
      </c>
      <c r="G5" s="135">
        <f t="shared" si="1"/>
        <v>5</v>
      </c>
      <c r="H5" s="135">
        <f t="shared" si="1"/>
        <v>6</v>
      </c>
      <c r="I5" s="135">
        <f t="shared" si="1"/>
        <v>7</v>
      </c>
      <c r="J5" s="135">
        <f t="shared" si="1"/>
        <v>8</v>
      </c>
      <c r="K5" s="135">
        <f t="shared" si="1"/>
        <v>9</v>
      </c>
      <c r="L5" s="135">
        <f t="shared" si="1"/>
        <v>10</v>
      </c>
      <c r="M5" s="135">
        <f t="shared" si="1"/>
        <v>11</v>
      </c>
      <c r="N5" s="135">
        <f t="shared" si="1"/>
        <v>12</v>
      </c>
      <c r="O5" s="135">
        <f t="shared" si="1"/>
        <v>13</v>
      </c>
      <c r="P5" s="135">
        <f t="shared" si="1"/>
        <v>14</v>
      </c>
      <c r="Q5" s="135">
        <f t="shared" si="1"/>
        <v>15</v>
      </c>
      <c r="R5" s="135">
        <f t="shared" si="1"/>
        <v>16</v>
      </c>
      <c r="S5" s="135">
        <f t="shared" si="1"/>
        <v>17</v>
      </c>
      <c r="T5" s="135">
        <f t="shared" si="1"/>
        <v>18</v>
      </c>
      <c r="U5" s="135">
        <f t="shared" si="1"/>
        <v>19</v>
      </c>
      <c r="V5" s="135">
        <f t="shared" si="1"/>
        <v>20</v>
      </c>
      <c r="W5" s="135">
        <f t="shared" si="1"/>
        <v>21</v>
      </c>
      <c r="X5" s="135">
        <f t="shared" si="1"/>
        <v>22</v>
      </c>
      <c r="Y5" s="135">
        <f t="shared" si="1"/>
        <v>23</v>
      </c>
      <c r="Z5" s="135">
        <f t="shared" si="1"/>
        <v>24</v>
      </c>
      <c r="AA5" s="691"/>
      <c r="AB5" s="135"/>
      <c r="AF5" s="22"/>
      <c r="AG5" s="22"/>
      <c r="AH5" s="22"/>
      <c r="AI5" s="22"/>
    </row>
    <row r="6" spans="1:35" s="27" customFormat="1" ht="10.199999999999999" customHeight="1">
      <c r="A6" s="22" t="s">
        <v>351</v>
      </c>
      <c r="B6" s="396"/>
      <c r="C6" s="27" t="s">
        <v>350</v>
      </c>
      <c r="D6" s="94">
        <v>300</v>
      </c>
      <c r="E6" s="173">
        <f>+F6*25.4</f>
        <v>2346.96</v>
      </c>
      <c r="F6" s="174">
        <v>92.4</v>
      </c>
      <c r="G6" s="176">
        <f t="shared" ref="G6:G30" si="2">+F6/12</f>
        <v>7.7</v>
      </c>
      <c r="H6" s="180">
        <f t="shared" ref="H6:H30" si="3">+(F6+BoltSpacing)/(J6+BoltSpacing)</f>
        <v>1.9154639175257733</v>
      </c>
      <c r="I6" s="173">
        <f>+J6*25.4</f>
        <v>1219.1999999999998</v>
      </c>
      <c r="J6" s="174">
        <v>48</v>
      </c>
      <c r="K6" s="176">
        <f>+MAX(I6/25.4/12,J6/12)</f>
        <v>4</v>
      </c>
      <c r="L6" s="92">
        <f t="shared" ref="L6:L29" si="4">+G6*K6</f>
        <v>30.8</v>
      </c>
      <c r="M6" s="173">
        <f>+N6*25.4</f>
        <v>10.16</v>
      </c>
      <c r="N6" s="174">
        <v>0.4</v>
      </c>
      <c r="O6" s="181">
        <f t="shared" ref="O6:O30" si="5">+X6/10</f>
        <v>13.726781602192355</v>
      </c>
      <c r="P6" s="94">
        <v>160</v>
      </c>
      <c r="Q6" s="94">
        <v>82</v>
      </c>
      <c r="R6" s="94">
        <v>105</v>
      </c>
      <c r="S6" s="93">
        <v>4.79</v>
      </c>
      <c r="T6" s="93">
        <v>5.33</v>
      </c>
      <c r="U6" s="178">
        <f>+D6*V6</f>
        <v>84.000000000000014</v>
      </c>
      <c r="V6" s="179">
        <f>0.28</f>
        <v>0.28000000000000003</v>
      </c>
      <c r="W6" s="306" t="s">
        <v>669</v>
      </c>
      <c r="X6" s="93">
        <f>+(Q6*S6)/(E6/1000*I6/1000)</f>
        <v>137.26781602192355</v>
      </c>
      <c r="Y6" s="180">
        <f t="shared" ref="Y6:Y35" si="6">+X6/U6</f>
        <v>1.634140666927661</v>
      </c>
      <c r="Z6" s="678">
        <v>75</v>
      </c>
      <c r="AA6" s="691"/>
      <c r="AB6" s="677">
        <f ca="1">SystemPower*1000/PV!D6</f>
        <v>66.666666666666671</v>
      </c>
      <c r="AC6" s="95" t="s">
        <v>73</v>
      </c>
      <c r="AD6" s="91"/>
      <c r="AE6" s="22"/>
      <c r="AF6" s="22"/>
      <c r="AG6" s="22"/>
      <c r="AH6" s="22"/>
      <c r="AI6" s="22"/>
    </row>
    <row r="7" spans="1:35" s="27" customFormat="1" ht="10.199999999999999" customHeight="1">
      <c r="A7" s="22" t="s">
        <v>581</v>
      </c>
      <c r="B7" s="695" t="s">
        <v>600</v>
      </c>
      <c r="C7" s="27" t="s">
        <v>562</v>
      </c>
      <c r="D7" s="94">
        <v>250</v>
      </c>
      <c r="E7" s="173">
        <v>1640</v>
      </c>
      <c r="F7" s="174">
        <f>+E7/25.4</f>
        <v>64.566929133858267</v>
      </c>
      <c r="G7" s="176">
        <f t="shared" ref="G7" si="7">+F7/12</f>
        <v>5.3805774278215219</v>
      </c>
      <c r="H7" s="180">
        <f t="shared" si="3"/>
        <v>1.6449686473574201</v>
      </c>
      <c r="I7" s="173">
        <v>992</v>
      </c>
      <c r="J7" s="174">
        <f>I7/25.4</f>
        <v>39.055118110236222</v>
      </c>
      <c r="K7" s="176">
        <f>+MAX(I7/25.4/12,J7/12)</f>
        <v>3.2545931758530187</v>
      </c>
      <c r="L7" s="92">
        <f>+G7*K7</f>
        <v>17.511590578736712</v>
      </c>
      <c r="M7" s="173">
        <f>40</f>
        <v>40</v>
      </c>
      <c r="N7" s="174">
        <f>M7/25.4</f>
        <v>1.5748031496062993</v>
      </c>
      <c r="O7" s="181">
        <f>+X7/10</f>
        <v>15.37298387096774</v>
      </c>
      <c r="P7" s="94">
        <v>60</v>
      </c>
      <c r="Q7" s="94">
        <v>30.5</v>
      </c>
      <c r="R7" s="94">
        <v>37.200000000000003</v>
      </c>
      <c r="S7" s="93">
        <v>8.1999999999999993</v>
      </c>
      <c r="T7" s="93">
        <v>8.8000000000000007</v>
      </c>
      <c r="U7" s="178">
        <v>97.5</v>
      </c>
      <c r="V7" s="179">
        <f>+U7/(Q7*S7)</f>
        <v>0.38984406237505004</v>
      </c>
      <c r="W7" s="306" t="s">
        <v>670</v>
      </c>
      <c r="X7" s="93">
        <f t="shared" ref="X7:X35" si="8">+(Q7*S7)/(E7/1000*I7/1000)</f>
        <v>153.72983870967741</v>
      </c>
      <c r="Y7" s="180">
        <f>+X7/U7</f>
        <v>1.5767162944582298</v>
      </c>
      <c r="Z7" s="678">
        <v>40.786000000000001</v>
      </c>
      <c r="AA7" s="691"/>
      <c r="AB7" s="677">
        <f ca="1">SystemPower*1000/PV!D7</f>
        <v>80</v>
      </c>
      <c r="AC7" s="288" t="s">
        <v>360</v>
      </c>
      <c r="AD7" s="22" t="s">
        <v>577</v>
      </c>
      <c r="AE7" s="22" t="s">
        <v>580</v>
      </c>
      <c r="AF7" s="22"/>
      <c r="AG7" s="22"/>
      <c r="AH7" s="22"/>
      <c r="AI7" s="22"/>
    </row>
    <row r="8" spans="1:35" s="27" customFormat="1" ht="10.199999999999999" customHeight="1">
      <c r="A8" s="22" t="s">
        <v>72</v>
      </c>
      <c r="B8" s="396"/>
      <c r="C8" s="95" t="s">
        <v>71</v>
      </c>
      <c r="D8" s="94">
        <v>120</v>
      </c>
      <c r="E8" s="173">
        <v>1402</v>
      </c>
      <c r="F8" s="174">
        <f>+E8/25.4</f>
        <v>55.196850393700792</v>
      </c>
      <c r="G8" s="176">
        <f t="shared" si="2"/>
        <v>4.5997375328083994</v>
      </c>
      <c r="H8" s="180">
        <f t="shared" si="3"/>
        <v>1.3955805465127751</v>
      </c>
      <c r="I8" s="173">
        <v>1001</v>
      </c>
      <c r="J8" s="174">
        <f>+I8/25.4</f>
        <v>39.409448818897637</v>
      </c>
      <c r="K8" s="176">
        <f>+I8/25.4/12</f>
        <v>3.2841207349081363</v>
      </c>
      <c r="L8" s="92">
        <f t="shared" si="4"/>
        <v>15.106093406631258</v>
      </c>
      <c r="M8" s="173">
        <v>7.4</v>
      </c>
      <c r="N8" s="174">
        <f>+M8/25.4</f>
        <v>0.29133858267716539</v>
      </c>
      <c r="O8" s="181">
        <f t="shared" si="5"/>
        <v>8.5743072904271216</v>
      </c>
      <c r="P8" s="94" t="s">
        <v>62</v>
      </c>
      <c r="Q8" s="94">
        <v>44.9</v>
      </c>
      <c r="R8" s="94">
        <v>59.1</v>
      </c>
      <c r="S8" s="93">
        <v>2.68</v>
      </c>
      <c r="T8" s="93">
        <v>3.3</v>
      </c>
      <c r="U8" s="178">
        <f>120*0.4</f>
        <v>48</v>
      </c>
      <c r="V8" s="179">
        <f t="shared" ref="V8:V35" si="9">+U8/(Q8*S8)</f>
        <v>0.39889638666356414</v>
      </c>
      <c r="W8" s="306"/>
      <c r="X8" s="93">
        <f t="shared" si="8"/>
        <v>85.743072904271216</v>
      </c>
      <c r="Y8" s="180">
        <f t="shared" si="6"/>
        <v>1.7863140188389837</v>
      </c>
      <c r="Z8" s="678"/>
      <c r="AA8" s="691"/>
      <c r="AB8" s="677">
        <f ca="1">SystemPower*1000/PV!D8</f>
        <v>166.66666666666666</v>
      </c>
      <c r="AC8" s="95" t="s">
        <v>73</v>
      </c>
      <c r="AD8" s="22" t="s">
        <v>74</v>
      </c>
      <c r="AE8" s="22"/>
      <c r="AF8" s="22"/>
      <c r="AG8" s="22"/>
      <c r="AH8" s="22"/>
      <c r="AI8" s="22"/>
    </row>
    <row r="9" spans="1:35" s="27" customFormat="1" ht="10.199999999999999" customHeight="1">
      <c r="A9" s="22" t="s">
        <v>353</v>
      </c>
      <c r="B9" s="396"/>
      <c r="C9" s="27" t="s">
        <v>163</v>
      </c>
      <c r="D9" s="94">
        <v>395</v>
      </c>
      <c r="E9" s="173">
        <f>+F9*25.4</f>
        <v>2346.96</v>
      </c>
      <c r="F9" s="174">
        <v>92.4</v>
      </c>
      <c r="G9" s="176">
        <f t="shared" si="2"/>
        <v>7.7</v>
      </c>
      <c r="H9" s="180">
        <f t="shared" si="3"/>
        <v>1.9154639175257733</v>
      </c>
      <c r="I9" s="173">
        <f>+J9*25.4</f>
        <v>1219.1999999999998</v>
      </c>
      <c r="J9" s="174">
        <v>48</v>
      </c>
      <c r="K9" s="176">
        <f>+MAX(I9/25.4/12,J9/12)</f>
        <v>4</v>
      </c>
      <c r="L9" s="92">
        <f t="shared" si="4"/>
        <v>30.8</v>
      </c>
      <c r="M9" s="173">
        <f>+N9*25.4</f>
        <v>10.16</v>
      </c>
      <c r="N9" s="174">
        <v>0.4</v>
      </c>
      <c r="O9" s="181">
        <f t="shared" si="5"/>
        <v>13.726781602192355</v>
      </c>
      <c r="P9" s="94">
        <v>160</v>
      </c>
      <c r="Q9" s="94">
        <v>82</v>
      </c>
      <c r="R9" s="94">
        <v>105</v>
      </c>
      <c r="S9" s="93">
        <v>4.79</v>
      </c>
      <c r="T9" s="93">
        <v>5.33</v>
      </c>
      <c r="U9" s="178">
        <v>174</v>
      </c>
      <c r="V9" s="179">
        <f t="shared" si="9"/>
        <v>0.44299607923010331</v>
      </c>
      <c r="W9" s="306" t="s">
        <v>669</v>
      </c>
      <c r="X9" s="93">
        <f t="shared" si="8"/>
        <v>137.26781602192355</v>
      </c>
      <c r="Y9" s="180">
        <f t="shared" si="6"/>
        <v>0.78889549437887097</v>
      </c>
      <c r="Z9" s="678">
        <v>75</v>
      </c>
      <c r="AA9" s="691"/>
      <c r="AB9" s="677">
        <f ca="1">SystemPower*1000/PV!D9</f>
        <v>50.632911392405063</v>
      </c>
      <c r="AC9" s="95" t="s">
        <v>73</v>
      </c>
      <c r="AD9" s="91"/>
      <c r="AE9" s="22"/>
      <c r="AF9" s="22"/>
      <c r="AG9" s="22"/>
      <c r="AH9" s="22"/>
      <c r="AI9" s="22"/>
    </row>
    <row r="10" spans="1:35" s="27" customFormat="1" ht="10.8" customHeight="1">
      <c r="A10" s="22" t="s">
        <v>564</v>
      </c>
      <c r="C10" s="27" t="s">
        <v>563</v>
      </c>
      <c r="D10" s="94">
        <v>255</v>
      </c>
      <c r="E10" s="173">
        <v>1640</v>
      </c>
      <c r="F10" s="174">
        <f>+E10/25.4</f>
        <v>64.566929133858267</v>
      </c>
      <c r="G10" s="176">
        <f>+F10/12</f>
        <v>5.3805774278215219</v>
      </c>
      <c r="H10" s="180">
        <f t="shared" si="3"/>
        <v>1.6449686473574201</v>
      </c>
      <c r="I10" s="173">
        <v>992</v>
      </c>
      <c r="J10" s="174">
        <f>I10/25.4</f>
        <v>39.055118110236222</v>
      </c>
      <c r="K10" s="176">
        <f>+MAX(I10/25.4/12,J10/12)</f>
        <v>3.2545931758530187</v>
      </c>
      <c r="L10" s="92">
        <f>+G10*K10</f>
        <v>17.511590578736712</v>
      </c>
      <c r="M10" s="173">
        <v>42</v>
      </c>
      <c r="N10" s="174">
        <f>M10/25.4</f>
        <v>1.6535433070866143</v>
      </c>
      <c r="O10" s="181">
        <f>+X10/10</f>
        <v>15.674173878835564</v>
      </c>
      <c r="P10" s="94">
        <v>60</v>
      </c>
      <c r="Q10" s="94">
        <v>30</v>
      </c>
      <c r="R10" s="94">
        <v>37.4</v>
      </c>
      <c r="S10" s="93">
        <v>8.5</v>
      </c>
      <c r="T10" s="93">
        <v>9.09</v>
      </c>
      <c r="U10" s="178">
        <v>122.4</v>
      </c>
      <c r="V10" s="179">
        <f t="shared" si="9"/>
        <v>0.48000000000000004</v>
      </c>
      <c r="W10" s="306" t="s">
        <v>671</v>
      </c>
      <c r="X10" s="93">
        <f t="shared" si="8"/>
        <v>156.74173878835563</v>
      </c>
      <c r="Y10" s="180">
        <f>+X10/U10</f>
        <v>1.2805697613427747</v>
      </c>
      <c r="Z10" s="678">
        <v>36.375999999999998</v>
      </c>
      <c r="AA10" s="691"/>
      <c r="AB10" s="677">
        <f ca="1">SystemPower*1000/PV!D10</f>
        <v>78.431372549019613</v>
      </c>
      <c r="AC10" s="288" t="s">
        <v>360</v>
      </c>
      <c r="AD10" s="22" t="s">
        <v>577</v>
      </c>
      <c r="AE10" s="22"/>
      <c r="AF10" s="22"/>
      <c r="AG10" s="22"/>
      <c r="AH10" s="22"/>
      <c r="AI10" s="22"/>
    </row>
    <row r="11" spans="1:35" ht="10.8" customHeight="1">
      <c r="A11" s="22" t="s">
        <v>567</v>
      </c>
      <c r="B11" s="27"/>
      <c r="C11" s="27" t="s">
        <v>566</v>
      </c>
      <c r="D11" s="94">
        <v>310</v>
      </c>
      <c r="E11" s="173">
        <v>1956</v>
      </c>
      <c r="F11" s="174">
        <f>E11/25.4</f>
        <v>77.00787401574803</v>
      </c>
      <c r="G11" s="176">
        <f t="shared" ref="G11" si="10">+F11/12</f>
        <v>6.4173228346456694</v>
      </c>
      <c r="H11" s="180">
        <f t="shared" ref="H11" si="11">+(F11+BoltSpacing)/(J11+BoltSpacing)</f>
        <v>1.9594903951428286</v>
      </c>
      <c r="I11" s="173">
        <v>992</v>
      </c>
      <c r="J11" s="174">
        <f>I11/25.4</f>
        <v>39.055118110236222</v>
      </c>
      <c r="K11" s="176">
        <f>+MAX(I11/25.4/12,J11/12)</f>
        <v>3.2545931758530187</v>
      </c>
      <c r="L11" s="92">
        <f t="shared" ref="L11" si="12">+G11*K11</f>
        <v>20.885775104883546</v>
      </c>
      <c r="M11" s="173">
        <v>39.06</v>
      </c>
      <c r="N11" s="174">
        <f>+M11/25.4</f>
        <v>1.5377952755905513</v>
      </c>
      <c r="O11" s="181">
        <f t="shared" ref="O11" si="13">+X11/10</f>
        <v>15.971019691272517</v>
      </c>
      <c r="P11" s="94">
        <v>72</v>
      </c>
      <c r="Q11" s="94">
        <v>37.700000000000003</v>
      </c>
      <c r="R11" s="94">
        <v>45.8</v>
      </c>
      <c r="S11" s="93">
        <v>8.2200000000000006</v>
      </c>
      <c r="T11" s="93">
        <v>9.08</v>
      </c>
      <c r="U11" s="178">
        <v>162</v>
      </c>
      <c r="V11" s="179">
        <f t="shared" ref="V11" si="14">+U11/(Q11*S11)</f>
        <v>0.52275939514801828</v>
      </c>
      <c r="W11" s="306" t="s">
        <v>671</v>
      </c>
      <c r="X11" s="93">
        <f t="shared" ref="X11" si="15">+(Q11*S11)/(E11/1000*I11/1000)</f>
        <v>159.71019691272517</v>
      </c>
      <c r="Y11" s="180">
        <f t="shared" ref="Y11" si="16">+X11/U11</f>
        <v>0.98586541304151343</v>
      </c>
      <c r="Z11" s="678">
        <v>58.421999999999997</v>
      </c>
      <c r="AA11" s="691"/>
      <c r="AB11" s="677">
        <f ca="1">SystemPower*1000/PV!D11</f>
        <v>64.516129032258064</v>
      </c>
      <c r="AC11" s="288" t="s">
        <v>360</v>
      </c>
      <c r="AD11" s="22" t="s">
        <v>577</v>
      </c>
      <c r="AF11" s="22"/>
      <c r="AG11" s="22"/>
      <c r="AH11" s="22"/>
      <c r="AI11" s="22"/>
    </row>
    <row r="12" spans="1:35" s="27" customFormat="1" ht="10.8" customHeight="1">
      <c r="A12" s="22" t="s">
        <v>358</v>
      </c>
      <c r="C12" s="27" t="s">
        <v>359</v>
      </c>
      <c r="D12" s="94">
        <v>250</v>
      </c>
      <c r="E12" s="173">
        <f>+F12*25.4</f>
        <v>1638.0459999999998</v>
      </c>
      <c r="F12" s="174">
        <v>64.489999999999995</v>
      </c>
      <c r="G12" s="176">
        <f>+F12/12</f>
        <v>5.3741666666666665</v>
      </c>
      <c r="H12" s="180">
        <f>+(F12+BoltSpacing)/(J12+BoltSpacing)</f>
        <v>1.6596016343207354</v>
      </c>
      <c r="I12" s="173">
        <f>+J12*25.4</f>
        <v>981.96399999999983</v>
      </c>
      <c r="J12" s="174">
        <v>38.659999999999997</v>
      </c>
      <c r="K12" s="176">
        <f>+MAX(I12/25.4/12,J12/12)</f>
        <v>3.2216666666666662</v>
      </c>
      <c r="L12" s="92">
        <f t="shared" ref="L12" si="17">+G12*K12</f>
        <v>17.31377361111111</v>
      </c>
      <c r="M12" s="173">
        <f>+N12*25.4</f>
        <v>39.878</v>
      </c>
      <c r="N12" s="174">
        <v>1.57</v>
      </c>
      <c r="O12" s="181">
        <f>+X12/10</f>
        <v>15.575732481740147</v>
      </c>
      <c r="P12" s="94">
        <v>60</v>
      </c>
      <c r="Q12" s="94">
        <v>31.2</v>
      </c>
      <c r="R12" s="94">
        <v>37.200000000000003</v>
      </c>
      <c r="S12" s="93">
        <v>8.0299999999999994</v>
      </c>
      <c r="T12" s="93">
        <v>8.52</v>
      </c>
      <c r="U12" s="178">
        <v>137.5</v>
      </c>
      <c r="V12" s="179">
        <f>+U12/(Q12*S12)</f>
        <v>0.54882332279592561</v>
      </c>
      <c r="W12" s="306" t="s">
        <v>672</v>
      </c>
      <c r="X12" s="93">
        <f>+(Q12*S12)/(E12/1000*I12/1000)</f>
        <v>155.75732481740147</v>
      </c>
      <c r="Y12" s="180">
        <f t="shared" ref="Y12" si="18">+X12/U12</f>
        <v>1.1327805441265562</v>
      </c>
      <c r="Z12" s="678">
        <v>41.89</v>
      </c>
      <c r="AA12" s="691"/>
      <c r="AB12" s="677">
        <f ca="1">SystemPower*1000/PV!D12</f>
        <v>80</v>
      </c>
      <c r="AC12" s="288" t="s">
        <v>360</v>
      </c>
      <c r="AD12" s="22" t="s">
        <v>577</v>
      </c>
      <c r="AE12" s="22" t="s">
        <v>584</v>
      </c>
      <c r="AF12" s="22"/>
      <c r="AG12" s="22"/>
      <c r="AH12" s="22"/>
      <c r="AI12" s="22"/>
    </row>
    <row r="13" spans="1:35" s="27" customFormat="1" ht="10.8" customHeight="1">
      <c r="A13" s="22" t="s">
        <v>172</v>
      </c>
      <c r="C13" s="27" t="s">
        <v>173</v>
      </c>
      <c r="D13" s="94">
        <v>260</v>
      </c>
      <c r="E13" s="173">
        <f>+F13*25.4</f>
        <v>1669.9992</v>
      </c>
      <c r="F13" s="174">
        <v>65.748000000000005</v>
      </c>
      <c r="G13" s="176">
        <f t="shared" si="2"/>
        <v>5.4790000000000001</v>
      </c>
      <c r="H13" s="180">
        <f t="shared" si="3"/>
        <v>1.6616002006521196</v>
      </c>
      <c r="I13" s="173">
        <f>+J13*25.4</f>
        <v>999.99799999999993</v>
      </c>
      <c r="J13" s="174">
        <v>39.369999999999997</v>
      </c>
      <c r="K13" s="176">
        <f>+MAX(I13/25.4/12,J13/12)</f>
        <v>3.2808333333333333</v>
      </c>
      <c r="L13" s="92">
        <f t="shared" si="4"/>
        <v>17.975685833333333</v>
      </c>
      <c r="M13" s="173">
        <f>+N13*25.4</f>
        <v>32.003999999999998</v>
      </c>
      <c r="N13" s="174">
        <v>1.26</v>
      </c>
      <c r="O13" s="181">
        <f t="shared" si="5"/>
        <v>15.558349947032269</v>
      </c>
      <c r="P13" s="94">
        <v>60</v>
      </c>
      <c r="Q13" s="94">
        <v>30.46</v>
      </c>
      <c r="R13" s="94">
        <v>37.770000000000003</v>
      </c>
      <c r="S13" s="93">
        <v>8.5299999999999994</v>
      </c>
      <c r="T13" s="93">
        <v>9.15</v>
      </c>
      <c r="U13" s="178">
        <v>148.4</v>
      </c>
      <c r="V13" s="179">
        <f t="shared" si="9"/>
        <v>0.57115629899955278</v>
      </c>
      <c r="W13" s="306" t="s">
        <v>673</v>
      </c>
      <c r="X13" s="93">
        <f t="shared" si="8"/>
        <v>155.58349947032269</v>
      </c>
      <c r="Y13" s="180">
        <f t="shared" si="6"/>
        <v>1.0484063306625517</v>
      </c>
      <c r="Z13" s="678">
        <v>41.45</v>
      </c>
      <c r="AA13" s="691"/>
      <c r="AB13" s="677">
        <f ca="1">SystemPower*1000/PV!D13</f>
        <v>76.92307692307692</v>
      </c>
      <c r="AC13" s="92"/>
      <c r="AD13" s="22" t="s">
        <v>174</v>
      </c>
      <c r="AE13" s="22"/>
      <c r="AF13" s="22"/>
      <c r="AG13" s="22"/>
      <c r="AH13" s="22"/>
      <c r="AI13" s="22"/>
    </row>
    <row r="14" spans="1:35" s="27" customFormat="1" ht="10.199999999999999" customHeight="1">
      <c r="A14" s="22" t="s">
        <v>181</v>
      </c>
      <c r="C14" s="27" t="s">
        <v>183</v>
      </c>
      <c r="D14" s="94">
        <v>305</v>
      </c>
      <c r="E14" s="173">
        <f>+F14*25.4</f>
        <v>1956.0540000000001</v>
      </c>
      <c r="F14" s="174">
        <v>77.010000000000005</v>
      </c>
      <c r="G14" s="176">
        <f t="shared" si="2"/>
        <v>6.4175000000000004</v>
      </c>
      <c r="H14" s="180">
        <f t="shared" si="3"/>
        <v>1.9632725430597775</v>
      </c>
      <c r="I14" s="173">
        <f>+J14*25.4</f>
        <v>990.09199999999987</v>
      </c>
      <c r="J14" s="174">
        <v>38.979999999999997</v>
      </c>
      <c r="K14" s="176">
        <f>+J14/12</f>
        <v>3.2483333333333331</v>
      </c>
      <c r="L14" s="92">
        <f t="shared" si="4"/>
        <v>20.846179166666666</v>
      </c>
      <c r="M14" s="173">
        <f>+N14*25.4</f>
        <v>50.037999999999997</v>
      </c>
      <c r="N14" s="174">
        <v>1.97</v>
      </c>
      <c r="O14" s="181">
        <f t="shared" si="5"/>
        <v>15.756399469650081</v>
      </c>
      <c r="P14" s="94">
        <v>72</v>
      </c>
      <c r="Q14" s="94">
        <v>35.9</v>
      </c>
      <c r="R14" s="94">
        <v>44.7</v>
      </c>
      <c r="S14" s="93">
        <v>8.5</v>
      </c>
      <c r="T14" s="93">
        <v>8.9700000000000006</v>
      </c>
      <c r="U14" s="178">
        <f>195.97</f>
        <v>195.97</v>
      </c>
      <c r="V14" s="179">
        <f t="shared" si="9"/>
        <v>0.64220874979518272</v>
      </c>
      <c r="W14" s="306" t="s">
        <v>673</v>
      </c>
      <c r="X14" s="93">
        <f t="shared" si="8"/>
        <v>157.5639946965008</v>
      </c>
      <c r="Y14" s="180">
        <f t="shared" si="6"/>
        <v>0.80402099656325354</v>
      </c>
      <c r="Z14" s="678">
        <v>49.16</v>
      </c>
      <c r="AA14" s="691"/>
      <c r="AB14" s="677">
        <f ca="1">SystemPower*1000/PV!D14</f>
        <v>65.573770491803273</v>
      </c>
      <c r="AC14" s="288" t="s">
        <v>179</v>
      </c>
      <c r="AD14" s="22" t="s">
        <v>576</v>
      </c>
      <c r="AE14" s="22"/>
      <c r="AF14" s="22"/>
      <c r="AG14" s="22"/>
      <c r="AH14" s="22"/>
      <c r="AI14" s="22"/>
    </row>
    <row r="15" spans="1:35" s="27" customFormat="1" ht="10.199999999999999" customHeight="1">
      <c r="A15" s="22" t="s">
        <v>68</v>
      </c>
      <c r="B15" s="396"/>
      <c r="C15" s="27" t="s">
        <v>75</v>
      </c>
      <c r="D15" s="94">
        <v>250</v>
      </c>
      <c r="E15" s="173">
        <v>1650</v>
      </c>
      <c r="F15" s="174">
        <f>+E15/25.4</f>
        <v>64.960629921259851</v>
      </c>
      <c r="G15" s="176">
        <f t="shared" si="2"/>
        <v>5.4133858267716546</v>
      </c>
      <c r="H15" s="180">
        <f t="shared" si="3"/>
        <v>1.6549218672240471</v>
      </c>
      <c r="I15" s="173">
        <v>992</v>
      </c>
      <c r="J15" s="174">
        <f>+I15/25.4</f>
        <v>39.055118110236222</v>
      </c>
      <c r="K15" s="176">
        <f>+MAX(I15/25.4/12,J15/12)</f>
        <v>3.2545931758530187</v>
      </c>
      <c r="L15" s="92">
        <f t="shared" si="4"/>
        <v>17.61836857007048</v>
      </c>
      <c r="M15" s="173">
        <v>50</v>
      </c>
      <c r="N15" s="174">
        <f>+M15/25.4</f>
        <v>1.9685039370078741</v>
      </c>
      <c r="O15" s="181">
        <f t="shared" si="5"/>
        <v>15.279814271749753</v>
      </c>
      <c r="P15" s="94">
        <v>60</v>
      </c>
      <c r="Q15" s="94">
        <v>30.5</v>
      </c>
      <c r="R15" s="94">
        <v>37.799999999999997</v>
      </c>
      <c r="S15" s="93">
        <v>8.1999999999999993</v>
      </c>
      <c r="T15" s="93">
        <v>8.85</v>
      </c>
      <c r="U15" s="178">
        <v>165</v>
      </c>
      <c r="V15" s="179">
        <f t="shared" si="9"/>
        <v>0.65973610555777695</v>
      </c>
      <c r="W15" s="306"/>
      <c r="X15" s="93">
        <f t="shared" si="8"/>
        <v>152.79814271749754</v>
      </c>
      <c r="Y15" s="180">
        <f t="shared" si="6"/>
        <v>0.92604934980301545</v>
      </c>
      <c r="Z15" s="678"/>
      <c r="AA15" s="691"/>
      <c r="AB15" s="677">
        <f ca="1">SystemPower*1000/PV!D15</f>
        <v>80</v>
      </c>
      <c r="AC15" s="372" t="s">
        <v>68</v>
      </c>
      <c r="AD15" s="22"/>
      <c r="AE15" s="22"/>
      <c r="AF15" s="22"/>
      <c r="AG15" s="22"/>
      <c r="AH15" s="22"/>
      <c r="AI15" s="22"/>
    </row>
    <row r="16" spans="1:35" s="27" customFormat="1" ht="10.199999999999999" customHeight="1">
      <c r="A16" s="22" t="s">
        <v>181</v>
      </c>
      <c r="B16" s="396"/>
      <c r="C16" s="27" t="s">
        <v>315</v>
      </c>
      <c r="D16" s="94">
        <v>315</v>
      </c>
      <c r="E16" s="173">
        <f>+F16*25.4</f>
        <v>1956.0540000000001</v>
      </c>
      <c r="F16" s="174">
        <v>77.010000000000005</v>
      </c>
      <c r="G16" s="176">
        <f t="shared" si="2"/>
        <v>6.4175000000000004</v>
      </c>
      <c r="H16" s="180">
        <f t="shared" si="3"/>
        <v>1.9632725430597775</v>
      </c>
      <c r="I16" s="173">
        <f>+J16*25.4</f>
        <v>990.09199999999987</v>
      </c>
      <c r="J16" s="174">
        <v>38.979999999999997</v>
      </c>
      <c r="K16" s="176">
        <f>+J16/12</f>
        <v>3.2483333333333331</v>
      </c>
      <c r="L16" s="92">
        <f t="shared" si="4"/>
        <v>20.846179166666666</v>
      </c>
      <c r="M16" s="173">
        <f>+N16*25.4</f>
        <v>50.037999999999997</v>
      </c>
      <c r="N16" s="174">
        <v>1.97</v>
      </c>
      <c r="O16" s="181">
        <f t="shared" si="5"/>
        <v>16.261905452962793</v>
      </c>
      <c r="P16" s="94">
        <v>72</v>
      </c>
      <c r="Q16" s="94">
        <v>36.200000000000003</v>
      </c>
      <c r="R16" s="94">
        <v>44.9</v>
      </c>
      <c r="S16" s="93">
        <v>8.6999999999999993</v>
      </c>
      <c r="T16" s="93">
        <v>9.1</v>
      </c>
      <c r="U16" s="178">
        <f>211.05</f>
        <v>211.05</v>
      </c>
      <c r="V16" s="179">
        <f t="shared" si="9"/>
        <v>0.67012764336064012</v>
      </c>
      <c r="W16" s="306" t="s">
        <v>674</v>
      </c>
      <c r="X16" s="93">
        <f t="shared" si="8"/>
        <v>162.61905452962793</v>
      </c>
      <c r="Y16" s="180">
        <f t="shared" si="6"/>
        <v>0.77052383098615462</v>
      </c>
      <c r="Z16" s="678">
        <v>49.16</v>
      </c>
      <c r="AA16" s="691"/>
      <c r="AB16" s="677">
        <f ca="1">SystemPower*1000/PV!D16</f>
        <v>63.492063492063494</v>
      </c>
      <c r="AC16" s="92"/>
      <c r="AD16" s="22"/>
      <c r="AE16" s="22"/>
      <c r="AF16" s="22"/>
      <c r="AG16" s="22"/>
      <c r="AH16" s="22"/>
      <c r="AI16" s="22"/>
    </row>
    <row r="17" spans="1:35" s="27" customFormat="1" ht="10.199999999999999" customHeight="1">
      <c r="A17" s="22" t="s">
        <v>169</v>
      </c>
      <c r="B17" s="396"/>
      <c r="C17" s="27" t="s">
        <v>170</v>
      </c>
      <c r="D17" s="94">
        <v>300</v>
      </c>
      <c r="E17" s="173">
        <f>+F17*25.4</f>
        <v>1971.0399999999997</v>
      </c>
      <c r="F17" s="174">
        <v>77.599999999999994</v>
      </c>
      <c r="G17" s="176">
        <f t="shared" si="2"/>
        <v>6.4666666666666659</v>
      </c>
      <c r="H17" s="180">
        <f t="shared" si="3"/>
        <v>1.9722222222222221</v>
      </c>
      <c r="I17" s="173">
        <f>+J17*25.4</f>
        <v>993.14</v>
      </c>
      <c r="J17" s="174">
        <v>39.1</v>
      </c>
      <c r="K17" s="176">
        <f>+MAX(I17/25.4/12,J17/12)</f>
        <v>3.2583333333333333</v>
      </c>
      <c r="L17" s="92">
        <f t="shared" si="4"/>
        <v>21.070555555555554</v>
      </c>
      <c r="M17" s="173">
        <f>+N17*25.4</f>
        <v>45.72</v>
      </c>
      <c r="N17" s="174">
        <v>1.8</v>
      </c>
      <c r="O17" s="181">
        <f t="shared" si="5"/>
        <v>15.327056915088866</v>
      </c>
      <c r="P17" s="94">
        <v>72</v>
      </c>
      <c r="Q17" s="94">
        <v>36.5</v>
      </c>
      <c r="R17" s="94">
        <v>45</v>
      </c>
      <c r="S17" s="93">
        <v>8.2200000000000006</v>
      </c>
      <c r="T17" s="93">
        <v>8.74</v>
      </c>
      <c r="U17" s="178">
        <v>216</v>
      </c>
      <c r="V17" s="179">
        <f t="shared" si="9"/>
        <v>0.71992800719927996</v>
      </c>
      <c r="W17" s="306" t="s">
        <v>669</v>
      </c>
      <c r="X17" s="93">
        <f t="shared" si="8"/>
        <v>153.27056915088866</v>
      </c>
      <c r="Y17" s="180">
        <f t="shared" si="6"/>
        <v>0.70958596829115117</v>
      </c>
      <c r="Z17" s="678">
        <v>50</v>
      </c>
      <c r="AA17" s="691"/>
      <c r="AB17" s="677">
        <f ca="1">SystemPower*1000/PV!D17</f>
        <v>66.666666666666671</v>
      </c>
      <c r="AC17" s="95" t="s">
        <v>73</v>
      </c>
      <c r="AD17" s="91"/>
      <c r="AE17" s="22"/>
      <c r="AF17" s="22"/>
      <c r="AG17" s="22"/>
      <c r="AH17" s="22"/>
      <c r="AI17" s="22"/>
    </row>
    <row r="18" spans="1:35" s="27" customFormat="1" ht="10.199999999999999" customHeight="1">
      <c r="A18" s="22" t="s">
        <v>180</v>
      </c>
      <c r="B18" s="396"/>
      <c r="C18" s="27" t="s">
        <v>178</v>
      </c>
      <c r="D18" s="94">
        <v>295</v>
      </c>
      <c r="E18" s="173">
        <f>+F18*25.4</f>
        <v>1954.0220000000002</v>
      </c>
      <c r="F18" s="174">
        <v>76.930000000000007</v>
      </c>
      <c r="G18" s="176">
        <f t="shared" si="2"/>
        <v>6.4108333333333336</v>
      </c>
      <c r="H18" s="180">
        <f t="shared" si="3"/>
        <v>1.9752551020408164</v>
      </c>
      <c r="I18" s="173">
        <f>+J18*25.4</f>
        <v>982.98</v>
      </c>
      <c r="J18" s="174">
        <v>38.700000000000003</v>
      </c>
      <c r="K18" s="176">
        <f>+J18/12</f>
        <v>3.2250000000000001</v>
      </c>
      <c r="L18" s="92">
        <f t="shared" si="4"/>
        <v>20.674937500000002</v>
      </c>
      <c r="M18" s="173">
        <f>+N18*25.4</f>
        <v>39.878</v>
      </c>
      <c r="N18" s="174">
        <v>1.57</v>
      </c>
      <c r="O18" s="181">
        <f t="shared" si="5"/>
        <v>15.350137562750524</v>
      </c>
      <c r="P18" s="94">
        <v>72</v>
      </c>
      <c r="Q18" s="94">
        <v>36</v>
      </c>
      <c r="R18" s="94">
        <v>44.5</v>
      </c>
      <c r="S18" s="93">
        <v>8.19</v>
      </c>
      <c r="T18" s="93">
        <v>8.76</v>
      </c>
      <c r="U18" s="178">
        <f>5183.28/24</f>
        <v>215.97</v>
      </c>
      <c r="V18" s="179">
        <f t="shared" si="9"/>
        <v>0.7324989824989826</v>
      </c>
      <c r="W18" s="306" t="s">
        <v>673</v>
      </c>
      <c r="X18" s="93">
        <f t="shared" si="8"/>
        <v>153.50137562750524</v>
      </c>
      <c r="Y18" s="180">
        <f t="shared" si="6"/>
        <v>0.71075323252074474</v>
      </c>
      <c r="Z18" s="678">
        <v>50.7</v>
      </c>
      <c r="AA18" s="691"/>
      <c r="AB18" s="677">
        <f ca="1">SystemPower*1000/PV!D18</f>
        <v>67.79661016949153</v>
      </c>
      <c r="AC18" s="288" t="s">
        <v>179</v>
      </c>
      <c r="AD18" s="22"/>
      <c r="AE18" s="22"/>
      <c r="AF18" s="22"/>
      <c r="AG18" s="22"/>
      <c r="AH18" s="22"/>
      <c r="AI18" s="22"/>
    </row>
    <row r="19" spans="1:35" s="27" customFormat="1" ht="10.199999999999999" customHeight="1">
      <c r="A19" s="22" t="s">
        <v>175</v>
      </c>
      <c r="C19" s="27" t="s">
        <v>63</v>
      </c>
      <c r="D19" s="94">
        <v>158</v>
      </c>
      <c r="E19" s="173">
        <v>1480</v>
      </c>
      <c r="F19" s="174">
        <f>+E19/25.4</f>
        <v>58.267716535433074</v>
      </c>
      <c r="G19" s="176">
        <f t="shared" si="2"/>
        <v>4.8556430446194225</v>
      </c>
      <c r="H19" s="180">
        <f t="shared" si="3"/>
        <v>2.1705685618729098</v>
      </c>
      <c r="I19" s="173">
        <v>675</v>
      </c>
      <c r="J19" s="174">
        <f>+I19/25.4</f>
        <v>26.5748031496063</v>
      </c>
      <c r="K19" s="176">
        <f>+I19/25.4/12</f>
        <v>2.2145669291338583</v>
      </c>
      <c r="L19" s="92">
        <f t="shared" si="4"/>
        <v>10.753146506293012</v>
      </c>
      <c r="M19" s="173">
        <v>35</v>
      </c>
      <c r="N19" s="174">
        <f>+M19/25.4</f>
        <v>1.3779527559055118</v>
      </c>
      <c r="O19" s="181">
        <f t="shared" si="5"/>
        <v>16.024324324324322</v>
      </c>
      <c r="P19" s="94">
        <v>36</v>
      </c>
      <c r="Q19" s="94">
        <v>18.899999999999999</v>
      </c>
      <c r="R19" s="94">
        <v>22.7</v>
      </c>
      <c r="S19" s="93">
        <v>8.4700000000000006</v>
      </c>
      <c r="T19" s="93">
        <v>8.76</v>
      </c>
      <c r="U19" s="178">
        <v>134</v>
      </c>
      <c r="V19" s="179">
        <f t="shared" si="9"/>
        <v>0.83706577213070721</v>
      </c>
      <c r="W19" s="306"/>
      <c r="X19" s="93">
        <f t="shared" si="8"/>
        <v>160.24324324324323</v>
      </c>
      <c r="Y19" s="180">
        <f t="shared" si="6"/>
        <v>1.1958450988301734</v>
      </c>
      <c r="Z19" s="678">
        <v>26.46</v>
      </c>
      <c r="AA19" s="691"/>
      <c r="AB19" s="677">
        <f ca="1">SystemPower*1000/PV!D19</f>
        <v>126.58227848101266</v>
      </c>
      <c r="AC19" s="27" t="s">
        <v>29</v>
      </c>
      <c r="AD19" s="96" t="s">
        <v>598</v>
      </c>
      <c r="AE19" s="22" t="s">
        <v>599</v>
      </c>
      <c r="AF19" s="22"/>
      <c r="AG19" s="22"/>
      <c r="AH19" s="22"/>
      <c r="AI19" s="22"/>
    </row>
    <row r="20" spans="1:35" s="27" customFormat="1" ht="10.199999999999999" customHeight="1">
      <c r="A20" s="22" t="s">
        <v>31</v>
      </c>
      <c r="B20" s="396"/>
      <c r="C20" s="27" t="s">
        <v>32</v>
      </c>
      <c r="D20" s="94">
        <v>285</v>
      </c>
      <c r="E20" s="173">
        <f>+F20*25.4</f>
        <v>1956.0540000000001</v>
      </c>
      <c r="F20" s="174">
        <v>77.010000000000005</v>
      </c>
      <c r="G20" s="176">
        <f t="shared" si="2"/>
        <v>6.4175000000000004</v>
      </c>
      <c r="H20" s="180">
        <f t="shared" si="3"/>
        <v>1.9593023255813953</v>
      </c>
      <c r="I20" s="173">
        <f>+J20*25.4</f>
        <v>992.12400000000002</v>
      </c>
      <c r="J20" s="174">
        <v>39.06</v>
      </c>
      <c r="K20" s="176">
        <f t="shared" ref="K20:K28" si="19">+MAX(I20/25.4/12,J20/12)</f>
        <v>3.2550000000000003</v>
      </c>
      <c r="L20" s="92">
        <f t="shared" si="4"/>
        <v>20.888962500000005</v>
      </c>
      <c r="M20" s="173">
        <f>+N20*25.4</f>
        <v>50.037999999999997</v>
      </c>
      <c r="N20" s="174">
        <v>1.97</v>
      </c>
      <c r="O20" s="181">
        <f t="shared" si="5"/>
        <v>14.686186395888594</v>
      </c>
      <c r="P20" s="94">
        <v>72</v>
      </c>
      <c r="Q20" s="94">
        <v>35.76</v>
      </c>
      <c r="R20" s="94">
        <v>44.49</v>
      </c>
      <c r="S20" s="93">
        <v>7.97</v>
      </c>
      <c r="T20" s="93">
        <v>8.4499999999999993</v>
      </c>
      <c r="U20" s="178">
        <v>239</v>
      </c>
      <c r="V20" s="179">
        <f t="shared" si="9"/>
        <v>0.83857530616770393</v>
      </c>
      <c r="W20" s="306"/>
      <c r="X20" s="93">
        <f t="shared" si="8"/>
        <v>146.86186395888595</v>
      </c>
      <c r="Y20" s="180">
        <f t="shared" si="6"/>
        <v>0.61448478643885329</v>
      </c>
      <c r="Z20" s="678"/>
      <c r="AA20" s="691"/>
      <c r="AB20" s="677">
        <f ca="1">SystemPower*1000/PV!D20</f>
        <v>70.175438596491233</v>
      </c>
      <c r="AC20" s="95" t="s">
        <v>73</v>
      </c>
      <c r="AD20" s="91"/>
      <c r="AE20" s="22"/>
      <c r="AF20" s="22"/>
      <c r="AG20" s="22"/>
      <c r="AH20" s="22"/>
      <c r="AI20" s="22"/>
    </row>
    <row r="21" spans="1:35" s="27" customFormat="1" ht="10.199999999999999" customHeight="1">
      <c r="A21" s="22" t="s">
        <v>27</v>
      </c>
      <c r="C21" s="27" t="s">
        <v>168</v>
      </c>
      <c r="D21" s="94">
        <v>265</v>
      </c>
      <c r="E21" s="173">
        <f>+F21*25.4</f>
        <v>1639.8240000000001</v>
      </c>
      <c r="F21" s="174">
        <v>64.56</v>
      </c>
      <c r="G21" s="176">
        <f t="shared" si="2"/>
        <v>5.38</v>
      </c>
      <c r="H21" s="180">
        <f t="shared" si="3"/>
        <v>1.607213438735178</v>
      </c>
      <c r="I21" s="173">
        <f>+J21*25.4</f>
        <v>1015.4919999999998</v>
      </c>
      <c r="J21" s="174">
        <v>39.979999999999997</v>
      </c>
      <c r="K21" s="176">
        <f t="shared" si="19"/>
        <v>3.3316666666666666</v>
      </c>
      <c r="L21" s="92">
        <f t="shared" si="4"/>
        <v>17.924366666666664</v>
      </c>
      <c r="M21" s="173">
        <f>+N21*25.4</f>
        <v>35.051999999999992</v>
      </c>
      <c r="N21" s="174">
        <v>1.38</v>
      </c>
      <c r="O21" s="181">
        <f t="shared" si="5"/>
        <v>15.865393547383125</v>
      </c>
      <c r="P21" s="94">
        <v>60</v>
      </c>
      <c r="Q21" s="94">
        <v>30.9</v>
      </c>
      <c r="R21" s="94">
        <v>38.200000000000003</v>
      </c>
      <c r="S21" s="93">
        <v>8.5500000000000007</v>
      </c>
      <c r="T21" s="93">
        <v>8.98</v>
      </c>
      <c r="U21" s="178">
        <v>225.25</v>
      </c>
      <c r="V21" s="179">
        <f t="shared" si="9"/>
        <v>0.85258994303450109</v>
      </c>
      <c r="W21" s="306" t="s">
        <v>674</v>
      </c>
      <c r="X21" s="93">
        <f t="shared" si="8"/>
        <v>158.65393547383124</v>
      </c>
      <c r="Y21" s="180">
        <f t="shared" si="6"/>
        <v>0.70434599544431187</v>
      </c>
      <c r="Z21" s="678">
        <v>40.340000000000003</v>
      </c>
      <c r="AA21" s="691"/>
      <c r="AB21" s="677">
        <f ca="1">SystemPower*1000/PV!D21</f>
        <v>75.471698113207552</v>
      </c>
      <c r="AC21" s="95" t="s">
        <v>73</v>
      </c>
      <c r="AD21" s="91"/>
      <c r="AE21" s="22"/>
      <c r="AF21" s="22"/>
      <c r="AG21" s="22"/>
      <c r="AH21" s="22"/>
      <c r="AI21" s="22"/>
    </row>
    <row r="22" spans="1:35" s="27" customFormat="1" ht="10.199999999999999" customHeight="1">
      <c r="A22" s="22" t="s">
        <v>182</v>
      </c>
      <c r="B22" s="396"/>
      <c r="C22" s="27" t="s">
        <v>28</v>
      </c>
      <c r="D22" s="94">
        <v>265</v>
      </c>
      <c r="E22" s="173">
        <f>+F22*25.4</f>
        <v>1639.8240000000001</v>
      </c>
      <c r="F22" s="174">
        <v>64.56</v>
      </c>
      <c r="G22" s="176">
        <f t="shared" si="2"/>
        <v>5.38</v>
      </c>
      <c r="H22" s="180">
        <f t="shared" si="3"/>
        <v>1.607213438735178</v>
      </c>
      <c r="I22" s="173">
        <f>+J22*25.4</f>
        <v>1015.4919999999998</v>
      </c>
      <c r="J22" s="174">
        <v>39.979999999999997</v>
      </c>
      <c r="K22" s="176">
        <f t="shared" si="19"/>
        <v>3.3316666666666666</v>
      </c>
      <c r="L22" s="92">
        <f t="shared" si="4"/>
        <v>17.924366666666664</v>
      </c>
      <c r="M22" s="173">
        <f>+N22*25.4</f>
        <v>35.051999999999992</v>
      </c>
      <c r="N22" s="174">
        <v>1.38</v>
      </c>
      <c r="O22" s="181">
        <f t="shared" si="5"/>
        <v>15.865393547383125</v>
      </c>
      <c r="P22" s="94">
        <v>60</v>
      </c>
      <c r="Q22" s="94">
        <v>30.9</v>
      </c>
      <c r="R22" s="94">
        <v>38.200000000000003</v>
      </c>
      <c r="S22" s="93">
        <v>8.5500000000000007</v>
      </c>
      <c r="T22" s="93">
        <v>8.98</v>
      </c>
      <c r="U22" s="178">
        <v>225.25</v>
      </c>
      <c r="V22" s="179">
        <f t="shared" si="9"/>
        <v>0.85258994303450109</v>
      </c>
      <c r="W22" s="306"/>
      <c r="X22" s="93">
        <f t="shared" si="8"/>
        <v>158.65393547383124</v>
      </c>
      <c r="Y22" s="180">
        <f t="shared" si="6"/>
        <v>0.70434599544431187</v>
      </c>
      <c r="Z22" s="678">
        <v>40.340000000000003</v>
      </c>
      <c r="AA22" s="691"/>
      <c r="AB22" s="677">
        <f ca="1">SystemPower*1000/PV!D22</f>
        <v>75.471698113207552</v>
      </c>
      <c r="AC22" s="95" t="s">
        <v>73</v>
      </c>
      <c r="AD22" s="91"/>
      <c r="AE22" s="22"/>
      <c r="AF22" s="22"/>
      <c r="AG22" s="22"/>
      <c r="AH22" s="22"/>
      <c r="AI22" s="22"/>
    </row>
    <row r="23" spans="1:35" s="27" customFormat="1" ht="10.199999999999999" customHeight="1">
      <c r="A23" s="22" t="s">
        <v>326</v>
      </c>
      <c r="C23" s="27" t="s">
        <v>325</v>
      </c>
      <c r="D23" s="94">
        <v>320</v>
      </c>
      <c r="E23" s="173">
        <v>1956</v>
      </c>
      <c r="F23" s="174">
        <f>+E23/25.4</f>
        <v>77.00787401574803</v>
      </c>
      <c r="G23" s="176">
        <f t="shared" si="2"/>
        <v>6.4173228346456694</v>
      </c>
      <c r="H23" s="180">
        <f t="shared" si="3"/>
        <v>2.0621137530114169</v>
      </c>
      <c r="I23" s="173">
        <v>942</v>
      </c>
      <c r="J23" s="174">
        <f>+I23/25.4</f>
        <v>37.086614173228348</v>
      </c>
      <c r="K23" s="176">
        <f t="shared" si="19"/>
        <v>3.0905511811023625</v>
      </c>
      <c r="L23" s="92">
        <f t="shared" si="4"/>
        <v>19.833064666129335</v>
      </c>
      <c r="M23" s="173">
        <v>40</v>
      </c>
      <c r="N23" s="174">
        <f>+M23/25.4</f>
        <v>1.5748031496062993</v>
      </c>
      <c r="O23" s="181">
        <f t="shared" si="5"/>
        <v>17.375032020805925</v>
      </c>
      <c r="P23" s="94">
        <v>72</v>
      </c>
      <c r="Q23" s="94">
        <v>37.4</v>
      </c>
      <c r="R23" s="94">
        <v>46.4</v>
      </c>
      <c r="S23" s="93">
        <v>8.56</v>
      </c>
      <c r="T23" s="93">
        <v>9.0500000000000007</v>
      </c>
      <c r="U23" s="178">
        <v>275</v>
      </c>
      <c r="V23" s="179">
        <f t="shared" si="9"/>
        <v>0.8589884551951622</v>
      </c>
      <c r="W23" s="306" t="s">
        <v>674</v>
      </c>
      <c r="X23" s="93">
        <f t="shared" si="8"/>
        <v>173.75032020805926</v>
      </c>
      <c r="Y23" s="180">
        <f t="shared" si="6"/>
        <v>0.63181934621112457</v>
      </c>
      <c r="Z23" s="678">
        <v>58.4</v>
      </c>
      <c r="AA23" s="691"/>
      <c r="AB23" s="677">
        <f ca="1">SystemPower*1000/PV!D23</f>
        <v>62.5</v>
      </c>
      <c r="AC23" s="288" t="s">
        <v>327</v>
      </c>
      <c r="AD23" s="91" t="s">
        <v>324</v>
      </c>
      <c r="AE23" s="22"/>
      <c r="AF23" s="22"/>
      <c r="AG23" s="22"/>
      <c r="AH23" s="22"/>
      <c r="AI23" s="22"/>
    </row>
    <row r="24" spans="1:35" s="27" customFormat="1" ht="10.199999999999999" customHeight="1">
      <c r="A24" s="22" t="s">
        <v>19</v>
      </c>
      <c r="B24" s="396"/>
      <c r="C24" s="27" t="s">
        <v>20</v>
      </c>
      <c r="D24" s="94">
        <v>260</v>
      </c>
      <c r="E24" s="173">
        <v>1670</v>
      </c>
      <c r="F24" s="174">
        <f>+E24/25.4</f>
        <v>65.748031496062993</v>
      </c>
      <c r="G24" s="176">
        <f t="shared" si="2"/>
        <v>5.4790026246719163</v>
      </c>
      <c r="H24" s="180">
        <f t="shared" si="3"/>
        <v>1.6615977090944998</v>
      </c>
      <c r="I24" s="173">
        <v>1000</v>
      </c>
      <c r="J24" s="174">
        <f>+I24/25.4</f>
        <v>39.370078740157481</v>
      </c>
      <c r="K24" s="176">
        <f t="shared" si="19"/>
        <v>3.2808398950131235</v>
      </c>
      <c r="L24" s="92">
        <f t="shared" si="4"/>
        <v>17.975730395905238</v>
      </c>
      <c r="M24" s="173">
        <v>35</v>
      </c>
      <c r="N24" s="174">
        <f>+M24/25.4</f>
        <v>1.3779527559055118</v>
      </c>
      <c r="O24" s="181">
        <f t="shared" si="5"/>
        <v>15.721760479041919</v>
      </c>
      <c r="P24" s="94">
        <v>60</v>
      </c>
      <c r="Q24" s="94">
        <v>30.78</v>
      </c>
      <c r="R24" s="94">
        <v>38.18</v>
      </c>
      <c r="S24" s="93">
        <v>8.5299999999999994</v>
      </c>
      <c r="T24" s="93">
        <v>9.09</v>
      </c>
      <c r="U24" s="178">
        <v>242</v>
      </c>
      <c r="V24" s="179">
        <f t="shared" si="9"/>
        <v>0.92171725827964901</v>
      </c>
      <c r="W24" s="306"/>
      <c r="X24" s="93">
        <f t="shared" si="8"/>
        <v>157.21760479041919</v>
      </c>
      <c r="Y24" s="180">
        <f t="shared" si="6"/>
        <v>0.64965952392735205</v>
      </c>
      <c r="Z24" s="678"/>
      <c r="AA24" s="691"/>
      <c r="AB24" s="677">
        <f ca="1">SystemPower*1000/PV!D24</f>
        <v>76.92307692307692</v>
      </c>
      <c r="AC24" s="95" t="s">
        <v>23</v>
      </c>
      <c r="AD24" s="22"/>
      <c r="AE24" s="22"/>
      <c r="AF24" s="22"/>
      <c r="AG24" s="22"/>
      <c r="AH24" s="22"/>
      <c r="AI24" s="22"/>
    </row>
    <row r="25" spans="1:35" s="27" customFormat="1" ht="10.199999999999999" customHeight="1">
      <c r="A25" s="22" t="s">
        <v>17</v>
      </c>
      <c r="C25" s="27" t="s">
        <v>38</v>
      </c>
      <c r="D25" s="94">
        <v>255</v>
      </c>
      <c r="E25" s="173">
        <v>1650</v>
      </c>
      <c r="F25" s="174">
        <v>65</v>
      </c>
      <c r="G25" s="176">
        <f t="shared" si="2"/>
        <v>5.416666666666667</v>
      </c>
      <c r="H25" s="180">
        <f t="shared" si="3"/>
        <v>1.6582278481012658</v>
      </c>
      <c r="I25" s="173">
        <v>991</v>
      </c>
      <c r="J25" s="174">
        <v>39</v>
      </c>
      <c r="K25" s="176">
        <f t="shared" si="19"/>
        <v>3.2513123359580054</v>
      </c>
      <c r="L25" s="92">
        <f t="shared" si="4"/>
        <v>17.611275153105865</v>
      </c>
      <c r="M25" s="173">
        <v>40</v>
      </c>
      <c r="N25" s="174">
        <f>+M25/25.4</f>
        <v>1.5748031496062993</v>
      </c>
      <c r="O25" s="181">
        <f t="shared" si="5"/>
        <v>15.596367305751766</v>
      </c>
      <c r="P25" s="94">
        <v>60</v>
      </c>
      <c r="Q25" s="94">
        <v>30.36</v>
      </c>
      <c r="R25" s="94">
        <v>37.619999999999997</v>
      </c>
      <c r="S25" s="93">
        <v>8.4</v>
      </c>
      <c r="T25" s="93">
        <v>8.8800000000000008</v>
      </c>
      <c r="U25" s="178">
        <v>242</v>
      </c>
      <c r="V25" s="179">
        <f t="shared" si="9"/>
        <v>0.94893029675638374</v>
      </c>
      <c r="W25" s="306"/>
      <c r="X25" s="93">
        <f t="shared" si="8"/>
        <v>155.96367305751767</v>
      </c>
      <c r="Y25" s="180">
        <f t="shared" si="6"/>
        <v>0.64447798784098209</v>
      </c>
      <c r="Z25" s="678"/>
      <c r="AA25" s="691"/>
      <c r="AB25" s="677">
        <f ca="1">SystemPower*1000/PV!D25</f>
        <v>78.431372549019613</v>
      </c>
      <c r="AC25" s="95" t="s">
        <v>23</v>
      </c>
      <c r="AD25" s="22"/>
      <c r="AE25" s="22"/>
      <c r="AF25" s="22"/>
      <c r="AG25" s="22"/>
      <c r="AH25" s="22"/>
      <c r="AI25" s="22"/>
    </row>
    <row r="26" spans="1:35" s="27" customFormat="1" ht="10.199999999999999" customHeight="1">
      <c r="A26" s="22" t="s">
        <v>64</v>
      </c>
      <c r="B26" s="396"/>
      <c r="C26" s="27" t="s">
        <v>30</v>
      </c>
      <c r="D26" s="94">
        <v>270</v>
      </c>
      <c r="E26" s="173">
        <f>+F26*25.4</f>
        <v>1644.904</v>
      </c>
      <c r="F26" s="174">
        <v>64.760000000000005</v>
      </c>
      <c r="G26" s="176">
        <f t="shared" si="2"/>
        <v>5.3966666666666674</v>
      </c>
      <c r="H26" s="180">
        <f t="shared" si="3"/>
        <v>1.6647959183673469</v>
      </c>
      <c r="I26" s="173">
        <f>+J26*25.4</f>
        <v>982.98</v>
      </c>
      <c r="J26" s="174">
        <v>38.700000000000003</v>
      </c>
      <c r="K26" s="176">
        <f t="shared" si="19"/>
        <v>3.2250000000000001</v>
      </c>
      <c r="L26" s="92">
        <f t="shared" si="4"/>
        <v>17.404250000000001</v>
      </c>
      <c r="M26" s="173">
        <f>+N26*25.4</f>
        <v>35.051999999999992</v>
      </c>
      <c r="N26" s="174">
        <v>1.38</v>
      </c>
      <c r="O26" s="181">
        <f t="shared" si="5"/>
        <v>15.730025570685038</v>
      </c>
      <c r="P26" s="94">
        <v>60</v>
      </c>
      <c r="Q26" s="94">
        <v>31.4</v>
      </c>
      <c r="R26" s="94">
        <v>38.200000000000003</v>
      </c>
      <c r="S26" s="93">
        <v>8.1</v>
      </c>
      <c r="T26" s="93">
        <v>8.6</v>
      </c>
      <c r="U26" s="178">
        <v>243</v>
      </c>
      <c r="V26" s="179">
        <f t="shared" si="9"/>
        <v>0.95541401273885362</v>
      </c>
      <c r="W26" s="306"/>
      <c r="X26" s="93">
        <f t="shared" si="8"/>
        <v>157.30025570685038</v>
      </c>
      <c r="Y26" s="180">
        <f t="shared" si="6"/>
        <v>0.6473261551722238</v>
      </c>
      <c r="Z26" s="678"/>
      <c r="AA26" s="691"/>
      <c r="AB26" s="677">
        <f ca="1">SystemPower*1000/PV!D26</f>
        <v>74.074074074074076</v>
      </c>
      <c r="AC26" s="288" t="s">
        <v>29</v>
      </c>
      <c r="AD26" s="22"/>
      <c r="AE26" s="22"/>
      <c r="AF26" s="22"/>
      <c r="AG26" s="22"/>
      <c r="AH26" s="22"/>
      <c r="AI26" s="22"/>
    </row>
    <row r="27" spans="1:35" s="27" customFormat="1" ht="10.199999999999999" customHeight="1">
      <c r="A27" s="22" t="s">
        <v>21</v>
      </c>
      <c r="B27" s="396"/>
      <c r="C27" s="27" t="s">
        <v>39</v>
      </c>
      <c r="D27" s="94">
        <v>255</v>
      </c>
      <c r="E27" s="173">
        <v>1675</v>
      </c>
      <c r="F27" s="174">
        <v>65.94</v>
      </c>
      <c r="G27" s="176">
        <f t="shared" si="2"/>
        <v>5.4950000000000001</v>
      </c>
      <c r="H27" s="180">
        <f t="shared" si="3"/>
        <v>1.7511860832894044</v>
      </c>
      <c r="I27" s="173">
        <v>951</v>
      </c>
      <c r="J27" s="174">
        <v>37.44</v>
      </c>
      <c r="K27" s="176">
        <f t="shared" si="19"/>
        <v>3.1200787401574801</v>
      </c>
      <c r="L27" s="92">
        <f t="shared" si="4"/>
        <v>17.144832677165354</v>
      </c>
      <c r="M27" s="173">
        <v>31</v>
      </c>
      <c r="N27" s="174">
        <v>1.22</v>
      </c>
      <c r="O27" s="181">
        <f t="shared" si="5"/>
        <v>16.193982767550263</v>
      </c>
      <c r="P27" s="94">
        <v>60</v>
      </c>
      <c r="Q27" s="94">
        <v>30.6</v>
      </c>
      <c r="R27" s="94">
        <v>38.700000000000003</v>
      </c>
      <c r="S27" s="93">
        <v>8.43</v>
      </c>
      <c r="T27" s="93">
        <v>9.0500000000000007</v>
      </c>
      <c r="U27" s="178">
        <v>260</v>
      </c>
      <c r="V27" s="179">
        <f t="shared" si="9"/>
        <v>1.0079160173361554</v>
      </c>
      <c r="W27" s="306"/>
      <c r="X27" s="93">
        <f t="shared" si="8"/>
        <v>161.93982767550264</v>
      </c>
      <c r="Y27" s="180">
        <f t="shared" si="6"/>
        <v>0.6228454910596255</v>
      </c>
      <c r="Z27" s="678"/>
      <c r="AA27" s="691"/>
      <c r="AB27" s="677">
        <f ca="1">SystemPower*1000/PV!D27</f>
        <v>78.431372549019613</v>
      </c>
      <c r="AC27" s="95" t="s">
        <v>23</v>
      </c>
      <c r="AD27" s="22"/>
      <c r="AE27" s="22"/>
      <c r="AF27" s="22"/>
      <c r="AG27" s="22"/>
      <c r="AH27" s="22"/>
      <c r="AI27" s="22"/>
    </row>
    <row r="28" spans="1:35" s="27" customFormat="1" ht="10.199999999999999" customHeight="1">
      <c r="A28" s="22" t="s">
        <v>18</v>
      </c>
      <c r="B28" s="396"/>
      <c r="C28" s="27" t="s">
        <v>40</v>
      </c>
      <c r="D28" s="94">
        <v>250</v>
      </c>
      <c r="E28" s="173">
        <v>1675</v>
      </c>
      <c r="F28" s="174">
        <v>65.94</v>
      </c>
      <c r="G28" s="176">
        <f t="shared" si="2"/>
        <v>5.4950000000000001</v>
      </c>
      <c r="H28" s="180">
        <f t="shared" si="3"/>
        <v>1.7511860832894044</v>
      </c>
      <c r="I28" s="173">
        <v>951</v>
      </c>
      <c r="J28" s="174">
        <v>37.44</v>
      </c>
      <c r="K28" s="176">
        <f t="shared" si="19"/>
        <v>3.1200787401574801</v>
      </c>
      <c r="L28" s="92">
        <f t="shared" si="4"/>
        <v>17.144832677165354</v>
      </c>
      <c r="M28" s="173">
        <v>31</v>
      </c>
      <c r="N28" s="174">
        <v>1.22</v>
      </c>
      <c r="O28" s="181">
        <f t="shared" si="5"/>
        <v>16.042374876406608</v>
      </c>
      <c r="P28" s="94">
        <v>60</v>
      </c>
      <c r="Q28" s="94">
        <v>30.9</v>
      </c>
      <c r="R28" s="94">
        <v>38</v>
      </c>
      <c r="S28" s="93">
        <v>8.27</v>
      </c>
      <c r="T28" s="93">
        <v>8.81</v>
      </c>
      <c r="U28" s="178">
        <v>260</v>
      </c>
      <c r="V28" s="179">
        <f t="shared" si="9"/>
        <v>1.0174412916808522</v>
      </c>
      <c r="W28" s="306"/>
      <c r="X28" s="93">
        <f t="shared" si="8"/>
        <v>160.42374876406609</v>
      </c>
      <c r="Y28" s="180">
        <f t="shared" si="6"/>
        <v>0.61701441832333115</v>
      </c>
      <c r="Z28" s="678"/>
      <c r="AA28" s="691"/>
      <c r="AB28" s="677">
        <f ca="1">SystemPower*1000/PV!D28</f>
        <v>80</v>
      </c>
      <c r="AC28" s="95" t="s">
        <v>23</v>
      </c>
      <c r="AD28" s="22"/>
      <c r="AE28" s="22"/>
      <c r="AF28" s="22"/>
      <c r="AG28" s="22"/>
      <c r="AH28" s="22"/>
      <c r="AI28" s="22"/>
    </row>
    <row r="29" spans="1:35" s="27" customFormat="1" ht="10.199999999999999" customHeight="1">
      <c r="A29" s="22" t="s">
        <v>66</v>
      </c>
      <c r="B29" s="396"/>
      <c r="C29" s="27" t="s">
        <v>67</v>
      </c>
      <c r="D29" s="94">
        <v>120</v>
      </c>
      <c r="E29" s="173">
        <v>1200</v>
      </c>
      <c r="F29" s="174">
        <f>+E29/25.4</f>
        <v>47.244094488188978</v>
      </c>
      <c r="G29" s="176">
        <f t="shared" si="2"/>
        <v>3.9370078740157481</v>
      </c>
      <c r="H29" s="180">
        <f t="shared" si="3"/>
        <v>2.1941378686448343</v>
      </c>
      <c r="I29" s="173">
        <v>540</v>
      </c>
      <c r="J29" s="174">
        <f>+I29/25.4</f>
        <v>21.259842519685041</v>
      </c>
      <c r="K29" s="176">
        <f>+I29/25.4/12</f>
        <v>1.7716535433070868</v>
      </c>
      <c r="L29" s="92">
        <f t="shared" si="4"/>
        <v>6.9750139500279014</v>
      </c>
      <c r="M29" s="173">
        <v>35</v>
      </c>
      <c r="N29" s="174">
        <f>+M29/25.4</f>
        <v>1.3779527559055118</v>
      </c>
      <c r="O29" s="181">
        <f t="shared" si="5"/>
        <v>18.506944444444443</v>
      </c>
      <c r="P29" s="94">
        <v>36</v>
      </c>
      <c r="Q29" s="94">
        <v>20.5</v>
      </c>
      <c r="R29" s="94">
        <v>25.8</v>
      </c>
      <c r="S29" s="93">
        <v>5.85</v>
      </c>
      <c r="T29" s="93">
        <v>6.21</v>
      </c>
      <c r="U29" s="178">
        <v>156.87590166196051</v>
      </c>
      <c r="V29" s="179">
        <f t="shared" si="9"/>
        <v>1.3081167534872671</v>
      </c>
      <c r="W29" s="306"/>
      <c r="X29" s="93">
        <f t="shared" si="8"/>
        <v>185.06944444444443</v>
      </c>
      <c r="Y29" s="180">
        <f t="shared" si="6"/>
        <v>1.1797187616695646</v>
      </c>
      <c r="Z29" s="678"/>
      <c r="AA29" s="691"/>
      <c r="AB29" s="677">
        <f ca="1">SystemPower*1000/PV!D29</f>
        <v>166.66666666666666</v>
      </c>
      <c r="AC29" s="372" t="s">
        <v>68</v>
      </c>
      <c r="AD29" s="22"/>
      <c r="AE29" s="22"/>
      <c r="AF29" s="22"/>
      <c r="AG29" s="22"/>
      <c r="AH29" s="22"/>
      <c r="AI29" s="22"/>
    </row>
    <row r="30" spans="1:35" s="27" customFormat="1" ht="10.199999999999999" customHeight="1">
      <c r="A30" s="22" t="s">
        <v>590</v>
      </c>
      <c r="C30" s="27" t="s">
        <v>594</v>
      </c>
      <c r="D30" s="94">
        <v>280</v>
      </c>
      <c r="E30" s="173">
        <f>F30*25.4</f>
        <v>1648.2059999999999</v>
      </c>
      <c r="F30" s="174">
        <v>64.89</v>
      </c>
      <c r="G30" s="176">
        <f t="shared" si="2"/>
        <v>5.4074999999999998</v>
      </c>
      <c r="H30" s="180">
        <f t="shared" si="3"/>
        <v>1.6500126167045166</v>
      </c>
      <c r="I30" s="173">
        <f>J30*25.4</f>
        <v>993.90200000000004</v>
      </c>
      <c r="J30" s="174">
        <v>39.130000000000003</v>
      </c>
      <c r="K30" s="176">
        <f>+I30/25.4/12</f>
        <v>3.2608333333333337</v>
      </c>
      <c r="L30" s="92">
        <f t="shared" ref="L30:L31" si="20">+G30*K30</f>
        <v>17.632956249999999</v>
      </c>
      <c r="M30" s="173">
        <f>N30*25.4</f>
        <v>50.8</v>
      </c>
      <c r="N30" s="174">
        <v>2</v>
      </c>
      <c r="O30" s="181">
        <f t="shared" si="5"/>
        <v>16.956878887246297</v>
      </c>
      <c r="P30" s="94">
        <v>60</v>
      </c>
      <c r="Q30" s="94">
        <v>32.299999999999997</v>
      </c>
      <c r="R30" s="94">
        <v>39.200000000000003</v>
      </c>
      <c r="S30" s="93">
        <v>8.6</v>
      </c>
      <c r="T30" s="93">
        <v>9.3000000000000007</v>
      </c>
      <c r="U30" s="178">
        <v>547</v>
      </c>
      <c r="V30" s="179">
        <f t="shared" si="9"/>
        <v>1.9691842465260281</v>
      </c>
      <c r="W30" s="306" t="s">
        <v>675</v>
      </c>
      <c r="X30" s="93">
        <f t="shared" si="8"/>
        <v>169.56878887246296</v>
      </c>
      <c r="Y30" s="180">
        <f t="shared" si="6"/>
        <v>0.30999778587287563</v>
      </c>
      <c r="Z30" s="678">
        <v>45</v>
      </c>
      <c r="AA30" s="691"/>
      <c r="AB30" s="677">
        <f ca="1">SystemPower*1000/PV!D30</f>
        <v>71.428571428571431</v>
      </c>
      <c r="AC30" s="372" t="s">
        <v>593</v>
      </c>
      <c r="AD30" s="22" t="s">
        <v>592</v>
      </c>
      <c r="AE30" s="22" t="s">
        <v>591</v>
      </c>
      <c r="AF30" s="22"/>
      <c r="AG30" s="22"/>
      <c r="AH30" s="22"/>
      <c r="AI30" s="22"/>
    </row>
    <row r="31" spans="1:35" s="27" customFormat="1" ht="10.199999999999999" customHeight="1">
      <c r="A31" s="22" t="s">
        <v>611</v>
      </c>
      <c r="C31" s="27" t="s">
        <v>608</v>
      </c>
      <c r="D31" s="94">
        <v>280</v>
      </c>
      <c r="E31" s="173">
        <v>1675</v>
      </c>
      <c r="F31" s="174">
        <f>+E31/25.4</f>
        <v>65.944881889763778</v>
      </c>
      <c r="G31" s="176">
        <f t="shared" ref="G31" si="21">+F31/12</f>
        <v>5.4954068241469818</v>
      </c>
      <c r="H31" s="180">
        <f t="shared" ref="H31" si="22">+(F31+BoltSpacing)/(J31+BoltSpacing)</f>
        <v>1.6648909933905494</v>
      </c>
      <c r="I31" s="173">
        <v>1001</v>
      </c>
      <c r="J31" s="174">
        <f>+I31/25.4</f>
        <v>39.409448818897637</v>
      </c>
      <c r="K31" s="176">
        <f>+I31/25.4/12</f>
        <v>3.2841207349081363</v>
      </c>
      <c r="L31" s="92">
        <f t="shared" si="20"/>
        <v>18.047579497936773</v>
      </c>
      <c r="M31" s="173">
        <v>29</v>
      </c>
      <c r="N31" s="174">
        <f>+M31/25.4</f>
        <v>1.1417322834645669</v>
      </c>
      <c r="O31" s="181">
        <f t="shared" ref="O31:O35" si="23">+X31/10</f>
        <v>16.8776894747044</v>
      </c>
      <c r="P31" s="94">
        <v>60</v>
      </c>
      <c r="Q31" s="94">
        <v>31.2</v>
      </c>
      <c r="R31" s="94">
        <v>39.5</v>
      </c>
      <c r="S31" s="93">
        <v>9.07</v>
      </c>
      <c r="T31" s="93">
        <v>9.7100000000000009</v>
      </c>
      <c r="U31" s="178">
        <v>600</v>
      </c>
      <c r="V31" s="179">
        <f t="shared" si="9"/>
        <v>2.1202612161818339</v>
      </c>
      <c r="W31" s="306"/>
      <c r="X31" s="93">
        <f t="shared" si="8"/>
        <v>168.776894747044</v>
      </c>
      <c r="Y31" s="180">
        <f t="shared" si="6"/>
        <v>0.28129482457840665</v>
      </c>
      <c r="Z31" s="678">
        <v>49.6</v>
      </c>
      <c r="AA31" s="691"/>
      <c r="AB31" s="677">
        <f ca="1">SystemPower*1000/PV!D31</f>
        <v>71.428571428571431</v>
      </c>
      <c r="AC31" s="372" t="s">
        <v>610</v>
      </c>
      <c r="AD31" s="22" t="s">
        <v>609</v>
      </c>
      <c r="AE31" s="22"/>
      <c r="AF31" s="22"/>
      <c r="AG31" s="22"/>
      <c r="AH31" s="22"/>
      <c r="AI31" s="22"/>
    </row>
    <row r="32" spans="1:35" s="27" customFormat="1" ht="10.199999999999999" customHeight="1">
      <c r="A32" s="22" t="s">
        <v>614</v>
      </c>
      <c r="C32" s="27" t="s">
        <v>615</v>
      </c>
      <c r="D32" s="94">
        <v>440</v>
      </c>
      <c r="E32" s="173">
        <v>1966</v>
      </c>
      <c r="F32" s="174">
        <f>+E32/25.4</f>
        <v>77.401574803149614</v>
      </c>
      <c r="G32" s="176">
        <f t="shared" ref="G32" si="24">+F32/12</f>
        <v>6.4501312335958012</v>
      </c>
      <c r="H32" s="180">
        <f t="shared" ref="H32:H35" si="25">+(F32+BoltSpacing)/(J32+BoltSpacing)</f>
        <v>1.5096513313496605</v>
      </c>
      <c r="I32" s="173">
        <v>1298</v>
      </c>
      <c r="J32" s="174">
        <f>+I32/25.4</f>
        <v>51.102362204724415</v>
      </c>
      <c r="K32" s="176">
        <f>+I32/25.4/12</f>
        <v>4.2585301837270348</v>
      </c>
      <c r="L32" s="92">
        <f t="shared" ref="L32:L35" si="26">+G32*K32</f>
        <v>27.468078547268213</v>
      </c>
      <c r="M32" s="173"/>
      <c r="N32" s="174">
        <f>+M32/25.4</f>
        <v>0</v>
      </c>
      <c r="O32" s="181">
        <f t="shared" si="23"/>
        <v>17.340238601683161</v>
      </c>
      <c r="P32" s="94">
        <v>192</v>
      </c>
      <c r="Q32" s="94">
        <v>59</v>
      </c>
      <c r="R32" s="94"/>
      <c r="S32" s="93">
        <v>7.5</v>
      </c>
      <c r="T32" s="93"/>
      <c r="U32" s="178">
        <v>700</v>
      </c>
      <c r="V32" s="179">
        <f t="shared" si="9"/>
        <v>1.5819209039548023</v>
      </c>
      <c r="W32" s="306"/>
      <c r="X32" s="93">
        <f t="shared" si="8"/>
        <v>173.4023860168316</v>
      </c>
      <c r="Y32" s="180">
        <f t="shared" si="6"/>
        <v>0.24771769430975943</v>
      </c>
      <c r="Z32" s="678">
        <v>68</v>
      </c>
      <c r="AA32" s="691"/>
      <c r="AB32" s="677">
        <f ca="1">SystemPower*1000/PV!D32</f>
        <v>45.454545454545453</v>
      </c>
      <c r="AC32" s="372" t="s">
        <v>612</v>
      </c>
      <c r="AD32" s="22"/>
      <c r="AE32" s="22" t="s">
        <v>613</v>
      </c>
      <c r="AF32" s="22"/>
      <c r="AG32" s="22"/>
      <c r="AH32" s="22"/>
      <c r="AI32" s="22"/>
    </row>
    <row r="33" spans="1:35" s="27" customFormat="1" ht="10.199999999999999" customHeight="1">
      <c r="A33" s="22" t="s">
        <v>616</v>
      </c>
      <c r="D33" s="94"/>
      <c r="E33" s="173"/>
      <c r="F33" s="174"/>
      <c r="G33" s="176"/>
      <c r="H33" s="180"/>
      <c r="I33" s="173"/>
      <c r="J33" s="174"/>
      <c r="K33" s="176"/>
      <c r="L33" s="92"/>
      <c r="M33" s="173"/>
      <c r="N33" s="174"/>
      <c r="O33" s="181"/>
      <c r="P33" s="94"/>
      <c r="Q33" s="94"/>
      <c r="R33" s="94"/>
      <c r="S33" s="93"/>
      <c r="T33" s="93"/>
      <c r="U33" s="178"/>
      <c r="V33" s="179"/>
      <c r="W33" s="306"/>
      <c r="X33" s="93"/>
      <c r="Y33" s="180"/>
      <c r="Z33" s="678"/>
      <c r="AA33" s="691"/>
      <c r="AB33" s="677"/>
      <c r="AC33" s="372"/>
      <c r="AD33" s="22"/>
      <c r="AE33" s="22"/>
      <c r="AF33" s="22"/>
      <c r="AG33" s="22"/>
      <c r="AH33" s="22"/>
      <c r="AI33" s="22"/>
    </row>
    <row r="34" spans="1:35" s="27" customFormat="1" ht="10.199999999999999" customHeight="1">
      <c r="A34" s="22" t="s">
        <v>709</v>
      </c>
      <c r="C34" s="27" t="s">
        <v>703</v>
      </c>
      <c r="D34" s="94">
        <v>250</v>
      </c>
      <c r="E34" s="173">
        <v>1640</v>
      </c>
      <c r="F34" s="174">
        <f t="shared" ref="F34:F35" si="27">+E34/25.4</f>
        <v>64.566929133858267</v>
      </c>
      <c r="G34" s="176">
        <f t="shared" ref="G34:G35" si="28">+F34/12</f>
        <v>5.3805774278215219</v>
      </c>
      <c r="H34" s="180">
        <f t="shared" si="25"/>
        <v>1.6449686473574201</v>
      </c>
      <c r="I34" s="173">
        <v>992</v>
      </c>
      <c r="J34" s="174">
        <f t="shared" ref="J34:J35" si="29">+I34/25.4</f>
        <v>39.055118110236222</v>
      </c>
      <c r="K34" s="176">
        <f t="shared" ref="K34:K35" si="30">+I34/25.4/12</f>
        <v>3.2545931758530187</v>
      </c>
      <c r="L34" s="92">
        <f t="shared" si="26"/>
        <v>17.511590578736712</v>
      </c>
      <c r="M34" s="173">
        <v>40</v>
      </c>
      <c r="N34" s="174">
        <f t="shared" ref="N34:N35" si="31">+M34/25.4</f>
        <v>1.5748031496062993</v>
      </c>
      <c r="O34" s="181">
        <f t="shared" si="23"/>
        <v>15.357444925255706</v>
      </c>
      <c r="P34" s="94">
        <v>60</v>
      </c>
      <c r="Q34" s="94">
        <v>30.96</v>
      </c>
      <c r="R34" s="94">
        <v>37.92</v>
      </c>
      <c r="S34" s="93">
        <v>8.07</v>
      </c>
      <c r="T34" s="93">
        <v>8.6199999999999992</v>
      </c>
      <c r="U34" s="178">
        <v>100</v>
      </c>
      <c r="V34" s="179">
        <f t="shared" si="9"/>
        <v>0.40024462951756112</v>
      </c>
      <c r="W34" s="306"/>
      <c r="X34" s="93">
        <f t="shared" si="8"/>
        <v>153.57444925255706</v>
      </c>
      <c r="Y34" s="180">
        <f t="shared" si="6"/>
        <v>1.5357444925255705</v>
      </c>
      <c r="Z34" s="678">
        <f>CONVERT(18,"kg","lbm")</f>
        <v>39.683212464444047</v>
      </c>
      <c r="AA34" s="691"/>
      <c r="AB34" s="677"/>
      <c r="AC34" s="372" t="s">
        <v>706</v>
      </c>
      <c r="AD34" s="22" t="s">
        <v>705</v>
      </c>
      <c r="AE34" s="22" t="s">
        <v>704</v>
      </c>
      <c r="AF34" s="22"/>
      <c r="AG34" s="22"/>
      <c r="AH34" s="22"/>
      <c r="AI34" s="22"/>
    </row>
    <row r="35" spans="1:35" s="27" customFormat="1" ht="10.199999999999999" customHeight="1">
      <c r="A35" s="22" t="s">
        <v>710</v>
      </c>
      <c r="C35" s="27" t="s">
        <v>707</v>
      </c>
      <c r="D35" s="94">
        <v>250</v>
      </c>
      <c r="E35" s="173">
        <v>1640</v>
      </c>
      <c r="F35" s="174">
        <f t="shared" si="27"/>
        <v>64.566929133858267</v>
      </c>
      <c r="G35" s="176">
        <f t="shared" si="28"/>
        <v>5.3805774278215219</v>
      </c>
      <c r="H35" s="180">
        <f t="shared" si="25"/>
        <v>1.6449686473574201</v>
      </c>
      <c r="I35" s="173">
        <v>992</v>
      </c>
      <c r="J35" s="174">
        <f t="shared" si="29"/>
        <v>39.055118110236222</v>
      </c>
      <c r="K35" s="176">
        <f t="shared" si="30"/>
        <v>3.2545931758530187</v>
      </c>
      <c r="L35" s="92">
        <f t="shared" si="26"/>
        <v>17.511590578736712</v>
      </c>
      <c r="M35" s="173">
        <v>40</v>
      </c>
      <c r="N35" s="174">
        <f t="shared" si="31"/>
        <v>1.5748031496062993</v>
      </c>
      <c r="O35" s="181">
        <f>+X35/10</f>
        <v>15.373580104248626</v>
      </c>
      <c r="P35" s="94">
        <v>60</v>
      </c>
      <c r="Q35" s="94">
        <v>30.39</v>
      </c>
      <c r="R35" s="94">
        <v>36.97</v>
      </c>
      <c r="S35" s="93">
        <v>8.23</v>
      </c>
      <c r="T35" s="93">
        <v>9.2899999999999991</v>
      </c>
      <c r="U35" s="178">
        <v>100</v>
      </c>
      <c r="V35" s="179">
        <f t="shared" si="9"/>
        <v>0.39982455698439523</v>
      </c>
      <c r="W35" s="306"/>
      <c r="X35" s="93">
        <f t="shared" si="8"/>
        <v>153.73580104248626</v>
      </c>
      <c r="Y35" s="180">
        <f t="shared" si="6"/>
        <v>1.5373580104248625</v>
      </c>
      <c r="Z35" s="678">
        <f>CONVERT(18,"kg","lbm")</f>
        <v>39.683212464444047</v>
      </c>
      <c r="AA35" s="691"/>
      <c r="AB35" s="677"/>
      <c r="AC35" s="372" t="s">
        <v>706</v>
      </c>
      <c r="AD35" s="22" t="s">
        <v>705</v>
      </c>
      <c r="AE35" s="22" t="s">
        <v>708</v>
      </c>
      <c r="AF35" s="22"/>
      <c r="AG35" s="22"/>
      <c r="AH35" s="22"/>
      <c r="AI35" s="22"/>
    </row>
    <row r="36" spans="1:35" s="27" customFormat="1" ht="10.199999999999999" customHeight="1">
      <c r="A36" s="22"/>
      <c r="D36" s="94"/>
      <c r="E36" s="173"/>
      <c r="F36" s="174"/>
      <c r="G36" s="176"/>
      <c r="H36" s="180"/>
      <c r="I36" s="173"/>
      <c r="J36" s="174"/>
      <c r="K36" s="176"/>
      <c r="L36" s="92"/>
      <c r="M36" s="173"/>
      <c r="N36" s="174"/>
      <c r="O36" s="181"/>
      <c r="P36" s="94"/>
      <c r="Q36" s="94"/>
      <c r="R36" s="94"/>
      <c r="S36" s="93"/>
      <c r="T36" s="93"/>
      <c r="U36" s="178"/>
      <c r="V36" s="179"/>
      <c r="W36" s="306"/>
      <c r="X36" s="93"/>
      <c r="Y36" s="180"/>
      <c r="Z36" s="678"/>
      <c r="AA36" s="691"/>
      <c r="AB36" s="677"/>
      <c r="AC36" s="372"/>
      <c r="AD36" s="22"/>
      <c r="AE36" s="22"/>
      <c r="AF36" s="22"/>
      <c r="AG36" s="22"/>
      <c r="AH36" s="22"/>
      <c r="AI36" s="22"/>
    </row>
    <row r="37" spans="1:35" s="27" customFormat="1" ht="10.199999999999999" customHeight="1">
      <c r="A37" s="22" t="s">
        <v>712</v>
      </c>
      <c r="B37" s="690"/>
      <c r="C37" s="27" t="s">
        <v>602</v>
      </c>
      <c r="D37" s="94">
        <f ca="1">A_1P</f>
        <v>6002.4</v>
      </c>
      <c r="E37" s="173">
        <f ca="1">A_1PL*12*25.4</f>
        <v>6598.0999999999995</v>
      </c>
      <c r="F37" s="693">
        <f ca="1">A_1PL*12</f>
        <v>259.76771653543307</v>
      </c>
      <c r="G37" s="692">
        <f ca="1">A_1PL</f>
        <v>21.647309711286088</v>
      </c>
      <c r="H37" s="180">
        <f ca="1">A_1PL/A_1PWLE</f>
        <v>1.0968498046712658</v>
      </c>
      <c r="I37" s="173">
        <f ca="1">A_1PWLE*12*25.4</f>
        <v>6015.4999999999991</v>
      </c>
      <c r="J37" s="693">
        <f ca="1">A_1PWLE*25.4</f>
        <v>501.29166666666663</v>
      </c>
      <c r="K37" s="692">
        <f>3.25459317585302*4</f>
        <v>13.01837270341208</v>
      </c>
      <c r="L37" s="92">
        <f ca="1">A_1PL*A_1PWLE</f>
        <v>427.22897496142213</v>
      </c>
      <c r="M37" s="173">
        <f ca="1">PTmm</f>
        <v>40</v>
      </c>
      <c r="N37" s="174">
        <f ca="1">PThickIn</f>
        <v>1.5748031496062993</v>
      </c>
      <c r="O37" s="181">
        <f ca="1">+OFFSET(SelectPanel,0,13)</f>
        <v>15.37298387096774</v>
      </c>
      <c r="P37" s="94">
        <f ca="1">PCells</f>
        <v>60</v>
      </c>
      <c r="Q37" s="94">
        <f ca="1">PVmp</f>
        <v>30.5</v>
      </c>
      <c r="R37" s="94">
        <f ca="1">PVoc</f>
        <v>37.200000000000003</v>
      </c>
      <c r="S37" s="93">
        <f ca="1">PImp</f>
        <v>8.1999999999999993</v>
      </c>
      <c r="T37" s="93">
        <f ca="1">PIsc</f>
        <v>8.8000000000000007</v>
      </c>
      <c r="U37" s="178">
        <f ca="1">PCost*A_1SC*A_1PC</f>
        <v>2340</v>
      </c>
      <c r="V37" s="179">
        <f ca="1">PCostPerW</f>
        <v>0.38984406237505004</v>
      </c>
      <c r="W37" s="306"/>
      <c r="X37" s="93">
        <f ca="1">+D37/(G37*K37*0.09290304)</f>
        <v>229.26321409242431</v>
      </c>
      <c r="Y37" s="180">
        <f ca="1">+X37/U37*A_1SC*A_1PC</f>
        <v>2.3514175804351209</v>
      </c>
      <c r="Z37" s="678">
        <f ca="1">PPounds</f>
        <v>40.786000000000001</v>
      </c>
      <c r="AA37" s="691"/>
      <c r="AB37" s="677">
        <f ca="1">SystemPower*1000/PV!D37</f>
        <v>3.3320005331200857</v>
      </c>
      <c r="AC37" s="288" t="s">
        <v>360</v>
      </c>
      <c r="AD37" s="22" t="s">
        <v>577</v>
      </c>
      <c r="AE37" s="22" t="s">
        <v>580</v>
      </c>
      <c r="AF37" s="22"/>
      <c r="AG37" s="22"/>
      <c r="AH37" s="22"/>
      <c r="AI37" s="22"/>
    </row>
    <row r="38" spans="1:35" ht="10.199999999999999" customHeight="1">
      <c r="A38" s="9" t="s">
        <v>601</v>
      </c>
      <c r="B38" s="27">
        <v>0</v>
      </c>
      <c r="C38" s="135">
        <f>B38+1</f>
        <v>1</v>
      </c>
      <c r="D38" s="135">
        <f>C38+1</f>
        <v>2</v>
      </c>
      <c r="E38" s="135">
        <f t="shared" ref="E38:Z38" si="32">D38+1</f>
        <v>3</v>
      </c>
      <c r="F38" s="135">
        <f t="shared" si="32"/>
        <v>4</v>
      </c>
      <c r="G38" s="135">
        <f t="shared" si="32"/>
        <v>5</v>
      </c>
      <c r="H38" s="135">
        <f t="shared" si="32"/>
        <v>6</v>
      </c>
      <c r="I38" s="135">
        <f t="shared" si="32"/>
        <v>7</v>
      </c>
      <c r="J38" s="135">
        <f t="shared" si="32"/>
        <v>8</v>
      </c>
      <c r="K38" s="135">
        <f t="shared" si="32"/>
        <v>9</v>
      </c>
      <c r="L38" s="135">
        <f t="shared" si="32"/>
        <v>10</v>
      </c>
      <c r="M38" s="135">
        <f t="shared" si="32"/>
        <v>11</v>
      </c>
      <c r="N38" s="135">
        <f t="shared" si="32"/>
        <v>12</v>
      </c>
      <c r="O38" s="135">
        <f t="shared" si="32"/>
        <v>13</v>
      </c>
      <c r="P38" s="135">
        <f t="shared" si="32"/>
        <v>14</v>
      </c>
      <c r="Q38" s="135">
        <f t="shared" si="32"/>
        <v>15</v>
      </c>
      <c r="R38" s="135">
        <f t="shared" si="32"/>
        <v>16</v>
      </c>
      <c r="S38" s="135">
        <f t="shared" si="32"/>
        <v>17</v>
      </c>
      <c r="T38" s="135">
        <f t="shared" si="32"/>
        <v>18</v>
      </c>
      <c r="U38" s="135">
        <f t="shared" si="32"/>
        <v>19</v>
      </c>
      <c r="V38" s="135">
        <f t="shared" si="32"/>
        <v>20</v>
      </c>
      <c r="W38" s="135">
        <f t="shared" si="32"/>
        <v>21</v>
      </c>
      <c r="X38" s="135">
        <f t="shared" si="32"/>
        <v>22</v>
      </c>
      <c r="Y38" s="135">
        <f t="shared" si="32"/>
        <v>23</v>
      </c>
      <c r="Z38" s="135">
        <f t="shared" si="32"/>
        <v>24</v>
      </c>
      <c r="AA38" s="691"/>
      <c r="AB38" s="135"/>
      <c r="AF38" s="22"/>
      <c r="AG38" s="22"/>
      <c r="AH38" s="22"/>
      <c r="AI38" s="22"/>
    </row>
    <row r="39" spans="1:35" ht="10.199999999999999" customHeight="1">
      <c r="A39" s="9"/>
      <c r="B39" s="27"/>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691"/>
      <c r="AB39" s="135"/>
      <c r="AF39" s="22"/>
      <c r="AG39" s="22"/>
      <c r="AH39" s="22"/>
      <c r="AI39" s="22"/>
    </row>
    <row r="40" spans="1:35" s="190" customFormat="1" ht="10.199999999999999" customHeight="1">
      <c r="A40" s="22" t="s">
        <v>225</v>
      </c>
      <c r="B40" s="22"/>
      <c r="C40" s="661">
        <v>0.5</v>
      </c>
      <c r="D40" s="615">
        <f>+BoltSpacing/12</f>
        <v>4.1666666666666664E-2</v>
      </c>
      <c r="E40" s="184"/>
      <c r="F40" s="185"/>
      <c r="G40" s="186"/>
      <c r="H40" s="184"/>
      <c r="I40" s="185"/>
      <c r="J40" s="186"/>
      <c r="K40" s="185"/>
      <c r="L40" s="184"/>
      <c r="M40" s="185"/>
      <c r="N40" s="187"/>
      <c r="O40" s="184"/>
      <c r="P40" s="184"/>
      <c r="Q40" s="184"/>
      <c r="R40" s="184"/>
      <c r="S40" s="184"/>
      <c r="T40" s="15"/>
      <c r="U40" s="188"/>
      <c r="V40" s="103"/>
      <c r="W40" s="189"/>
      <c r="X40" s="185"/>
      <c r="Y40" s="189"/>
      <c r="Z40" s="185"/>
      <c r="AA40" s="14"/>
      <c r="AB40" s="185"/>
      <c r="AC40" s="27"/>
      <c r="AD40" s="22"/>
      <c r="AE40" s="22"/>
    </row>
    <row r="41" spans="1:35" s="190" customFormat="1" ht="10.199999999999999" customHeight="1">
      <c r="A41" s="22" t="s">
        <v>354</v>
      </c>
      <c r="B41" s="22"/>
      <c r="C41" s="662">
        <v>40</v>
      </c>
      <c r="D41" s="134"/>
      <c r="E41" s="184"/>
      <c r="F41" s="185"/>
      <c r="G41" s="186"/>
      <c r="I41" s="185"/>
      <c r="J41" s="186"/>
      <c r="K41" s="185"/>
      <c r="L41" s="184"/>
      <c r="M41" s="185"/>
      <c r="N41" s="187"/>
      <c r="O41" s="913"/>
      <c r="P41" s="184"/>
      <c r="Q41" s="184"/>
      <c r="R41" s="184"/>
      <c r="S41" s="184"/>
      <c r="T41" s="15"/>
      <c r="U41" s="188"/>
      <c r="V41" s="103"/>
      <c r="W41" s="189"/>
      <c r="X41" s="185"/>
      <c r="Y41" s="189"/>
      <c r="Z41" s="185"/>
      <c r="AA41" s="14"/>
      <c r="AB41" s="185"/>
      <c r="AC41" s="27"/>
      <c r="AD41" s="22"/>
      <c r="AE41" s="22"/>
    </row>
    <row r="42" spans="1:35" ht="10.199999999999999" customHeight="1">
      <c r="A42" s="27" t="s">
        <v>561</v>
      </c>
      <c r="B42" s="22"/>
      <c r="C42" s="660">
        <f ca="1">SystemPower</f>
        <v>20</v>
      </c>
      <c r="E42" s="10"/>
      <c r="F42" s="13"/>
      <c r="G42" s="12"/>
      <c r="H42" s="10"/>
      <c r="I42" s="13"/>
      <c r="J42" s="12"/>
      <c r="L42" s="10"/>
      <c r="N42" s="18"/>
      <c r="O42" s="10"/>
      <c r="P42" s="10"/>
      <c r="Q42" s="10"/>
      <c r="R42" s="10"/>
      <c r="S42" s="10"/>
      <c r="T42" s="15"/>
      <c r="U42" s="104"/>
      <c r="W42" s="11"/>
      <c r="X42" s="13"/>
    </row>
    <row r="43" spans="1:35" ht="10.199999999999999" customHeight="1">
      <c r="A43" s="22"/>
      <c r="B43" s="22"/>
      <c r="C43" s="659" t="str">
        <f>Main!E17</f>
        <v>B_10</v>
      </c>
      <c r="D43" s="10"/>
      <c r="E43" s="10"/>
      <c r="F43" s="13"/>
      <c r="G43" s="12"/>
      <c r="H43" s="10"/>
      <c r="I43" s="13"/>
      <c r="J43" s="12"/>
      <c r="L43" s="10"/>
      <c r="N43" s="18"/>
      <c r="O43" s="10"/>
      <c r="P43" s="10"/>
      <c r="Q43" s="10"/>
      <c r="R43" s="10"/>
      <c r="S43" s="10"/>
      <c r="T43" s="15"/>
      <c r="U43" s="104"/>
      <c r="W43" s="11"/>
      <c r="X43" s="13"/>
    </row>
    <row r="44" spans="1:35" ht="13.2" customHeight="1">
      <c r="A44" s="22"/>
      <c r="B44" s="22"/>
      <c r="C44" s="628">
        <f ca="1">PayBackTime</f>
        <v>2.4444977570468618</v>
      </c>
      <c r="D44" s="10"/>
      <c r="E44" s="10"/>
      <c r="F44" s="13"/>
      <c r="G44" s="12"/>
      <c r="H44" s="10"/>
      <c r="I44" s="13"/>
      <c r="J44" s="12"/>
      <c r="L44" s="10"/>
      <c r="N44" s="18"/>
      <c r="O44" s="10"/>
      <c r="P44" s="10"/>
      <c r="Q44" s="10"/>
      <c r="R44" s="10"/>
      <c r="S44" s="10"/>
      <c r="T44" s="15"/>
      <c r="U44" s="691"/>
      <c r="W44" s="11"/>
      <c r="X44" s="13"/>
    </row>
    <row r="45" spans="1:35" ht="10.199999999999999" customHeight="1">
      <c r="A45" s="22"/>
      <c r="B45" s="22"/>
      <c r="C45" s="10"/>
      <c r="D45" s="10"/>
      <c r="E45" s="10"/>
      <c r="F45" s="13"/>
      <c r="G45" s="12"/>
      <c r="H45" s="10"/>
      <c r="I45" s="13"/>
      <c r="J45" s="12"/>
      <c r="L45" s="10"/>
      <c r="N45" s="18"/>
      <c r="O45" s="10"/>
      <c r="P45" s="10"/>
      <c r="Q45" s="10"/>
      <c r="R45" s="10"/>
      <c r="S45" s="10"/>
      <c r="T45" s="15"/>
      <c r="U45" s="104"/>
      <c r="W45" s="11"/>
      <c r="X45" s="13"/>
    </row>
    <row r="46" spans="1:35" ht="10.199999999999999" customHeight="1">
      <c r="A46" s="305" t="s">
        <v>320</v>
      </c>
      <c r="B46" s="304"/>
      <c r="C46" s="23" t="s">
        <v>237</v>
      </c>
      <c r="D46" s="106">
        <f ca="1">PLFt*A_1YPan</f>
        <v>21.522309711286088</v>
      </c>
      <c r="E46" s="106">
        <f ca="1">PWFt*A_1XPan</f>
        <v>19.527559055118111</v>
      </c>
    </row>
    <row r="47" spans="1:35" ht="10.199999999999999" customHeight="1">
      <c r="A47" s="286" t="s">
        <v>8</v>
      </c>
      <c r="B47" s="286"/>
      <c r="C47" s="283">
        <f ca="1">+PLFt*A_1PC+Spacing*(A_1PC-1)</f>
        <v>21.647309711286088</v>
      </c>
      <c r="D47" s="107">
        <f>0</f>
        <v>0</v>
      </c>
      <c r="E47" s="107">
        <f ca="1">+A_1W/2</f>
        <v>9.7637795275590555</v>
      </c>
      <c r="F47" s="26">
        <f t="shared" ref="F47:F51" si="33">+D47</f>
        <v>0</v>
      </c>
      <c r="G47" s="26">
        <f t="shared" ref="G47:G51" ca="1" si="34">+E47</f>
        <v>9.7637795275590555</v>
      </c>
      <c r="H47" s="10"/>
      <c r="I47" s="10"/>
      <c r="Z47" s="12"/>
      <c r="AA47" s="812"/>
      <c r="AB47" s="12"/>
    </row>
    <row r="48" spans="1:35" ht="10.199999999999999" customHeight="1">
      <c r="A48" s="286" t="s">
        <v>0</v>
      </c>
      <c r="B48" s="286"/>
      <c r="C48" s="284">
        <f ca="1">+PWFt*A_1SC+Spacing*(A_1SC-1)</f>
        <v>19.735892388451443</v>
      </c>
      <c r="D48" s="107">
        <f ca="1">+A_1L</f>
        <v>21.522309711286088</v>
      </c>
      <c r="E48" s="107">
        <f ca="1">+A_1W/2</f>
        <v>9.7637795275590555</v>
      </c>
      <c r="F48" s="26">
        <f t="shared" ca="1" si="33"/>
        <v>21.522309711286088</v>
      </c>
      <c r="G48" s="26">
        <f t="shared" ca="1" si="34"/>
        <v>9.7637795275590555</v>
      </c>
      <c r="H48" s="10"/>
      <c r="I48" s="10"/>
    </row>
    <row r="49" spans="1:24" ht="10.199999999999999" customHeight="1">
      <c r="A49" s="286" t="s">
        <v>2</v>
      </c>
      <c r="B49" s="286"/>
      <c r="C49" s="284">
        <f ca="1">+PWFt*A_1SC+Spacing*(A_1SC-1)</f>
        <v>19.735892388451443</v>
      </c>
      <c r="D49" s="107">
        <f ca="1">+A_1L</f>
        <v>21.522309711286088</v>
      </c>
      <c r="E49" s="107">
        <f ca="1">-A_1W/2</f>
        <v>-9.7637795275590555</v>
      </c>
      <c r="F49" s="26">
        <f t="shared" ca="1" si="33"/>
        <v>21.522309711286088</v>
      </c>
      <c r="G49" s="26">
        <f t="shared" ca="1" si="34"/>
        <v>-9.7637795275590555</v>
      </c>
      <c r="H49" s="10"/>
      <c r="I49" s="10"/>
    </row>
    <row r="50" spans="1:24" ht="10.199999999999999" customHeight="1">
      <c r="A50" s="286" t="s">
        <v>206</v>
      </c>
      <c r="B50" s="286"/>
      <c r="C50" s="284">
        <f>0</f>
        <v>0</v>
      </c>
      <c r="D50" s="107">
        <f>0</f>
        <v>0</v>
      </c>
      <c r="E50" s="107">
        <f ca="1">-A_1W/2</f>
        <v>-9.7637795275590555</v>
      </c>
      <c r="F50" s="26">
        <f t="shared" si="33"/>
        <v>0</v>
      </c>
      <c r="G50" s="26">
        <f t="shared" ca="1" si="34"/>
        <v>-9.7637795275590555</v>
      </c>
      <c r="H50" s="10"/>
      <c r="I50" s="10"/>
    </row>
    <row r="51" spans="1:24" ht="10.199999999999999" customHeight="1">
      <c r="A51" s="286" t="s">
        <v>207</v>
      </c>
      <c r="B51" s="286"/>
      <c r="C51" s="285">
        <f>0</f>
        <v>0</v>
      </c>
      <c r="D51" s="107">
        <f>0</f>
        <v>0</v>
      </c>
      <c r="E51" s="107">
        <f ca="1">+A_1W/2</f>
        <v>9.7637795275590555</v>
      </c>
      <c r="F51" s="26">
        <f t="shared" si="33"/>
        <v>0</v>
      </c>
      <c r="G51" s="26">
        <f t="shared" ca="1" si="34"/>
        <v>9.7637795275590555</v>
      </c>
      <c r="H51" s="10"/>
      <c r="I51" s="10"/>
    </row>
    <row r="52" spans="1:24" ht="10.199999999999999" customHeight="1">
      <c r="A52" s="105" t="s">
        <v>603</v>
      </c>
      <c r="B52" s="105"/>
      <c r="C52" s="163">
        <v>6</v>
      </c>
      <c r="D52" s="107">
        <f ca="1">+A_1WC-E52</f>
        <v>10.243864829396324</v>
      </c>
      <c r="E52" s="107">
        <f ca="1">AVERAGE(A_1PL,A_1PWHE)/CM</f>
        <v>0.51729002624671916</v>
      </c>
      <c r="F52" s="26">
        <f t="shared" ref="F52" ca="1" si="35">+D52</f>
        <v>10.243864829396324</v>
      </c>
      <c r="G52" s="26">
        <f t="shared" ref="G52" ca="1" si="36">+E52</f>
        <v>0.51729002624671916</v>
      </c>
      <c r="H52" s="10"/>
      <c r="I52" s="10"/>
    </row>
    <row r="53" spans="1:24" ht="10.199999999999999" customHeight="1">
      <c r="A53" s="105" t="s">
        <v>604</v>
      </c>
      <c r="B53" s="105"/>
      <c r="C53" s="164">
        <v>4</v>
      </c>
      <c r="D53" s="107">
        <f ca="1">+A_1WC+E52</f>
        <v>11.278444881889763</v>
      </c>
      <c r="E53" s="107">
        <f ca="1">-E52</f>
        <v>-0.51729002624671916</v>
      </c>
      <c r="F53" s="26">
        <f ca="1">+D53</f>
        <v>11.278444881889763</v>
      </c>
      <c r="G53" s="26">
        <f ca="1">+E53</f>
        <v>-0.51729002624671916</v>
      </c>
      <c r="H53" s="10"/>
      <c r="I53" s="10"/>
    </row>
    <row r="54" spans="1:24" ht="10.199999999999999" customHeight="1">
      <c r="A54" s="105" t="s">
        <v>51</v>
      </c>
      <c r="B54" s="105"/>
      <c r="C54" s="98">
        <f ca="1">+A_1L*A_1W</f>
        <v>420.27817388968111</v>
      </c>
      <c r="D54" s="107">
        <f ca="1">D53</f>
        <v>11.278444881889763</v>
      </c>
      <c r="E54" s="107">
        <f ca="1">E52</f>
        <v>0.51729002624671916</v>
      </c>
      <c r="F54" s="26">
        <f t="shared" ref="F54" ca="1" si="37">+D54</f>
        <v>11.278444881889763</v>
      </c>
      <c r="G54" s="26">
        <f t="shared" ref="G54" ca="1" si="38">+E54</f>
        <v>0.51729002624671916</v>
      </c>
      <c r="H54" s="10"/>
      <c r="I54" s="10"/>
    </row>
    <row r="55" spans="1:24" ht="10.199999999999999" customHeight="1">
      <c r="A55" s="105" t="s">
        <v>52</v>
      </c>
      <c r="B55" s="105"/>
      <c r="C55" s="281">
        <f ca="1">A_1PA*StraightLineWind</f>
        <v>4202.7817388968115</v>
      </c>
      <c r="D55" s="107">
        <f ca="1">D52</f>
        <v>10.243864829396324</v>
      </c>
      <c r="E55" s="107">
        <f ca="1">E53</f>
        <v>-0.51729002624671916</v>
      </c>
      <c r="F55" s="26">
        <f t="shared" ref="F55:G59" ca="1" si="39">+D55</f>
        <v>10.243864829396324</v>
      </c>
      <c r="G55" s="26">
        <f t="shared" ca="1" si="39"/>
        <v>-0.51729002624671916</v>
      </c>
      <c r="H55" s="10"/>
      <c r="I55" s="10"/>
    </row>
    <row r="56" spans="1:24" ht="10.199999999999999" customHeight="1">
      <c r="A56" s="105" t="s">
        <v>57</v>
      </c>
      <c r="B56" s="105"/>
      <c r="C56" s="31">
        <f ca="1">+A_1L/2</f>
        <v>10.761154855643044</v>
      </c>
      <c r="D56" s="107">
        <f ca="1">+D53</f>
        <v>11.278444881889763</v>
      </c>
      <c r="E56" s="107">
        <f ca="1">+A_1WTC-E52</f>
        <v>4.3645997375328083</v>
      </c>
      <c r="F56" s="26">
        <f t="shared" ca="1" si="39"/>
        <v>11.278444881889763</v>
      </c>
      <c r="G56" s="26">
        <f t="shared" ca="1" si="39"/>
        <v>4.3645997375328083</v>
      </c>
      <c r="H56" s="10"/>
      <c r="I56" s="10"/>
    </row>
    <row r="57" spans="1:24" ht="10.199999999999999" customHeight="1">
      <c r="A57" s="105" t="s">
        <v>58</v>
      </c>
      <c r="B57" s="105"/>
      <c r="C57" s="31">
        <f ca="1">+A_1W/4</f>
        <v>4.8818897637795278</v>
      </c>
      <c r="D57" s="107">
        <f ca="1">+D52</f>
        <v>10.243864829396324</v>
      </c>
      <c r="E57" s="107">
        <f ca="1">+A_1WTC+E52</f>
        <v>5.3991797900262473</v>
      </c>
      <c r="F57" s="26">
        <f t="shared" ca="1" si="39"/>
        <v>10.243864829396324</v>
      </c>
      <c r="G57" s="26">
        <f t="shared" ca="1" si="39"/>
        <v>5.3991797900262473</v>
      </c>
      <c r="H57" s="10"/>
      <c r="I57" s="10"/>
    </row>
    <row r="58" spans="1:24" ht="10.199999999999999" customHeight="1">
      <c r="A58" s="105" t="s">
        <v>60</v>
      </c>
      <c r="B58" s="105"/>
      <c r="C58" s="282">
        <f ca="1">+A_1WL*A_1WTC</f>
        <v>20517.517150519867</v>
      </c>
      <c r="D58" s="107">
        <f ca="1">D53</f>
        <v>11.278444881889763</v>
      </c>
      <c r="E58" s="107">
        <f ca="1">E57</f>
        <v>5.3991797900262473</v>
      </c>
      <c r="F58" s="26">
        <f t="shared" ca="1" si="39"/>
        <v>11.278444881889763</v>
      </c>
      <c r="G58" s="26">
        <f t="shared" ca="1" si="39"/>
        <v>5.3991797900262473</v>
      </c>
      <c r="H58" s="10"/>
      <c r="I58" s="10"/>
    </row>
    <row r="59" spans="1:24" ht="10.199999999999999" customHeight="1">
      <c r="A59" s="105" t="s">
        <v>42</v>
      </c>
      <c r="B59" s="105"/>
      <c r="C59" s="697">
        <f ca="1">+A_1L*A_1W*92.90304*PEff%</f>
        <v>6002.4</v>
      </c>
      <c r="D59" s="107">
        <f ca="1">D52</f>
        <v>10.243864829396324</v>
      </c>
      <c r="E59" s="107">
        <f ca="1">+E56</f>
        <v>4.3645997375328083</v>
      </c>
      <c r="F59" s="26">
        <f t="shared" ca="1" si="39"/>
        <v>10.243864829396324</v>
      </c>
      <c r="G59" s="26">
        <f t="shared" ca="1" si="39"/>
        <v>4.3645997375328083</v>
      </c>
      <c r="H59" s="10"/>
      <c r="I59" s="10"/>
    </row>
    <row r="60" spans="1:24" ht="10.199999999999999" customHeight="1">
      <c r="A60" s="105" t="s">
        <v>36</v>
      </c>
      <c r="B60" s="105"/>
      <c r="C60" s="33">
        <f ca="1">+PVmp*A_1SC</f>
        <v>183</v>
      </c>
      <c r="D60" s="107"/>
      <c r="E60" s="107"/>
      <c r="F60" s="26"/>
      <c r="G60" s="26"/>
      <c r="H60" s="10"/>
      <c r="I60" s="10"/>
    </row>
    <row r="61" spans="1:24" ht="10.199999999999999" customHeight="1">
      <c r="A61" s="105" t="s">
        <v>37</v>
      </c>
      <c r="B61" s="105"/>
      <c r="C61" s="34">
        <f ca="1">PVoc*A_1SC</f>
        <v>223.20000000000002</v>
      </c>
      <c r="H61" s="10"/>
      <c r="I61" s="10"/>
    </row>
    <row r="62" spans="1:24" ht="10.199999999999999" customHeight="1">
      <c r="A62" s="105" t="s">
        <v>43</v>
      </c>
      <c r="B62" s="105"/>
      <c r="C62" s="35">
        <f ca="1">PImp*PWatt/PWatt</f>
        <v>8.1999999999999993</v>
      </c>
      <c r="H62" s="10"/>
      <c r="I62" s="10"/>
    </row>
    <row r="63" spans="1:24" ht="10.199999999999999" customHeight="1">
      <c r="A63" s="105" t="s">
        <v>44</v>
      </c>
      <c r="B63" s="105"/>
      <c r="C63" s="36">
        <f ca="1">PIsc*PWatt/PWatt</f>
        <v>8.8000000000000007</v>
      </c>
      <c r="H63" s="10"/>
      <c r="I63" s="10"/>
    </row>
    <row r="64" spans="1:24" ht="10.199999999999999" customHeight="1">
      <c r="A64" s="22"/>
      <c r="B64" s="22"/>
      <c r="C64" s="135"/>
      <c r="D64" s="134"/>
      <c r="E64" s="10"/>
      <c r="F64" s="13"/>
      <c r="G64" s="12"/>
      <c r="H64" s="10"/>
      <c r="I64" s="13"/>
      <c r="J64" s="12"/>
      <c r="L64" s="10"/>
      <c r="N64" s="18"/>
      <c r="O64" s="10"/>
      <c r="P64" s="10"/>
      <c r="Q64" s="10"/>
      <c r="R64" s="10"/>
      <c r="S64" s="10"/>
      <c r="T64" s="15"/>
      <c r="U64" s="104"/>
      <c r="W64" s="11"/>
      <c r="X64" s="13"/>
    </row>
    <row r="65" spans="1:28" ht="10.199999999999999" customHeight="1">
      <c r="A65" s="305" t="s">
        <v>236</v>
      </c>
      <c r="B65" s="304"/>
      <c r="C65" s="23" t="str">
        <f ca="1">PModel</f>
        <v>SS250-60P</v>
      </c>
      <c r="D65" s="300">
        <f ca="1">+PLFt</f>
        <v>5.3805774278215219</v>
      </c>
      <c r="E65" s="300">
        <f ca="1">+PWFt</f>
        <v>3.2545931758530187</v>
      </c>
    </row>
    <row r="66" spans="1:28" ht="10.199999999999999" customHeight="1">
      <c r="A66" s="286" t="s">
        <v>8</v>
      </c>
      <c r="B66" s="286"/>
      <c r="C66" s="283">
        <f ca="1">B_1W+Spacing*0</f>
        <v>3.2545931758530187</v>
      </c>
      <c r="D66" s="107">
        <f>0</f>
        <v>0</v>
      </c>
      <c r="E66" s="107">
        <f ca="1">+B_1L/2</f>
        <v>2.690288713910761</v>
      </c>
      <c r="F66" s="26">
        <f t="shared" ref="F66:F71" si="40">+D66</f>
        <v>0</v>
      </c>
      <c r="G66" s="26">
        <f t="shared" ref="G66:G71" ca="1" si="41">+E66</f>
        <v>2.690288713910761</v>
      </c>
      <c r="H66" s="10"/>
      <c r="I66" s="10"/>
      <c r="Z66" s="12"/>
      <c r="AA66" s="812"/>
      <c r="AB66" s="12"/>
    </row>
    <row r="67" spans="1:28" ht="10.199999999999999" customHeight="1">
      <c r="A67" s="286" t="s">
        <v>0</v>
      </c>
      <c r="B67" s="286"/>
      <c r="C67" s="284">
        <f ca="1">B_1L+Spacing*0</f>
        <v>5.3805774278215219</v>
      </c>
      <c r="D67" s="107">
        <f ca="1">+B_1W</f>
        <v>3.2545931758530187</v>
      </c>
      <c r="E67" s="107">
        <f ca="1">+B_1L/2</f>
        <v>2.690288713910761</v>
      </c>
      <c r="F67" s="26">
        <f t="shared" ca="1" si="40"/>
        <v>3.2545931758530187</v>
      </c>
      <c r="G67" s="26">
        <f t="shared" ca="1" si="41"/>
        <v>2.690288713910761</v>
      </c>
      <c r="H67" s="10"/>
      <c r="I67" s="10"/>
    </row>
    <row r="68" spans="1:28" ht="10.199999999999999" customHeight="1">
      <c r="A68" s="286" t="s">
        <v>2</v>
      </c>
      <c r="B68" s="286"/>
      <c r="C68" s="284">
        <f ca="1">B_1L+Spacing*0</f>
        <v>5.3805774278215219</v>
      </c>
      <c r="D68" s="107">
        <f ca="1">+B_1W</f>
        <v>3.2545931758530187</v>
      </c>
      <c r="E68" s="107">
        <f ca="1">-B_1L/2</f>
        <v>-2.690288713910761</v>
      </c>
      <c r="F68" s="26">
        <f t="shared" ca="1" si="40"/>
        <v>3.2545931758530187</v>
      </c>
      <c r="G68" s="26">
        <f t="shared" ca="1" si="41"/>
        <v>-2.690288713910761</v>
      </c>
      <c r="H68" s="10"/>
      <c r="I68" s="10"/>
    </row>
    <row r="69" spans="1:28" ht="10.199999999999999" customHeight="1">
      <c r="A69" s="286" t="s">
        <v>206</v>
      </c>
      <c r="B69" s="286"/>
      <c r="C69" s="284">
        <f>0</f>
        <v>0</v>
      </c>
      <c r="D69" s="107">
        <f>0</f>
        <v>0</v>
      </c>
      <c r="E69" s="107">
        <f ca="1">-B_1L/2</f>
        <v>-2.690288713910761</v>
      </c>
      <c r="F69" s="26">
        <f t="shared" si="40"/>
        <v>0</v>
      </c>
      <c r="G69" s="26">
        <f t="shared" ca="1" si="41"/>
        <v>-2.690288713910761</v>
      </c>
      <c r="H69" s="10"/>
      <c r="I69" s="10"/>
    </row>
    <row r="70" spans="1:28" ht="10.199999999999999" customHeight="1">
      <c r="A70" s="286" t="s">
        <v>207</v>
      </c>
      <c r="B70" s="286"/>
      <c r="C70" s="285">
        <f>0</f>
        <v>0</v>
      </c>
      <c r="D70" s="107">
        <f>0</f>
        <v>0</v>
      </c>
      <c r="E70" s="107">
        <f ca="1">+B_1L/2</f>
        <v>2.690288713910761</v>
      </c>
      <c r="F70" s="26">
        <f t="shared" si="40"/>
        <v>0</v>
      </c>
      <c r="G70" s="26">
        <f t="shared" ca="1" si="41"/>
        <v>2.690288713910761</v>
      </c>
      <c r="H70" s="10"/>
      <c r="I70" s="10"/>
    </row>
    <row r="71" spans="1:28" ht="10.199999999999999" customHeight="1">
      <c r="A71" s="105" t="s">
        <v>69</v>
      </c>
      <c r="B71" s="105"/>
      <c r="C71" s="163">
        <v>1</v>
      </c>
      <c r="D71" s="107">
        <f ca="1">+B_1WC-E71</f>
        <v>1.5193569553805775</v>
      </c>
      <c r="E71" s="107">
        <f ca="1">AVERAGE(B_1PL,B_1PWHE)/CM</f>
        <v>0.10793963254593175</v>
      </c>
      <c r="F71" s="26">
        <f t="shared" ca="1" si="40"/>
        <v>1.5193569553805775</v>
      </c>
      <c r="G71" s="26">
        <f t="shared" ca="1" si="41"/>
        <v>0.10793963254593175</v>
      </c>
      <c r="H71" s="10"/>
      <c r="I71" s="10"/>
    </row>
    <row r="72" spans="1:28" ht="10.199999999999999" customHeight="1">
      <c r="A72" s="105" t="s">
        <v>70</v>
      </c>
      <c r="B72" s="105"/>
      <c r="C72" s="164">
        <v>1</v>
      </c>
      <c r="D72" s="107">
        <f ca="1">+B_1WC+E71</f>
        <v>1.7352362204724412</v>
      </c>
      <c r="E72" s="107">
        <f ca="1">-E71</f>
        <v>-0.10793963254593175</v>
      </c>
      <c r="F72" s="26">
        <f ca="1">+D72</f>
        <v>1.7352362204724412</v>
      </c>
      <c r="G72" s="26">
        <f ca="1">+E72</f>
        <v>-0.10793963254593175</v>
      </c>
      <c r="H72" s="10"/>
      <c r="I72" s="10"/>
    </row>
    <row r="73" spans="1:28" ht="10.199999999999999" customHeight="1">
      <c r="A73" s="105" t="s">
        <v>51</v>
      </c>
      <c r="B73" s="105"/>
      <c r="C73" s="98">
        <f ca="1">+B_1L*B_1W*B_1SC*B_1PC</f>
        <v>17.511590578736712</v>
      </c>
      <c r="D73" s="107">
        <f ca="1">D72</f>
        <v>1.7352362204724412</v>
      </c>
      <c r="E73" s="107">
        <f ca="1">E71</f>
        <v>0.10793963254593175</v>
      </c>
      <c r="F73" s="26">
        <f t="shared" ref="F73:F78" ca="1" si="42">+D73</f>
        <v>1.7352362204724412</v>
      </c>
      <c r="G73" s="26">
        <f t="shared" ref="G73:G78" ca="1" si="43">+E73</f>
        <v>0.10793963254593175</v>
      </c>
      <c r="H73" s="10"/>
      <c r="I73" s="10"/>
    </row>
    <row r="74" spans="1:28" ht="10.199999999999999" customHeight="1">
      <c r="A74" s="105" t="s">
        <v>52</v>
      </c>
      <c r="B74" s="105"/>
      <c r="C74" s="281">
        <f ca="1">B_1PA*StraightLineWind</f>
        <v>175.11590578736713</v>
      </c>
      <c r="D74" s="107">
        <f ca="1">D71</f>
        <v>1.5193569553805775</v>
      </c>
      <c r="E74" s="107">
        <f ca="1">E72</f>
        <v>-0.10793963254593175</v>
      </c>
      <c r="F74" s="26">
        <f t="shared" ca="1" si="42"/>
        <v>1.5193569553805775</v>
      </c>
      <c r="G74" s="26">
        <f t="shared" ca="1" si="43"/>
        <v>-0.10793963254593175</v>
      </c>
      <c r="H74" s="10"/>
      <c r="I74" s="10"/>
    </row>
    <row r="75" spans="1:28" ht="10.199999999999999" customHeight="1">
      <c r="A75" s="105" t="s">
        <v>57</v>
      </c>
      <c r="B75" s="105"/>
      <c r="C75" s="31">
        <f ca="1">+B_1W/2</f>
        <v>1.6272965879265093</v>
      </c>
      <c r="D75" s="107">
        <f ca="1">+D72</f>
        <v>1.7352362204724412</v>
      </c>
      <c r="E75" s="107">
        <f ca="1">+B_1WTC-E71</f>
        <v>1.2372047244094486</v>
      </c>
      <c r="F75" s="26">
        <f t="shared" ca="1" si="42"/>
        <v>1.7352362204724412</v>
      </c>
      <c r="G75" s="26">
        <f t="shared" ca="1" si="43"/>
        <v>1.2372047244094486</v>
      </c>
      <c r="H75" s="10"/>
      <c r="I75" s="10"/>
    </row>
    <row r="76" spans="1:28" ht="10.199999999999999" customHeight="1">
      <c r="A76" s="105" t="s">
        <v>58</v>
      </c>
      <c r="B76" s="105"/>
      <c r="C76" s="31">
        <f ca="1">+B_1L/4</f>
        <v>1.3451443569553805</v>
      </c>
      <c r="D76" s="107">
        <f ca="1">+D71</f>
        <v>1.5193569553805775</v>
      </c>
      <c r="E76" s="107">
        <f ca="1">+B_1WTC+E71</f>
        <v>1.4530839895013123</v>
      </c>
      <c r="F76" s="26">
        <f t="shared" ca="1" si="42"/>
        <v>1.5193569553805775</v>
      </c>
      <c r="G76" s="26">
        <f t="shared" ca="1" si="43"/>
        <v>1.4530839895013123</v>
      </c>
      <c r="H76" s="10"/>
      <c r="I76" s="10"/>
    </row>
    <row r="77" spans="1:28" ht="10.199999999999999" customHeight="1">
      <c r="A77" s="105" t="s">
        <v>60</v>
      </c>
      <c r="B77" s="105"/>
      <c r="C77" s="282">
        <f ca="1">+B_1WL*B_1WTC</f>
        <v>235.55617248300695</v>
      </c>
      <c r="D77" s="107">
        <f ca="1">D72</f>
        <v>1.7352362204724412</v>
      </c>
      <c r="E77" s="107">
        <f ca="1">E76</f>
        <v>1.4530839895013123</v>
      </c>
      <c r="F77" s="26">
        <f t="shared" ca="1" si="42"/>
        <v>1.7352362204724412</v>
      </c>
      <c r="G77" s="26">
        <f t="shared" ca="1" si="43"/>
        <v>1.4530839895013123</v>
      </c>
      <c r="H77" s="10"/>
      <c r="I77" s="10"/>
    </row>
    <row r="78" spans="1:28" ht="10.199999999999999" customHeight="1">
      <c r="A78" s="105" t="s">
        <v>42</v>
      </c>
      <c r="B78" s="105"/>
      <c r="C78" s="32">
        <f ca="1">PWatt*B_1SC*B_1PC</f>
        <v>250</v>
      </c>
      <c r="D78" s="107">
        <f ca="1">D71</f>
        <v>1.5193569553805775</v>
      </c>
      <c r="E78" s="107">
        <f ca="1">+E75</f>
        <v>1.2372047244094486</v>
      </c>
      <c r="F78" s="26">
        <f t="shared" ca="1" si="42"/>
        <v>1.5193569553805775</v>
      </c>
      <c r="G78" s="26">
        <f t="shared" ca="1" si="43"/>
        <v>1.2372047244094486</v>
      </c>
      <c r="H78" s="10"/>
      <c r="I78" s="10"/>
    </row>
    <row r="79" spans="1:28" ht="10.199999999999999" customHeight="1">
      <c r="A79" s="105" t="s">
        <v>36</v>
      </c>
      <c r="B79" s="105"/>
      <c r="C79" s="33">
        <f ca="1">PVmp*B_1SC</f>
        <v>30.5</v>
      </c>
      <c r="D79" s="107"/>
      <c r="E79" s="107"/>
      <c r="F79" s="26"/>
      <c r="G79" s="26"/>
      <c r="H79" s="10"/>
      <c r="I79" s="10"/>
    </row>
    <row r="80" spans="1:28" ht="10.199999999999999" customHeight="1">
      <c r="A80" s="105" t="s">
        <v>37</v>
      </c>
      <c r="B80" s="105"/>
      <c r="C80" s="34">
        <f ca="1">PVoc*B_1SC</f>
        <v>37.200000000000003</v>
      </c>
      <c r="H80" s="10"/>
      <c r="I80" s="10"/>
    </row>
    <row r="81" spans="1:9" ht="10.199999999999999" customHeight="1">
      <c r="A81" s="105" t="s">
        <v>43</v>
      </c>
      <c r="B81" s="105"/>
      <c r="C81" s="35">
        <f ca="1">PImp*B_1PC</f>
        <v>8.1999999999999993</v>
      </c>
      <c r="H81" s="10"/>
      <c r="I81" s="10"/>
    </row>
    <row r="82" spans="1:9" ht="10.199999999999999" customHeight="1">
      <c r="A82" s="105" t="s">
        <v>44</v>
      </c>
      <c r="B82" s="105"/>
      <c r="C82" s="36">
        <f ca="1">PIsc*B_1PC</f>
        <v>8.8000000000000007</v>
      </c>
      <c r="H82" s="10"/>
      <c r="I82" s="10"/>
    </row>
    <row r="83" spans="1:9" ht="10.199999999999999" customHeight="1">
      <c r="A83" s="22"/>
      <c r="B83" s="22"/>
      <c r="C83" s="9"/>
      <c r="D83" s="107"/>
      <c r="E83" s="107"/>
      <c r="F83" s="26"/>
      <c r="G83" s="26"/>
      <c r="I83" s="10"/>
    </row>
    <row r="84" spans="1:9" ht="10.199999999999999" customHeight="1">
      <c r="A84" s="305" t="s">
        <v>355</v>
      </c>
      <c r="B84" s="304"/>
      <c r="C84" s="23" t="str">
        <f ca="1">PModel</f>
        <v>SS250-60P</v>
      </c>
      <c r="D84" s="300">
        <f ca="1">+PLFt</f>
        <v>5.3805774278215219</v>
      </c>
      <c r="E84" s="300">
        <f ca="1">+PWFt</f>
        <v>3.2545931758530187</v>
      </c>
      <c r="F84" s="26"/>
      <c r="G84" s="26"/>
    </row>
    <row r="85" spans="1:9" ht="10.199999999999999" customHeight="1">
      <c r="A85" s="286" t="s">
        <v>8</v>
      </c>
      <c r="B85" s="286"/>
      <c r="C85" s="283">
        <f ca="1">B_2W*2+Spacing*1</f>
        <v>6.5508530183727043</v>
      </c>
      <c r="D85" s="107">
        <f>0</f>
        <v>0</v>
      </c>
      <c r="E85" s="107">
        <f ca="1">B_2L/2</f>
        <v>2.690288713910761</v>
      </c>
      <c r="F85" s="26">
        <f t="shared" ref="F85:F89" si="44">+D85</f>
        <v>0</v>
      </c>
      <c r="G85" s="26">
        <f t="shared" ref="G85:G89" ca="1" si="45">+E85</f>
        <v>2.690288713910761</v>
      </c>
      <c r="H85" s="10"/>
      <c r="I85" s="10"/>
    </row>
    <row r="86" spans="1:9" ht="10.199999999999999" customHeight="1">
      <c r="A86" s="286" t="s">
        <v>0</v>
      </c>
      <c r="B86" s="286"/>
      <c r="C86" s="284">
        <f ca="1">+B_2L</f>
        <v>5.3805774278215219</v>
      </c>
      <c r="D86" s="107">
        <f ca="1">B_2W</f>
        <v>3.2545931758530187</v>
      </c>
      <c r="E86" s="107">
        <f ca="1">B_2L/2</f>
        <v>2.690288713910761</v>
      </c>
      <c r="F86" s="26">
        <f t="shared" ca="1" si="44"/>
        <v>3.2545931758530187</v>
      </c>
      <c r="G86" s="26">
        <f t="shared" ca="1" si="45"/>
        <v>2.690288713910761</v>
      </c>
      <c r="H86" s="10"/>
      <c r="I86" s="10"/>
    </row>
    <row r="87" spans="1:9" ht="10.199999999999999" customHeight="1">
      <c r="A87" s="286" t="s">
        <v>2</v>
      </c>
      <c r="B87" s="286"/>
      <c r="C87" s="284">
        <f ca="1">+B_2L</f>
        <v>5.3805774278215219</v>
      </c>
      <c r="D87" s="107">
        <f ca="1">B_2W</f>
        <v>3.2545931758530187</v>
      </c>
      <c r="E87" s="107">
        <f ca="1">-B_2L/2</f>
        <v>-2.690288713910761</v>
      </c>
      <c r="F87" s="26">
        <f t="shared" ca="1" si="44"/>
        <v>3.2545931758530187</v>
      </c>
      <c r="G87" s="26">
        <f t="shared" ca="1" si="45"/>
        <v>-2.690288713910761</v>
      </c>
      <c r="H87" s="10"/>
      <c r="I87" s="10"/>
    </row>
    <row r="88" spans="1:9" ht="10.199999999999999" customHeight="1">
      <c r="A88" s="286" t="s">
        <v>206</v>
      </c>
      <c r="B88" s="286"/>
      <c r="C88" s="284">
        <f>0</f>
        <v>0</v>
      </c>
      <c r="D88" s="107">
        <f ca="1">B_2W*2</f>
        <v>6.5091863517060373</v>
      </c>
      <c r="E88" s="107">
        <f ca="1">-B_2L/2</f>
        <v>-2.690288713910761</v>
      </c>
      <c r="F88" s="26">
        <f t="shared" ca="1" si="44"/>
        <v>6.5091863517060373</v>
      </c>
      <c r="G88" s="26">
        <f t="shared" ca="1" si="45"/>
        <v>-2.690288713910761</v>
      </c>
      <c r="H88" s="10"/>
      <c r="I88" s="10"/>
    </row>
    <row r="89" spans="1:9" ht="10.199999999999999" customHeight="1">
      <c r="A89" s="286" t="s">
        <v>207</v>
      </c>
      <c r="B89" s="286"/>
      <c r="C89" s="285">
        <f>0</f>
        <v>0</v>
      </c>
      <c r="D89" s="107">
        <f ca="1">B_2W*2</f>
        <v>6.5091863517060373</v>
      </c>
      <c r="E89" s="107">
        <f ca="1">B_2L/2</f>
        <v>2.690288713910761</v>
      </c>
      <c r="F89" s="26">
        <f t="shared" ca="1" si="44"/>
        <v>6.5091863517060373</v>
      </c>
      <c r="G89" s="26">
        <f t="shared" ca="1" si="45"/>
        <v>2.690288713910761</v>
      </c>
      <c r="H89" s="10"/>
      <c r="I89" s="10"/>
    </row>
    <row r="90" spans="1:9" ht="10.199999999999999" customHeight="1">
      <c r="A90" s="105" t="s">
        <v>69</v>
      </c>
      <c r="B90" s="105"/>
      <c r="C90" s="163">
        <v>2</v>
      </c>
      <c r="D90" s="107">
        <f>0</f>
        <v>0</v>
      </c>
      <c r="E90" s="107">
        <f ca="1">B_2L/2</f>
        <v>2.690288713910761</v>
      </c>
      <c r="F90" s="26">
        <f>+D90</f>
        <v>0</v>
      </c>
      <c r="G90" s="26">
        <f ca="1">+E90</f>
        <v>2.690288713910761</v>
      </c>
      <c r="H90" s="10"/>
      <c r="I90" s="10"/>
    </row>
    <row r="91" spans="1:9" ht="10.199999999999999" customHeight="1">
      <c r="A91" s="105" t="s">
        <v>70</v>
      </c>
      <c r="B91" s="105"/>
      <c r="C91" s="164">
        <v>1</v>
      </c>
      <c r="D91" s="107">
        <f>0</f>
        <v>0</v>
      </c>
      <c r="E91" s="107">
        <f ca="1">-B_2L/2</f>
        <v>-2.690288713910761</v>
      </c>
      <c r="F91" s="26">
        <f>+D91</f>
        <v>0</v>
      </c>
      <c r="G91" s="26">
        <f ca="1">+E91</f>
        <v>-2.690288713910761</v>
      </c>
      <c r="H91" s="10"/>
      <c r="I91" s="10"/>
    </row>
    <row r="92" spans="1:9" ht="10.199999999999999" customHeight="1">
      <c r="A92" s="105" t="s">
        <v>51</v>
      </c>
      <c r="B92" s="105"/>
      <c r="C92" s="98">
        <f ca="1">+B_2L*B_2W*B_2SC*B_2PC</f>
        <v>35.023181157473424</v>
      </c>
      <c r="D92" s="107">
        <f ca="1">B_2W</f>
        <v>3.2545931758530187</v>
      </c>
      <c r="E92" s="107">
        <f ca="1">-B_2L/2</f>
        <v>-2.690288713910761</v>
      </c>
      <c r="F92" s="26">
        <f t="shared" ref="F92" ca="1" si="46">+D92</f>
        <v>3.2545931758530187</v>
      </c>
      <c r="G92" s="26">
        <f t="shared" ref="G92" ca="1" si="47">+E92</f>
        <v>-2.690288713910761</v>
      </c>
      <c r="H92" s="10"/>
      <c r="I92" s="10"/>
    </row>
    <row r="93" spans="1:9" ht="10.199999999999999" customHeight="1">
      <c r="A93" s="105" t="s">
        <v>52</v>
      </c>
      <c r="B93" s="105"/>
      <c r="C93" s="281">
        <f ca="1">B_2PA*StraightLineWind</f>
        <v>350.23181157473425</v>
      </c>
      <c r="D93" s="107">
        <f ca="1">+B_2WC-E93</f>
        <v>3.1054502952755909</v>
      </c>
      <c r="E93" s="107">
        <f ca="1">AVERAGE(B_2PL,B_2PWHE)/CM</f>
        <v>0.14914288057742783</v>
      </c>
      <c r="F93" s="26">
        <f t="shared" ref="F93:G100" ca="1" si="48">+D93</f>
        <v>3.1054502952755909</v>
      </c>
      <c r="G93" s="26">
        <f t="shared" ca="1" si="48"/>
        <v>0.14914288057742783</v>
      </c>
      <c r="H93" s="10"/>
      <c r="I93" s="10"/>
    </row>
    <row r="94" spans="1:9" ht="10.199999999999999" customHeight="1">
      <c r="A94" s="105" t="s">
        <v>82</v>
      </c>
      <c r="B94" s="105"/>
      <c r="C94" s="31">
        <f ca="1">+B_2W*1</f>
        <v>3.2545931758530187</v>
      </c>
      <c r="D94" s="107">
        <f ca="1">+B_2WC+E93</f>
        <v>3.4037360564304464</v>
      </c>
      <c r="E94" s="107">
        <f ca="1">-E93</f>
        <v>-0.14914288057742783</v>
      </c>
      <c r="F94" s="26">
        <f t="shared" ca="1" si="48"/>
        <v>3.4037360564304464</v>
      </c>
      <c r="G94" s="26">
        <f t="shared" ca="1" si="48"/>
        <v>-0.14914288057742783</v>
      </c>
      <c r="H94" s="10"/>
      <c r="I94" s="10"/>
    </row>
    <row r="95" spans="1:9" ht="10.199999999999999" customHeight="1">
      <c r="A95" s="105" t="s">
        <v>83</v>
      </c>
      <c r="B95" s="105"/>
      <c r="C95" s="31">
        <f ca="1">+B_2L/4</f>
        <v>1.3451443569553805</v>
      </c>
      <c r="D95" s="107">
        <f ca="1">D94</f>
        <v>3.4037360564304464</v>
      </c>
      <c r="E95" s="107">
        <f ca="1">+E93</f>
        <v>0.14914288057742783</v>
      </c>
      <c r="F95" s="26">
        <f t="shared" ca="1" si="48"/>
        <v>3.4037360564304464</v>
      </c>
      <c r="G95" s="26">
        <f t="shared" ca="1" si="48"/>
        <v>0.14914288057742783</v>
      </c>
      <c r="H95" s="10"/>
      <c r="I95" s="10"/>
    </row>
    <row r="96" spans="1:9" ht="10.199999999999999" customHeight="1">
      <c r="A96" s="105" t="s">
        <v>60</v>
      </c>
      <c r="B96" s="105"/>
      <c r="C96" s="282">
        <f ca="1">+B_2WL*B_2WTC</f>
        <v>471.11234496601389</v>
      </c>
      <c r="D96" s="107">
        <f ca="1">D93</f>
        <v>3.1054502952755909</v>
      </c>
      <c r="E96" s="107">
        <f ca="1">-E93</f>
        <v>-0.14914288057742783</v>
      </c>
      <c r="F96" s="26">
        <f t="shared" ca="1" si="48"/>
        <v>3.1054502952755909</v>
      </c>
      <c r="G96" s="26">
        <f t="shared" ca="1" si="48"/>
        <v>-0.14914288057742783</v>
      </c>
      <c r="H96" s="10"/>
      <c r="I96" s="10"/>
    </row>
    <row r="97" spans="1:9" ht="10.199999999999999" customHeight="1">
      <c r="A97" s="105" t="s">
        <v>42</v>
      </c>
      <c r="B97" s="105"/>
      <c r="C97" s="32">
        <f ca="1">PWatt*B_2SC*B_2PC</f>
        <v>500</v>
      </c>
      <c r="D97" s="107">
        <f ca="1">+D94</f>
        <v>3.4037360564304464</v>
      </c>
      <c r="E97" s="107">
        <f ca="1">+B_2WTC-E93</f>
        <v>1.1960014763779527</v>
      </c>
      <c r="F97" s="26">
        <f t="shared" ca="1" si="48"/>
        <v>3.4037360564304464</v>
      </c>
      <c r="G97" s="26">
        <f t="shared" ca="1" si="48"/>
        <v>1.1960014763779527</v>
      </c>
      <c r="H97" s="10"/>
      <c r="I97" s="10"/>
    </row>
    <row r="98" spans="1:9" ht="10.199999999999999" customHeight="1">
      <c r="A98" s="105" t="s">
        <v>36</v>
      </c>
      <c r="B98" s="105"/>
      <c r="C98" s="33">
        <f ca="1">PVmp*B_2SC</f>
        <v>61</v>
      </c>
      <c r="D98" s="107">
        <f ca="1">+D93</f>
        <v>3.1054502952755909</v>
      </c>
      <c r="E98" s="107">
        <f ca="1">+B_2WTC+E93</f>
        <v>1.4942872375328082</v>
      </c>
      <c r="F98" s="26">
        <f t="shared" ca="1" si="48"/>
        <v>3.1054502952755909</v>
      </c>
      <c r="G98" s="26">
        <f t="shared" ca="1" si="48"/>
        <v>1.4942872375328082</v>
      </c>
      <c r="H98" s="10"/>
      <c r="I98" s="10"/>
    </row>
    <row r="99" spans="1:9" ht="10.199999999999999" customHeight="1">
      <c r="A99" s="105" t="s">
        <v>37</v>
      </c>
      <c r="B99" s="105"/>
      <c r="C99" s="34">
        <f ca="1">PVoc*B_2SC</f>
        <v>74.400000000000006</v>
      </c>
      <c r="D99" s="107">
        <f ca="1">+D94</f>
        <v>3.4037360564304464</v>
      </c>
      <c r="E99" s="107">
        <f ca="1">E98</f>
        <v>1.4942872375328082</v>
      </c>
      <c r="F99" s="26">
        <f t="shared" ca="1" si="48"/>
        <v>3.4037360564304464</v>
      </c>
      <c r="G99" s="26">
        <f t="shared" ca="1" si="48"/>
        <v>1.4942872375328082</v>
      </c>
      <c r="H99" s="10"/>
      <c r="I99" s="10"/>
    </row>
    <row r="100" spans="1:9" ht="10.199999999999999" customHeight="1">
      <c r="A100" s="105" t="s">
        <v>43</v>
      </c>
      <c r="B100" s="105"/>
      <c r="C100" s="35">
        <f ca="1">PImp*B_2PC</f>
        <v>8.1999999999999993</v>
      </c>
      <c r="D100" s="107">
        <f ca="1">D93</f>
        <v>3.1054502952755909</v>
      </c>
      <c r="E100" s="107">
        <f ca="1">+E97</f>
        <v>1.1960014763779527</v>
      </c>
      <c r="F100" s="26">
        <f t="shared" ca="1" si="48"/>
        <v>3.1054502952755909</v>
      </c>
      <c r="G100" s="26">
        <f t="shared" ca="1" si="48"/>
        <v>1.1960014763779527</v>
      </c>
      <c r="H100" s="10"/>
      <c r="I100" s="10"/>
    </row>
    <row r="101" spans="1:9" ht="10.199999999999999" customHeight="1">
      <c r="A101" s="105" t="s">
        <v>44</v>
      </c>
      <c r="B101" s="105"/>
      <c r="C101" s="36">
        <f ca="1">PIsc*B_2PC</f>
        <v>8.8000000000000007</v>
      </c>
      <c r="H101" s="10"/>
      <c r="I101" s="10"/>
    </row>
    <row r="102" spans="1:9" ht="10.199999999999999" customHeight="1">
      <c r="C102" s="9" t="s">
        <v>53</v>
      </c>
      <c r="H102" s="10"/>
      <c r="I102" s="10"/>
    </row>
    <row r="103" spans="1:9" ht="10.199999999999999" customHeight="1">
      <c r="A103" s="22"/>
      <c r="B103" s="22"/>
      <c r="C103" s="9" t="s">
        <v>54</v>
      </c>
      <c r="H103" s="10"/>
      <c r="I103" s="10"/>
    </row>
    <row r="104" spans="1:9" ht="10.199999999999999" customHeight="1">
      <c r="A104" s="22"/>
      <c r="B104" s="22"/>
      <c r="C104" s="9"/>
      <c r="H104" s="10"/>
      <c r="I104" s="10"/>
    </row>
    <row r="105" spans="1:9" ht="10.199999999999999" customHeight="1">
      <c r="A105" s="305" t="s">
        <v>578</v>
      </c>
      <c r="B105" s="304"/>
      <c r="C105" s="23" t="str">
        <f ca="1">PModel</f>
        <v>SS250-60P</v>
      </c>
      <c r="D105" s="300">
        <f ca="1">+PLFt</f>
        <v>5.3805774278215219</v>
      </c>
      <c r="E105" s="300">
        <f ca="1">+PWFt</f>
        <v>3.2545931758530187</v>
      </c>
      <c r="F105" s="26"/>
      <c r="G105" s="26"/>
    </row>
    <row r="106" spans="1:9" ht="10.199999999999999" customHeight="1">
      <c r="A106" s="286" t="s">
        <v>8</v>
      </c>
      <c r="B106" s="286"/>
      <c r="C106" s="283">
        <f ca="1">C_2L*1+Spacing*0</f>
        <v>5.3805774278215219</v>
      </c>
      <c r="D106" s="107">
        <f>0</f>
        <v>0</v>
      </c>
      <c r="E106" s="107">
        <v>0</v>
      </c>
      <c r="F106" s="26">
        <f t="shared" ref="F106" si="49">+D106</f>
        <v>0</v>
      </c>
      <c r="G106" s="26">
        <f t="shared" ref="G106" si="50">+E106</f>
        <v>0</v>
      </c>
      <c r="H106" s="10"/>
      <c r="I106" s="10"/>
    </row>
    <row r="107" spans="1:9" ht="10.199999999999999" customHeight="1">
      <c r="A107" s="286" t="s">
        <v>0</v>
      </c>
      <c r="B107" s="286"/>
      <c r="C107" s="284">
        <f ca="1">+C_2W*2</f>
        <v>6.5091863517060373</v>
      </c>
      <c r="D107" s="107">
        <v>0</v>
      </c>
      <c r="E107" s="107">
        <f ca="1">C_2W</f>
        <v>3.2545931758530187</v>
      </c>
      <c r="F107" s="26">
        <f t="shared" ref="F107:F120" si="51">+D107</f>
        <v>0</v>
      </c>
      <c r="G107" s="26">
        <f t="shared" ref="G107:G120" ca="1" si="52">+E107</f>
        <v>3.2545931758530187</v>
      </c>
      <c r="H107" s="10"/>
      <c r="I107" s="10"/>
    </row>
    <row r="108" spans="1:9" ht="10.199999999999999" customHeight="1">
      <c r="A108" s="286" t="s">
        <v>2</v>
      </c>
      <c r="B108" s="286"/>
      <c r="C108" s="284">
        <f ca="1">+C_2W*2</f>
        <v>6.5091863517060373</v>
      </c>
      <c r="D108" s="107">
        <f ca="1">C_2L*1</f>
        <v>5.3805774278215219</v>
      </c>
      <c r="E108" s="107">
        <f ca="1">C_2W</f>
        <v>3.2545931758530187</v>
      </c>
      <c r="F108" s="26">
        <f t="shared" ca="1" si="51"/>
        <v>5.3805774278215219</v>
      </c>
      <c r="G108" s="26">
        <f t="shared" ca="1" si="52"/>
        <v>3.2545931758530187</v>
      </c>
      <c r="H108" s="10"/>
      <c r="I108" s="10"/>
    </row>
    <row r="109" spans="1:9" ht="10.199999999999999" customHeight="1">
      <c r="A109" s="286" t="s">
        <v>206</v>
      </c>
      <c r="B109" s="286"/>
      <c r="C109" s="284">
        <f>0</f>
        <v>0</v>
      </c>
      <c r="D109" s="107">
        <f ca="1">C_2L*1</f>
        <v>5.3805774278215219</v>
      </c>
      <c r="E109" s="107">
        <f ca="1">-C_2W</f>
        <v>-3.2545931758530187</v>
      </c>
      <c r="F109" s="26">
        <f t="shared" ca="1" si="51"/>
        <v>5.3805774278215219</v>
      </c>
      <c r="G109" s="26">
        <f t="shared" ca="1" si="52"/>
        <v>-3.2545931758530187</v>
      </c>
      <c r="H109" s="10"/>
      <c r="I109" s="10"/>
    </row>
    <row r="110" spans="1:9" ht="10.199999999999999" customHeight="1">
      <c r="A110" s="286" t="s">
        <v>207</v>
      </c>
      <c r="B110" s="286"/>
      <c r="C110" s="285">
        <f>0</f>
        <v>0</v>
      </c>
      <c r="D110" s="107">
        <v>0</v>
      </c>
      <c r="E110" s="107">
        <f ca="1">-C_2W</f>
        <v>-3.2545931758530187</v>
      </c>
      <c r="F110" s="26">
        <f t="shared" si="51"/>
        <v>0</v>
      </c>
      <c r="G110" s="26">
        <f t="shared" ca="1" si="52"/>
        <v>-3.2545931758530187</v>
      </c>
      <c r="H110" s="10"/>
      <c r="I110" s="10"/>
    </row>
    <row r="111" spans="1:9" ht="10.199999999999999" customHeight="1">
      <c r="A111" s="105" t="s">
        <v>69</v>
      </c>
      <c r="B111" s="105"/>
      <c r="C111" s="163">
        <v>2</v>
      </c>
      <c r="D111" s="107">
        <v>0</v>
      </c>
      <c r="E111" s="107">
        <v>0</v>
      </c>
      <c r="F111" s="26">
        <f t="shared" si="51"/>
        <v>0</v>
      </c>
      <c r="G111" s="26">
        <f t="shared" si="52"/>
        <v>0</v>
      </c>
      <c r="H111" s="10"/>
      <c r="I111" s="10"/>
    </row>
    <row r="112" spans="1:9" ht="10.199999999999999" customHeight="1">
      <c r="A112" s="105" t="s">
        <v>70</v>
      </c>
      <c r="B112" s="105"/>
      <c r="C112" s="164">
        <v>1</v>
      </c>
      <c r="D112" s="107">
        <f ca="1">C_2L*1</f>
        <v>5.3805774278215219</v>
      </c>
      <c r="E112" s="107">
        <v>0</v>
      </c>
      <c r="F112" s="26">
        <f t="shared" ca="1" si="51"/>
        <v>5.3805774278215219</v>
      </c>
      <c r="G112" s="26">
        <f t="shared" si="52"/>
        <v>0</v>
      </c>
      <c r="H112" s="10"/>
      <c r="I112" s="10"/>
    </row>
    <row r="113" spans="1:9" ht="10.199999999999999" customHeight="1">
      <c r="A113" s="105" t="s">
        <v>51</v>
      </c>
      <c r="B113" s="105"/>
      <c r="C113" s="98">
        <f ca="1">+C_2L*C_2W*C_2SC*C_2PC</f>
        <v>35.023181157473424</v>
      </c>
      <c r="D113" s="107">
        <f ca="1">+C_2WC-E113</f>
        <v>2.5416666666666665</v>
      </c>
      <c r="E113" s="107">
        <f ca="1">AVERAGE(C_2PL,C_2PWHE)/CM</f>
        <v>0.1486220472440945</v>
      </c>
      <c r="F113" s="26">
        <f t="shared" ca="1" si="51"/>
        <v>2.5416666666666665</v>
      </c>
      <c r="G113" s="26">
        <f t="shared" ca="1" si="52"/>
        <v>0.1486220472440945</v>
      </c>
      <c r="H113" s="10"/>
      <c r="I113" s="10"/>
    </row>
    <row r="114" spans="1:9" ht="10.199999999999999" customHeight="1">
      <c r="A114" s="105" t="s">
        <v>52</v>
      </c>
      <c r="B114" s="105"/>
      <c r="C114" s="281">
        <f ca="1">C_2PA*StraightLineWind</f>
        <v>350.23181157473425</v>
      </c>
      <c r="D114" s="107">
        <f ca="1">+C_2WC+E113</f>
        <v>2.8389107611548554</v>
      </c>
      <c r="E114" s="107">
        <f ca="1">-E113</f>
        <v>-0.1486220472440945</v>
      </c>
      <c r="F114" s="26">
        <f t="shared" ca="1" si="51"/>
        <v>2.8389107611548554</v>
      </c>
      <c r="G114" s="26">
        <f t="shared" ca="1" si="52"/>
        <v>-0.1486220472440945</v>
      </c>
      <c r="H114" s="10"/>
      <c r="I114" s="10"/>
    </row>
    <row r="115" spans="1:9" ht="10.199999999999999" customHeight="1">
      <c r="A115" s="105" t="s">
        <v>82</v>
      </c>
      <c r="B115" s="105"/>
      <c r="C115" s="31">
        <f ca="1">+C_2L/2</f>
        <v>2.690288713910761</v>
      </c>
      <c r="D115" s="107">
        <f ca="1">D114</f>
        <v>2.8389107611548554</v>
      </c>
      <c r="E115" s="107">
        <f ca="1">+E113</f>
        <v>0.1486220472440945</v>
      </c>
      <c r="F115" s="26">
        <f t="shared" ca="1" si="51"/>
        <v>2.8389107611548554</v>
      </c>
      <c r="G115" s="26">
        <f t="shared" ca="1" si="52"/>
        <v>0.1486220472440945</v>
      </c>
      <c r="H115" s="10"/>
      <c r="I115" s="10"/>
    </row>
    <row r="116" spans="1:9" ht="10.199999999999999" customHeight="1">
      <c r="A116" s="105" t="s">
        <v>83</v>
      </c>
      <c r="B116" s="105"/>
      <c r="C116" s="31">
        <f ca="1">+C_2W/2</f>
        <v>1.6272965879265093</v>
      </c>
      <c r="D116" s="107">
        <f ca="1">D113</f>
        <v>2.5416666666666665</v>
      </c>
      <c r="E116" s="107">
        <f ca="1">-E113</f>
        <v>-0.1486220472440945</v>
      </c>
      <c r="F116" s="26">
        <f t="shared" ca="1" si="51"/>
        <v>2.5416666666666665</v>
      </c>
      <c r="G116" s="26">
        <f t="shared" ca="1" si="52"/>
        <v>-0.1486220472440945</v>
      </c>
      <c r="H116" s="10"/>
      <c r="I116" s="10"/>
    </row>
    <row r="117" spans="1:9" ht="10.199999999999999" customHeight="1">
      <c r="A117" s="105" t="s">
        <v>60</v>
      </c>
      <c r="B117" s="105"/>
      <c r="C117" s="282">
        <f ca="1">+C_2WL*C_2WTC</f>
        <v>569.93103195888523</v>
      </c>
      <c r="D117" s="107">
        <f ca="1">+D114</f>
        <v>2.8389107611548554</v>
      </c>
      <c r="E117" s="107">
        <f ca="1">+C_2WTC-E113</f>
        <v>1.4786745406824149</v>
      </c>
      <c r="F117" s="26">
        <f t="shared" ca="1" si="51"/>
        <v>2.8389107611548554</v>
      </c>
      <c r="G117" s="26">
        <f t="shared" ca="1" si="52"/>
        <v>1.4786745406824149</v>
      </c>
      <c r="H117" s="10"/>
      <c r="I117" s="10"/>
    </row>
    <row r="118" spans="1:9" ht="10.199999999999999" customHeight="1">
      <c r="A118" s="105" t="s">
        <v>42</v>
      </c>
      <c r="B118" s="105"/>
      <c r="C118" s="32">
        <f ca="1">PWatt*C_2SC*C_2PC</f>
        <v>500</v>
      </c>
      <c r="D118" s="107">
        <f ca="1">+D113</f>
        <v>2.5416666666666665</v>
      </c>
      <c r="E118" s="107">
        <f ca="1">+C_2WTC+E113</f>
        <v>1.7759186351706038</v>
      </c>
      <c r="F118" s="26">
        <f t="shared" ca="1" si="51"/>
        <v>2.5416666666666665</v>
      </c>
      <c r="G118" s="26">
        <f t="shared" ca="1" si="52"/>
        <v>1.7759186351706038</v>
      </c>
      <c r="H118" s="10"/>
      <c r="I118" s="10"/>
    </row>
    <row r="119" spans="1:9" ht="10.199999999999999" customHeight="1">
      <c r="A119" s="105" t="s">
        <v>36</v>
      </c>
      <c r="B119" s="105"/>
      <c r="C119" s="33">
        <f ca="1">PVmp*C_2SC</f>
        <v>61</v>
      </c>
      <c r="D119" s="107">
        <f ca="1">+D114</f>
        <v>2.8389107611548554</v>
      </c>
      <c r="E119" s="107">
        <f ca="1">E118</f>
        <v>1.7759186351706038</v>
      </c>
      <c r="F119" s="26">
        <f t="shared" ca="1" si="51"/>
        <v>2.8389107611548554</v>
      </c>
      <c r="G119" s="26">
        <f t="shared" ca="1" si="52"/>
        <v>1.7759186351706038</v>
      </c>
      <c r="H119" s="10"/>
      <c r="I119" s="10"/>
    </row>
    <row r="120" spans="1:9" ht="10.199999999999999" customHeight="1">
      <c r="A120" s="105" t="s">
        <v>37</v>
      </c>
      <c r="B120" s="105"/>
      <c r="C120" s="34">
        <f ca="1">PVoc*C_2SC</f>
        <v>74.400000000000006</v>
      </c>
      <c r="D120" s="107">
        <f ca="1">D113</f>
        <v>2.5416666666666665</v>
      </c>
      <c r="E120" s="107">
        <f ca="1">+E117</f>
        <v>1.4786745406824149</v>
      </c>
      <c r="F120" s="26">
        <f t="shared" ca="1" si="51"/>
        <v>2.5416666666666665</v>
      </c>
      <c r="G120" s="26">
        <f t="shared" ca="1" si="52"/>
        <v>1.4786745406824149</v>
      </c>
      <c r="H120" s="10"/>
      <c r="I120" s="10"/>
    </row>
    <row r="121" spans="1:9" ht="10.199999999999999" customHeight="1">
      <c r="A121" s="105" t="s">
        <v>43</v>
      </c>
      <c r="B121" s="105"/>
      <c r="C121" s="35">
        <f ca="1">PImp*C_2PC</f>
        <v>8.1999999999999993</v>
      </c>
      <c r="H121" s="10"/>
      <c r="I121" s="10"/>
    </row>
    <row r="122" spans="1:9" ht="10.199999999999999" customHeight="1">
      <c r="A122" s="105" t="s">
        <v>44</v>
      </c>
      <c r="B122" s="105"/>
      <c r="C122" s="36">
        <f ca="1">PIsc*C_2PC</f>
        <v>8.8000000000000007</v>
      </c>
      <c r="H122" s="10"/>
      <c r="I122" s="10"/>
    </row>
    <row r="123" spans="1:9" ht="10.199999999999999" customHeight="1">
      <c r="C123" s="9" t="s">
        <v>53</v>
      </c>
      <c r="H123" s="10"/>
      <c r="I123" s="10"/>
    </row>
    <row r="124" spans="1:9" ht="10.199999999999999" customHeight="1">
      <c r="A124" s="22"/>
      <c r="B124" s="22"/>
      <c r="C124" s="9" t="s">
        <v>54</v>
      </c>
      <c r="H124" s="10"/>
      <c r="I124" s="10"/>
    </row>
    <row r="125" spans="1:9" ht="10.199999999999999" customHeight="1">
      <c r="A125" s="22"/>
      <c r="B125" s="22"/>
      <c r="C125" s="9"/>
      <c r="D125" s="107"/>
      <c r="E125" s="107"/>
      <c r="F125" s="26"/>
      <c r="G125" s="26"/>
      <c r="H125" s="10"/>
      <c r="I125" s="10"/>
    </row>
    <row r="126" spans="1:9" ht="10.199999999999999" customHeight="1">
      <c r="A126" s="305" t="s">
        <v>356</v>
      </c>
      <c r="B126" s="304"/>
      <c r="C126" s="23" t="str">
        <f ca="1">PModel</f>
        <v>SS250-60P</v>
      </c>
      <c r="D126" s="300">
        <f ca="1">+PLFt</f>
        <v>5.3805774278215219</v>
      </c>
      <c r="E126" s="300">
        <f ca="1">+PWFt</f>
        <v>3.2545931758530187</v>
      </c>
      <c r="F126" s="26"/>
      <c r="G126" s="26"/>
    </row>
    <row r="127" spans="1:9" ht="10.199999999999999" customHeight="1">
      <c r="A127" s="286" t="s">
        <v>8</v>
      </c>
      <c r="B127" s="286"/>
      <c r="C127" s="283">
        <f ca="1">B_3W*3+Spacing*2</f>
        <v>9.8471128608923895</v>
      </c>
      <c r="D127" s="107">
        <f>0</f>
        <v>0</v>
      </c>
      <c r="E127" s="107">
        <f ca="1">B_3L/2</f>
        <v>2.690288713910761</v>
      </c>
      <c r="F127" s="26">
        <f t="shared" ref="F127:F133" si="53">+D127</f>
        <v>0</v>
      </c>
      <c r="G127" s="26">
        <f t="shared" ref="G127:G133" ca="1" si="54">+E127</f>
        <v>2.690288713910761</v>
      </c>
      <c r="H127" s="10"/>
      <c r="I127" s="10"/>
    </row>
    <row r="128" spans="1:9" ht="10.199999999999999" customHeight="1">
      <c r="A128" s="286" t="s">
        <v>0</v>
      </c>
      <c r="B128" s="286"/>
      <c r="C128" s="284">
        <f ca="1">+B_3L</f>
        <v>5.3805774278215219</v>
      </c>
      <c r="D128" s="107">
        <f ca="1">B_3W</f>
        <v>3.2545931758530187</v>
      </c>
      <c r="E128" s="107">
        <f ca="1">B_3L/2</f>
        <v>2.690288713910761</v>
      </c>
      <c r="F128" s="26">
        <f t="shared" ca="1" si="53"/>
        <v>3.2545931758530187</v>
      </c>
      <c r="G128" s="26">
        <f t="shared" ca="1" si="54"/>
        <v>2.690288713910761</v>
      </c>
      <c r="H128" s="10"/>
      <c r="I128" s="10"/>
    </row>
    <row r="129" spans="1:9" ht="10.199999999999999" customHeight="1">
      <c r="A129" s="286" t="s">
        <v>2</v>
      </c>
      <c r="B129" s="286"/>
      <c r="C129" s="284">
        <f ca="1">+B_3L</f>
        <v>5.3805774278215219</v>
      </c>
      <c r="D129" s="107">
        <f ca="1">B_3W</f>
        <v>3.2545931758530187</v>
      </c>
      <c r="E129" s="107">
        <f ca="1">-B_3L/2</f>
        <v>-2.690288713910761</v>
      </c>
      <c r="F129" s="26">
        <f t="shared" ca="1" si="53"/>
        <v>3.2545931758530187</v>
      </c>
      <c r="G129" s="26">
        <f t="shared" ca="1" si="54"/>
        <v>-2.690288713910761</v>
      </c>
      <c r="H129" s="10"/>
      <c r="I129" s="10"/>
    </row>
    <row r="130" spans="1:9" ht="10.199999999999999" customHeight="1">
      <c r="A130" s="286" t="s">
        <v>206</v>
      </c>
      <c r="B130" s="286"/>
      <c r="C130" s="284">
        <f>0</f>
        <v>0</v>
      </c>
      <c r="D130" s="107">
        <f ca="1">B_3W*2</f>
        <v>6.5091863517060373</v>
      </c>
      <c r="E130" s="107">
        <f ca="1">-B_3L/2</f>
        <v>-2.690288713910761</v>
      </c>
      <c r="F130" s="26">
        <f t="shared" ca="1" si="53"/>
        <v>6.5091863517060373</v>
      </c>
      <c r="G130" s="26">
        <f t="shared" ca="1" si="54"/>
        <v>-2.690288713910761</v>
      </c>
      <c r="H130" s="10"/>
      <c r="I130" s="10"/>
    </row>
    <row r="131" spans="1:9" ht="10.199999999999999" customHeight="1">
      <c r="A131" s="286" t="s">
        <v>207</v>
      </c>
      <c r="B131" s="286"/>
      <c r="C131" s="285">
        <f>0</f>
        <v>0</v>
      </c>
      <c r="D131" s="107">
        <f ca="1">B_3W*2</f>
        <v>6.5091863517060373</v>
      </c>
      <c r="E131" s="107">
        <f ca="1">B_3L/2</f>
        <v>2.690288713910761</v>
      </c>
      <c r="F131" s="26">
        <f t="shared" ca="1" si="53"/>
        <v>6.5091863517060373</v>
      </c>
      <c r="G131" s="26">
        <f t="shared" ca="1" si="54"/>
        <v>2.690288713910761</v>
      </c>
      <c r="H131" s="10"/>
      <c r="I131" s="10"/>
    </row>
    <row r="132" spans="1:9" ht="10.199999999999999" customHeight="1">
      <c r="A132" s="105" t="s">
        <v>69</v>
      </c>
      <c r="B132" s="105"/>
      <c r="C132" s="163">
        <v>3</v>
      </c>
      <c r="D132" s="107">
        <f ca="1">B_3W*3</f>
        <v>9.7637795275590555</v>
      </c>
      <c r="E132" s="107">
        <f ca="1">B_3L/2</f>
        <v>2.690288713910761</v>
      </c>
      <c r="F132" s="26">
        <f t="shared" ca="1" si="53"/>
        <v>9.7637795275590555</v>
      </c>
      <c r="G132" s="26">
        <f t="shared" ca="1" si="54"/>
        <v>2.690288713910761</v>
      </c>
      <c r="H132" s="10"/>
      <c r="I132" s="10"/>
    </row>
    <row r="133" spans="1:9" ht="10.199999999999999" customHeight="1">
      <c r="A133" s="105" t="s">
        <v>70</v>
      </c>
      <c r="B133" s="105"/>
      <c r="C133" s="164">
        <v>1</v>
      </c>
      <c r="D133" s="107">
        <f ca="1">B_3W*3</f>
        <v>9.7637795275590555</v>
      </c>
      <c r="E133" s="107">
        <f ca="1">-B_3L/2</f>
        <v>-2.690288713910761</v>
      </c>
      <c r="F133" s="26">
        <f t="shared" ca="1" si="53"/>
        <v>9.7637795275590555</v>
      </c>
      <c r="G133" s="26">
        <f t="shared" ca="1" si="54"/>
        <v>-2.690288713910761</v>
      </c>
      <c r="H133" s="10"/>
      <c r="I133" s="10"/>
    </row>
    <row r="134" spans="1:9" ht="10.199999999999999" customHeight="1">
      <c r="A134" s="105" t="s">
        <v>51</v>
      </c>
      <c r="B134" s="105"/>
      <c r="C134" s="98">
        <f ca="1">+B_3L*B_3W*B_3SC*B_3PC</f>
        <v>52.534771736210132</v>
      </c>
      <c r="D134" s="107">
        <f>0</f>
        <v>0</v>
      </c>
      <c r="E134" s="107">
        <f ca="1">-B_3L/2</f>
        <v>-2.690288713910761</v>
      </c>
      <c r="F134" s="26">
        <f>+D134</f>
        <v>0</v>
      </c>
      <c r="G134" s="26">
        <f ca="1">+E134</f>
        <v>-2.690288713910761</v>
      </c>
      <c r="H134" s="10"/>
      <c r="I134" s="10"/>
    </row>
    <row r="135" spans="1:9" ht="10.199999999999999" customHeight="1">
      <c r="A135" s="105" t="s">
        <v>52</v>
      </c>
      <c r="B135" s="105"/>
      <c r="C135" s="281">
        <f ca="1">B_3PA*StraightLineWind</f>
        <v>525.34771736210132</v>
      </c>
      <c r="D135" s="107">
        <f>0</f>
        <v>0</v>
      </c>
      <c r="E135" s="107">
        <f ca="1">B_3L/2</f>
        <v>2.690288713910761</v>
      </c>
      <c r="F135" s="26">
        <f t="shared" ref="F135:F144" si="55">+D135</f>
        <v>0</v>
      </c>
      <c r="G135" s="26">
        <f t="shared" ref="G135:G144" ca="1" si="56">+E135</f>
        <v>2.690288713910761</v>
      </c>
      <c r="H135" s="10"/>
      <c r="I135" s="10"/>
    </row>
    <row r="136" spans="1:9" ht="10.199999999999999" customHeight="1">
      <c r="A136" s="105" t="s">
        <v>82</v>
      </c>
      <c r="B136" s="105"/>
      <c r="C136" s="31">
        <f ca="1">+B_3W*1.5</f>
        <v>4.8818897637795278</v>
      </c>
      <c r="D136" s="107">
        <f ca="1">B_3W*2</f>
        <v>6.5091863517060373</v>
      </c>
      <c r="E136" s="107">
        <f ca="1">B_3L/2</f>
        <v>2.690288713910761</v>
      </c>
      <c r="F136" s="26">
        <f t="shared" ca="1" si="55"/>
        <v>6.5091863517060373</v>
      </c>
      <c r="G136" s="26">
        <f t="shared" ca="1" si="56"/>
        <v>2.690288713910761</v>
      </c>
      <c r="H136" s="10"/>
      <c r="I136" s="10"/>
    </row>
    <row r="137" spans="1:9" ht="10.199999999999999" customHeight="1">
      <c r="A137" s="105" t="s">
        <v>83</v>
      </c>
      <c r="B137" s="105"/>
      <c r="C137" s="31">
        <f ca="1">+B_3L/4</f>
        <v>1.3451443569553805</v>
      </c>
      <c r="D137" s="107">
        <f ca="1">+B_3WC-E137</f>
        <v>4.6915436351706035</v>
      </c>
      <c r="E137" s="107">
        <f ca="1">AVERAGE(B_3PL,B_3PWHE)/CM</f>
        <v>0.19034612860892391</v>
      </c>
      <c r="F137" s="26">
        <f t="shared" ca="1" si="55"/>
        <v>4.6915436351706035</v>
      </c>
      <c r="G137" s="26">
        <f t="shared" ca="1" si="56"/>
        <v>0.19034612860892391</v>
      </c>
      <c r="H137" s="10"/>
      <c r="I137" s="10"/>
    </row>
    <row r="138" spans="1:9" ht="10.199999999999999" customHeight="1">
      <c r="A138" s="105" t="s">
        <v>60</v>
      </c>
      <c r="B138" s="105"/>
      <c r="C138" s="282">
        <f ca="1">+B_3WL*B_3WTC</f>
        <v>706.66851744902078</v>
      </c>
      <c r="D138" s="107">
        <f ca="1">+B_3WC+E137</f>
        <v>5.0722358923884521</v>
      </c>
      <c r="E138" s="107">
        <f ca="1">-E137</f>
        <v>-0.19034612860892391</v>
      </c>
      <c r="F138" s="26">
        <f t="shared" ca="1" si="55"/>
        <v>5.0722358923884521</v>
      </c>
      <c r="G138" s="26">
        <f t="shared" ca="1" si="56"/>
        <v>-0.19034612860892391</v>
      </c>
      <c r="H138" s="10"/>
      <c r="I138" s="10"/>
    </row>
    <row r="139" spans="1:9" ht="10.199999999999999" customHeight="1">
      <c r="A139" s="105" t="s">
        <v>42</v>
      </c>
      <c r="B139" s="105"/>
      <c r="C139" s="32">
        <f ca="1">PWatt*B_3SC*B_3PC</f>
        <v>750</v>
      </c>
      <c r="D139" s="107">
        <f ca="1">D138</f>
        <v>5.0722358923884521</v>
      </c>
      <c r="E139" s="107">
        <f ca="1">+E137</f>
        <v>0.19034612860892391</v>
      </c>
      <c r="F139" s="26">
        <f t="shared" ca="1" si="55"/>
        <v>5.0722358923884521</v>
      </c>
      <c r="G139" s="26">
        <f t="shared" ca="1" si="56"/>
        <v>0.19034612860892391</v>
      </c>
      <c r="H139" s="10"/>
      <c r="I139" s="10"/>
    </row>
    <row r="140" spans="1:9" ht="10.199999999999999" customHeight="1">
      <c r="A140" s="105" t="s">
        <v>36</v>
      </c>
      <c r="B140" s="105"/>
      <c r="C140" s="33">
        <f ca="1">PVmp*B_3SC</f>
        <v>91.5</v>
      </c>
      <c r="D140" s="107">
        <f ca="1">D137</f>
        <v>4.6915436351706035</v>
      </c>
      <c r="E140" s="107">
        <f ca="1">-E137</f>
        <v>-0.19034612860892391</v>
      </c>
      <c r="F140" s="26">
        <f t="shared" ca="1" si="55"/>
        <v>4.6915436351706035</v>
      </c>
      <c r="G140" s="26">
        <f t="shared" ca="1" si="56"/>
        <v>-0.19034612860892391</v>
      </c>
      <c r="H140" s="10"/>
      <c r="I140" s="10"/>
    </row>
    <row r="141" spans="1:9" ht="10.199999999999999" customHeight="1">
      <c r="A141" s="105" t="s">
        <v>37</v>
      </c>
      <c r="B141" s="105"/>
      <c r="C141" s="34">
        <f ca="1">PVoc*B_3SC</f>
        <v>111.60000000000001</v>
      </c>
      <c r="D141" s="107">
        <f ca="1">+D138</f>
        <v>5.0722358923884521</v>
      </c>
      <c r="E141" s="107">
        <f ca="1">+B_3WTC-E137</f>
        <v>1.1547982283464566</v>
      </c>
      <c r="F141" s="26">
        <f t="shared" ca="1" si="55"/>
        <v>5.0722358923884521</v>
      </c>
      <c r="G141" s="26">
        <f t="shared" ca="1" si="56"/>
        <v>1.1547982283464566</v>
      </c>
      <c r="H141" s="10"/>
      <c r="I141" s="10"/>
    </row>
    <row r="142" spans="1:9" ht="10.199999999999999" customHeight="1">
      <c r="A142" s="105" t="s">
        <v>43</v>
      </c>
      <c r="B142" s="105"/>
      <c r="C142" s="35">
        <f ca="1">PImp*B_3PC</f>
        <v>8.1999999999999993</v>
      </c>
      <c r="D142" s="107">
        <f ca="1">+D137</f>
        <v>4.6915436351706035</v>
      </c>
      <c r="E142" s="107">
        <f ca="1">+B_3WTC+E137</f>
        <v>1.5354904855643043</v>
      </c>
      <c r="F142" s="26">
        <f t="shared" ca="1" si="55"/>
        <v>4.6915436351706035</v>
      </c>
      <c r="G142" s="26">
        <f t="shared" ca="1" si="56"/>
        <v>1.5354904855643043</v>
      </c>
      <c r="H142" s="10"/>
      <c r="I142" s="10"/>
    </row>
    <row r="143" spans="1:9" ht="10.199999999999999" customHeight="1">
      <c r="A143" s="105" t="s">
        <v>44</v>
      </c>
      <c r="B143" s="105"/>
      <c r="C143" s="36">
        <f ca="1">PIsc*B_3PC</f>
        <v>8.8000000000000007</v>
      </c>
      <c r="D143" s="107">
        <f ca="1">+D138</f>
        <v>5.0722358923884521</v>
      </c>
      <c r="E143" s="107">
        <f ca="1">E142</f>
        <v>1.5354904855643043</v>
      </c>
      <c r="F143" s="26">
        <f t="shared" ca="1" si="55"/>
        <v>5.0722358923884521</v>
      </c>
      <c r="G143" s="26">
        <f t="shared" ca="1" si="56"/>
        <v>1.5354904855643043</v>
      </c>
      <c r="H143" s="10"/>
      <c r="I143" s="10"/>
    </row>
    <row r="144" spans="1:9" ht="10.199999999999999" customHeight="1">
      <c r="C144" s="9" t="s">
        <v>53</v>
      </c>
      <c r="D144" s="107">
        <f ca="1">D137</f>
        <v>4.6915436351706035</v>
      </c>
      <c r="E144" s="107">
        <f ca="1">+E141</f>
        <v>1.1547982283464566</v>
      </c>
      <c r="F144" s="26">
        <f t="shared" ca="1" si="55"/>
        <v>4.6915436351706035</v>
      </c>
      <c r="G144" s="26">
        <f t="shared" ca="1" si="56"/>
        <v>1.1547982283464566</v>
      </c>
      <c r="H144" s="10"/>
      <c r="I144" s="10"/>
    </row>
    <row r="145" spans="1:9" ht="10.199999999999999" customHeight="1">
      <c r="A145" s="22"/>
      <c r="B145" s="22"/>
      <c r="C145" s="9" t="s">
        <v>54</v>
      </c>
      <c r="H145" s="10"/>
      <c r="I145" s="10"/>
    </row>
    <row r="146" spans="1:9" ht="10.199999999999999" customHeight="1">
      <c r="A146" s="22"/>
      <c r="B146" s="22"/>
      <c r="C146" s="9"/>
      <c r="D146" s="107"/>
      <c r="E146" s="107"/>
      <c r="F146" s="26"/>
      <c r="G146" s="26"/>
      <c r="I146" s="10"/>
    </row>
    <row r="147" spans="1:9" ht="10.199999999999999" customHeight="1">
      <c r="A147" s="305" t="s">
        <v>221</v>
      </c>
      <c r="B147" s="304"/>
      <c r="C147" s="23" t="str">
        <f ca="1">PModel</f>
        <v>SS250-60P</v>
      </c>
      <c r="D147" s="300">
        <f ca="1">+PLFt</f>
        <v>5.3805774278215219</v>
      </c>
      <c r="E147" s="300">
        <f ca="1">+PWFt</f>
        <v>3.2545931758530187</v>
      </c>
      <c r="F147" s="26"/>
      <c r="G147" s="26"/>
    </row>
    <row r="148" spans="1:9" ht="10.199999999999999" customHeight="1">
      <c r="A148" s="286" t="s">
        <v>8</v>
      </c>
      <c r="B148" s="286"/>
      <c r="C148" s="283">
        <f ca="1">B_4W*4+Spacing*3</f>
        <v>13.143372703412075</v>
      </c>
      <c r="D148" s="107">
        <f>0</f>
        <v>0</v>
      </c>
      <c r="E148" s="107">
        <f ca="1">B_4L/2</f>
        <v>2.690288713910761</v>
      </c>
      <c r="F148" s="26">
        <f t="shared" ref="F148:F156" si="57">+D148</f>
        <v>0</v>
      </c>
      <c r="G148" s="26">
        <f t="shared" ref="G148:G156" ca="1" si="58">+E148</f>
        <v>2.690288713910761</v>
      </c>
      <c r="H148" s="10"/>
      <c r="I148" s="10"/>
    </row>
    <row r="149" spans="1:9" ht="10.199999999999999" customHeight="1">
      <c r="A149" s="286" t="s">
        <v>0</v>
      </c>
      <c r="B149" s="286"/>
      <c r="C149" s="284">
        <f ca="1">+B_4L</f>
        <v>5.3805774278215219</v>
      </c>
      <c r="D149" s="107">
        <f ca="1">B_4W</f>
        <v>3.2545931758530187</v>
      </c>
      <c r="E149" s="107">
        <f ca="1">B_4L/2</f>
        <v>2.690288713910761</v>
      </c>
      <c r="F149" s="26">
        <f t="shared" ca="1" si="57"/>
        <v>3.2545931758530187</v>
      </c>
      <c r="G149" s="26">
        <f t="shared" ca="1" si="58"/>
        <v>2.690288713910761</v>
      </c>
      <c r="H149" s="10"/>
      <c r="I149" s="10"/>
    </row>
    <row r="150" spans="1:9" ht="10.199999999999999" customHeight="1">
      <c r="A150" s="286" t="s">
        <v>2</v>
      </c>
      <c r="B150" s="286"/>
      <c r="C150" s="284">
        <f ca="1">+B_4L</f>
        <v>5.3805774278215219</v>
      </c>
      <c r="D150" s="107">
        <f ca="1">B_4W</f>
        <v>3.2545931758530187</v>
      </c>
      <c r="E150" s="107">
        <f ca="1">-B_4L/2</f>
        <v>-2.690288713910761</v>
      </c>
      <c r="F150" s="26">
        <f t="shared" ca="1" si="57"/>
        <v>3.2545931758530187</v>
      </c>
      <c r="G150" s="26">
        <f t="shared" ca="1" si="58"/>
        <v>-2.690288713910761</v>
      </c>
      <c r="H150" s="10"/>
      <c r="I150" s="10"/>
    </row>
    <row r="151" spans="1:9" ht="10.199999999999999" customHeight="1">
      <c r="A151" s="286" t="s">
        <v>206</v>
      </c>
      <c r="B151" s="286"/>
      <c r="C151" s="284">
        <f>0</f>
        <v>0</v>
      </c>
      <c r="D151" s="107">
        <f ca="1">B_4W*2</f>
        <v>6.5091863517060373</v>
      </c>
      <c r="E151" s="107">
        <f ca="1">-B_4L/2</f>
        <v>-2.690288713910761</v>
      </c>
      <c r="F151" s="26">
        <f t="shared" ca="1" si="57"/>
        <v>6.5091863517060373</v>
      </c>
      <c r="G151" s="26">
        <f t="shared" ca="1" si="58"/>
        <v>-2.690288713910761</v>
      </c>
      <c r="H151" s="10"/>
      <c r="I151" s="10"/>
    </row>
    <row r="152" spans="1:9" ht="10.199999999999999" customHeight="1">
      <c r="A152" s="286" t="s">
        <v>207</v>
      </c>
      <c r="B152" s="286"/>
      <c r="C152" s="285">
        <f>0</f>
        <v>0</v>
      </c>
      <c r="D152" s="107">
        <f ca="1">B_4W*2</f>
        <v>6.5091863517060373</v>
      </c>
      <c r="E152" s="107">
        <f ca="1">B_4L/2</f>
        <v>2.690288713910761</v>
      </c>
      <c r="F152" s="26">
        <f t="shared" ca="1" si="57"/>
        <v>6.5091863517060373</v>
      </c>
      <c r="G152" s="26">
        <f t="shared" ca="1" si="58"/>
        <v>2.690288713910761</v>
      </c>
      <c r="H152" s="10"/>
      <c r="I152" s="10"/>
    </row>
    <row r="153" spans="1:9" ht="10.199999999999999" customHeight="1">
      <c r="A153" s="105" t="s">
        <v>69</v>
      </c>
      <c r="B153" s="105"/>
      <c r="C153" s="163">
        <v>4</v>
      </c>
      <c r="D153" s="107">
        <f ca="1">B_4W*3</f>
        <v>9.7637795275590555</v>
      </c>
      <c r="E153" s="107">
        <f ca="1">B_4L/2</f>
        <v>2.690288713910761</v>
      </c>
      <c r="F153" s="26">
        <f t="shared" ca="1" si="57"/>
        <v>9.7637795275590555</v>
      </c>
      <c r="G153" s="26">
        <f t="shared" ca="1" si="58"/>
        <v>2.690288713910761</v>
      </c>
      <c r="H153" s="10"/>
      <c r="I153" s="10"/>
    </row>
    <row r="154" spans="1:9" ht="10.199999999999999" customHeight="1">
      <c r="A154" s="105" t="s">
        <v>70</v>
      </c>
      <c r="B154" s="105"/>
      <c r="C154" s="164">
        <v>1</v>
      </c>
      <c r="D154" s="107">
        <f ca="1">B_4W*3</f>
        <v>9.7637795275590555</v>
      </c>
      <c r="E154" s="107">
        <f ca="1">-B_4L/2</f>
        <v>-2.690288713910761</v>
      </c>
      <c r="F154" s="26">
        <f t="shared" ca="1" si="57"/>
        <v>9.7637795275590555</v>
      </c>
      <c r="G154" s="26">
        <f t="shared" ca="1" si="58"/>
        <v>-2.690288713910761</v>
      </c>
      <c r="H154" s="10"/>
      <c r="I154" s="10"/>
    </row>
    <row r="155" spans="1:9" ht="10.199999999999999" customHeight="1">
      <c r="A155" s="105" t="s">
        <v>51</v>
      </c>
      <c r="B155" s="105"/>
      <c r="C155" s="98">
        <f ca="1">+B_4L*B_4W*B_4SC*B_4PC</f>
        <v>70.046362314946848</v>
      </c>
      <c r="D155" s="107">
        <f ca="1">B_4W*4</f>
        <v>13.018372703412075</v>
      </c>
      <c r="E155" s="107">
        <f ca="1">-B_4L/2</f>
        <v>-2.690288713910761</v>
      </c>
      <c r="F155" s="26">
        <f t="shared" ca="1" si="57"/>
        <v>13.018372703412075</v>
      </c>
      <c r="G155" s="26">
        <f t="shared" ca="1" si="58"/>
        <v>-2.690288713910761</v>
      </c>
      <c r="H155" s="10"/>
      <c r="I155" s="10"/>
    </row>
    <row r="156" spans="1:9" ht="10.199999999999999" customHeight="1">
      <c r="A156" s="105" t="s">
        <v>52</v>
      </c>
      <c r="B156" s="105"/>
      <c r="C156" s="281">
        <f ca="1">B_4PA*StraightLineWind</f>
        <v>700.4636231494685</v>
      </c>
      <c r="D156" s="107">
        <f ca="1">B_4W*4</f>
        <v>13.018372703412075</v>
      </c>
      <c r="E156" s="107">
        <f ca="1">B_4L/2</f>
        <v>2.690288713910761</v>
      </c>
      <c r="F156" s="26">
        <f t="shared" ca="1" si="57"/>
        <v>13.018372703412075</v>
      </c>
      <c r="G156" s="26">
        <f t="shared" ca="1" si="58"/>
        <v>2.690288713910761</v>
      </c>
      <c r="H156" s="10"/>
      <c r="I156" s="10"/>
    </row>
    <row r="157" spans="1:9" ht="10.199999999999999" customHeight="1">
      <c r="A157" s="105" t="s">
        <v>82</v>
      </c>
      <c r="B157" s="105"/>
      <c r="C157" s="31">
        <f ca="1">+B_4W*2</f>
        <v>6.5091863517060373</v>
      </c>
      <c r="D157" s="107">
        <f>0</f>
        <v>0</v>
      </c>
      <c r="E157" s="107">
        <f ca="1">B_4L/2</f>
        <v>2.690288713910761</v>
      </c>
      <c r="F157" s="26">
        <f t="shared" ref="F157:F167" si="59">+D157</f>
        <v>0</v>
      </c>
      <c r="G157" s="26">
        <f t="shared" ref="G157:G167" ca="1" si="60">+E157</f>
        <v>2.690288713910761</v>
      </c>
      <c r="H157" s="10"/>
      <c r="I157" s="10"/>
    </row>
    <row r="158" spans="1:9" ht="10.199999999999999" customHeight="1">
      <c r="A158" s="105" t="s">
        <v>83</v>
      </c>
      <c r="B158" s="105"/>
      <c r="C158" s="31">
        <f ca="1">+B_4L/4</f>
        <v>1.3451443569553805</v>
      </c>
      <c r="D158" s="107">
        <f>0</f>
        <v>0</v>
      </c>
      <c r="E158" s="107">
        <f ca="1">-B_4L/2</f>
        <v>-2.690288713910761</v>
      </c>
      <c r="F158" s="26">
        <f t="shared" si="59"/>
        <v>0</v>
      </c>
      <c r="G158" s="26">
        <f t="shared" ca="1" si="60"/>
        <v>-2.690288713910761</v>
      </c>
      <c r="H158" s="10"/>
      <c r="I158" s="10"/>
    </row>
    <row r="159" spans="1:9" ht="10.199999999999999" customHeight="1">
      <c r="A159" s="105" t="s">
        <v>60</v>
      </c>
      <c r="B159" s="105"/>
      <c r="C159" s="282">
        <f ca="1">+B_4WL*B_4WTC</f>
        <v>942.22468993202779</v>
      </c>
      <c r="D159" s="107">
        <f ca="1">B_4W*4</f>
        <v>13.018372703412075</v>
      </c>
      <c r="E159" s="107">
        <f ca="1">-B_4L/2</f>
        <v>-2.690288713910761</v>
      </c>
      <c r="F159" s="26">
        <f t="shared" ca="1" si="59"/>
        <v>13.018372703412075</v>
      </c>
      <c r="G159" s="26">
        <f t="shared" ca="1" si="60"/>
        <v>-2.690288713910761</v>
      </c>
      <c r="H159" s="10"/>
      <c r="I159" s="10"/>
    </row>
    <row r="160" spans="1:9" ht="10.199999999999999" customHeight="1">
      <c r="A160" s="105" t="s">
        <v>42</v>
      </c>
      <c r="B160" s="105"/>
      <c r="C160" s="32">
        <f ca="1">PWatt*B_4SC*B_4PC</f>
        <v>1000</v>
      </c>
      <c r="D160" s="107">
        <f ca="1">+B_4WC-E160</f>
        <v>6.2776369750656169</v>
      </c>
      <c r="E160" s="107">
        <f ca="1">AVERAGE(B_4PL,B_4WHE)/CM</f>
        <v>0.23154937664041997</v>
      </c>
      <c r="F160" s="26">
        <f t="shared" ca="1" si="59"/>
        <v>6.2776369750656169</v>
      </c>
      <c r="G160" s="26">
        <f t="shared" ca="1" si="60"/>
        <v>0.23154937664041997</v>
      </c>
      <c r="H160" s="10"/>
      <c r="I160" s="10"/>
    </row>
    <row r="161" spans="1:9" ht="10.199999999999999" customHeight="1">
      <c r="A161" s="105" t="s">
        <v>36</v>
      </c>
      <c r="B161" s="105"/>
      <c r="C161" s="33">
        <f ca="1">PVmp*B_4SC</f>
        <v>122</v>
      </c>
      <c r="D161" s="107">
        <f ca="1">+B_4WC+E160</f>
        <v>6.7407357283464577</v>
      </c>
      <c r="E161" s="107">
        <f ca="1">-E160</f>
        <v>-0.23154937664041997</v>
      </c>
      <c r="F161" s="26">
        <f t="shared" ca="1" si="59"/>
        <v>6.7407357283464577</v>
      </c>
      <c r="G161" s="26">
        <f t="shared" ca="1" si="60"/>
        <v>-0.23154937664041997</v>
      </c>
      <c r="H161" s="10"/>
      <c r="I161" s="10"/>
    </row>
    <row r="162" spans="1:9" ht="10.199999999999999" customHeight="1">
      <c r="A162" s="105" t="s">
        <v>37</v>
      </c>
      <c r="B162" s="105"/>
      <c r="C162" s="34">
        <f ca="1">PVoc*B_4SC</f>
        <v>148.80000000000001</v>
      </c>
      <c r="D162" s="107">
        <f ca="1">D161</f>
        <v>6.7407357283464577</v>
      </c>
      <c r="E162" s="107">
        <f ca="1">+E160</f>
        <v>0.23154937664041997</v>
      </c>
      <c r="F162" s="26">
        <f t="shared" ca="1" si="59"/>
        <v>6.7407357283464577</v>
      </c>
      <c r="G162" s="26">
        <f t="shared" ca="1" si="60"/>
        <v>0.23154937664041997</v>
      </c>
      <c r="H162" s="10"/>
      <c r="I162" s="10"/>
    </row>
    <row r="163" spans="1:9" ht="10.199999999999999" customHeight="1">
      <c r="A163" s="105" t="s">
        <v>43</v>
      </c>
      <c r="B163" s="105"/>
      <c r="C163" s="35">
        <f ca="1">PImp*B_4PC</f>
        <v>8.1999999999999993</v>
      </c>
      <c r="D163" s="107">
        <f ca="1">D160</f>
        <v>6.2776369750656169</v>
      </c>
      <c r="E163" s="107">
        <f ca="1">-E160</f>
        <v>-0.23154937664041997</v>
      </c>
      <c r="F163" s="26">
        <f t="shared" ca="1" si="59"/>
        <v>6.2776369750656169</v>
      </c>
      <c r="G163" s="26">
        <f t="shared" ca="1" si="60"/>
        <v>-0.23154937664041997</v>
      </c>
      <c r="H163" s="10"/>
      <c r="I163" s="10"/>
    </row>
    <row r="164" spans="1:9" ht="10.199999999999999" customHeight="1">
      <c r="A164" s="105" t="s">
        <v>44</v>
      </c>
      <c r="B164" s="105"/>
      <c r="C164" s="36">
        <f ca="1">PIsc*B_4PC</f>
        <v>8.8000000000000007</v>
      </c>
      <c r="D164" s="107">
        <f ca="1">+D161</f>
        <v>6.7407357283464577</v>
      </c>
      <c r="E164" s="107">
        <f ca="1">+B_4WTC-E160</f>
        <v>1.1135949803149605</v>
      </c>
      <c r="F164" s="26">
        <f t="shared" ca="1" si="59"/>
        <v>6.7407357283464577</v>
      </c>
      <c r="G164" s="26">
        <f t="shared" ca="1" si="60"/>
        <v>1.1135949803149605</v>
      </c>
      <c r="H164" s="10"/>
      <c r="I164" s="10"/>
    </row>
    <row r="165" spans="1:9" ht="10.199999999999999" customHeight="1">
      <c r="C165" s="9" t="s">
        <v>53</v>
      </c>
      <c r="D165" s="107">
        <f ca="1">+D160</f>
        <v>6.2776369750656169</v>
      </c>
      <c r="E165" s="107">
        <f ca="1">+B_4WTC+E160</f>
        <v>1.5766937335958005</v>
      </c>
      <c r="F165" s="26">
        <f t="shared" ca="1" si="59"/>
        <v>6.2776369750656169</v>
      </c>
      <c r="G165" s="26">
        <f t="shared" ca="1" si="60"/>
        <v>1.5766937335958005</v>
      </c>
      <c r="H165" s="10"/>
      <c r="I165" s="10"/>
    </row>
    <row r="166" spans="1:9" ht="10.199999999999999" customHeight="1">
      <c r="A166" s="22"/>
      <c r="B166" s="22"/>
      <c r="C166" s="9" t="s">
        <v>54</v>
      </c>
      <c r="D166" s="107">
        <f ca="1">+D161</f>
        <v>6.7407357283464577</v>
      </c>
      <c r="E166" s="107">
        <f ca="1">E165</f>
        <v>1.5766937335958005</v>
      </c>
      <c r="F166" s="26">
        <f t="shared" ca="1" si="59"/>
        <v>6.7407357283464577</v>
      </c>
      <c r="G166" s="26">
        <f t="shared" ca="1" si="60"/>
        <v>1.5766937335958005</v>
      </c>
      <c r="H166" s="10"/>
      <c r="I166" s="10"/>
    </row>
    <row r="167" spans="1:9" ht="10.199999999999999" customHeight="1">
      <c r="A167" s="22"/>
      <c r="B167" s="22"/>
      <c r="C167" s="9"/>
      <c r="D167" s="107">
        <f ca="1">D160</f>
        <v>6.2776369750656169</v>
      </c>
      <c r="E167" s="107">
        <f ca="1">+E164</f>
        <v>1.1135949803149605</v>
      </c>
      <c r="F167" s="26">
        <f t="shared" ca="1" si="59"/>
        <v>6.2776369750656169</v>
      </c>
      <c r="G167" s="26">
        <f t="shared" ca="1" si="60"/>
        <v>1.1135949803149605</v>
      </c>
      <c r="H167" s="10"/>
      <c r="I167" s="10"/>
    </row>
    <row r="168" spans="1:9" ht="10.199999999999999" customHeight="1">
      <c r="A168" s="22"/>
      <c r="B168" s="22"/>
      <c r="C168" s="9"/>
      <c r="D168" s="107"/>
      <c r="E168" s="107"/>
      <c r="F168" s="26"/>
      <c r="G168" s="26"/>
      <c r="H168" s="10"/>
      <c r="I168" s="10"/>
    </row>
    <row r="169" spans="1:9" ht="10.199999999999999" customHeight="1">
      <c r="A169" s="305" t="s">
        <v>352</v>
      </c>
      <c r="B169" s="304"/>
      <c r="C169" s="23" t="str">
        <f ca="1">PModel</f>
        <v>SS250-60P</v>
      </c>
      <c r="D169" s="300">
        <f ca="1">+PLFt</f>
        <v>5.3805774278215219</v>
      </c>
      <c r="E169" s="300">
        <f ca="1">+PWFt</f>
        <v>3.2545931758530187</v>
      </c>
      <c r="F169" s="26"/>
      <c r="G169" s="26"/>
    </row>
    <row r="170" spans="1:9" ht="10.199999999999999" customHeight="1">
      <c r="A170" s="286" t="s">
        <v>8</v>
      </c>
      <c r="B170" s="286"/>
      <c r="C170" s="283">
        <f ca="1">B_5W*5+Spacing*4</f>
        <v>16.439632545931762</v>
      </c>
      <c r="D170" s="107">
        <f>0</f>
        <v>0</v>
      </c>
      <c r="E170" s="107">
        <f ca="1">B_5L/2</f>
        <v>2.690288713910761</v>
      </c>
      <c r="F170" s="26">
        <f t="shared" ref="F170:F180" si="61">+D170</f>
        <v>0</v>
      </c>
      <c r="G170" s="26">
        <f t="shared" ref="G170:G180" ca="1" si="62">+E170</f>
        <v>2.690288713910761</v>
      </c>
      <c r="H170" s="10"/>
      <c r="I170" s="10"/>
    </row>
    <row r="171" spans="1:9" ht="10.199999999999999" customHeight="1">
      <c r="A171" s="286" t="s">
        <v>0</v>
      </c>
      <c r="B171" s="286"/>
      <c r="C171" s="284">
        <f ca="1">+B_5L</f>
        <v>5.3805774278215219</v>
      </c>
      <c r="D171" s="107">
        <f ca="1">B_5W</f>
        <v>3.2545931758530187</v>
      </c>
      <c r="E171" s="107">
        <f ca="1">B_5L/2</f>
        <v>2.690288713910761</v>
      </c>
      <c r="F171" s="26">
        <f t="shared" ca="1" si="61"/>
        <v>3.2545931758530187</v>
      </c>
      <c r="G171" s="26">
        <f t="shared" ca="1" si="62"/>
        <v>2.690288713910761</v>
      </c>
      <c r="H171" s="10"/>
      <c r="I171" s="10"/>
    </row>
    <row r="172" spans="1:9" ht="10.199999999999999" customHeight="1">
      <c r="A172" s="286" t="s">
        <v>2</v>
      </c>
      <c r="B172" s="286"/>
      <c r="C172" s="284">
        <f ca="1">+B_5L</f>
        <v>5.3805774278215219</v>
      </c>
      <c r="D172" s="107">
        <f ca="1">B_5W</f>
        <v>3.2545931758530187</v>
      </c>
      <c r="E172" s="107">
        <f ca="1">-B_5L/2</f>
        <v>-2.690288713910761</v>
      </c>
      <c r="F172" s="26">
        <f t="shared" ca="1" si="61"/>
        <v>3.2545931758530187</v>
      </c>
      <c r="G172" s="26">
        <f t="shared" ca="1" si="62"/>
        <v>-2.690288713910761</v>
      </c>
      <c r="H172" s="10"/>
      <c r="I172" s="10"/>
    </row>
    <row r="173" spans="1:9" ht="10.199999999999999" customHeight="1">
      <c r="A173" s="286" t="s">
        <v>206</v>
      </c>
      <c r="B173" s="286"/>
      <c r="C173" s="284">
        <f>0</f>
        <v>0</v>
      </c>
      <c r="D173" s="107">
        <f ca="1">B_5W*2</f>
        <v>6.5091863517060373</v>
      </c>
      <c r="E173" s="107">
        <f ca="1">-B_5L/2</f>
        <v>-2.690288713910761</v>
      </c>
      <c r="F173" s="26">
        <f t="shared" ca="1" si="61"/>
        <v>6.5091863517060373</v>
      </c>
      <c r="G173" s="26">
        <f t="shared" ca="1" si="62"/>
        <v>-2.690288713910761</v>
      </c>
      <c r="H173" s="10"/>
      <c r="I173" s="10"/>
    </row>
    <row r="174" spans="1:9" ht="10.199999999999999" customHeight="1">
      <c r="A174" s="286" t="s">
        <v>207</v>
      </c>
      <c r="B174" s="286"/>
      <c r="C174" s="285">
        <f>0</f>
        <v>0</v>
      </c>
      <c r="D174" s="107">
        <f ca="1">B_5W*2</f>
        <v>6.5091863517060373</v>
      </c>
      <c r="E174" s="107">
        <f ca="1">B_5L/2</f>
        <v>2.690288713910761</v>
      </c>
      <c r="F174" s="26">
        <f t="shared" ca="1" si="61"/>
        <v>6.5091863517060373</v>
      </c>
      <c r="G174" s="26">
        <f t="shared" ca="1" si="62"/>
        <v>2.690288713910761</v>
      </c>
      <c r="H174" s="10"/>
      <c r="I174" s="10"/>
    </row>
    <row r="175" spans="1:9" ht="10.199999999999999" customHeight="1">
      <c r="A175" s="105" t="s">
        <v>69</v>
      </c>
      <c r="B175" s="105"/>
      <c r="C175" s="163">
        <v>5</v>
      </c>
      <c r="D175" s="107">
        <f ca="1">B_5W*3</f>
        <v>9.7637795275590555</v>
      </c>
      <c r="E175" s="107">
        <f ca="1">B_5L/2</f>
        <v>2.690288713910761</v>
      </c>
      <c r="F175" s="26">
        <f t="shared" ca="1" si="61"/>
        <v>9.7637795275590555</v>
      </c>
      <c r="G175" s="26">
        <f t="shared" ca="1" si="62"/>
        <v>2.690288713910761</v>
      </c>
      <c r="H175" s="10"/>
      <c r="I175" s="10"/>
    </row>
    <row r="176" spans="1:9" ht="10.199999999999999" customHeight="1">
      <c r="A176" s="105" t="s">
        <v>70</v>
      </c>
      <c r="B176" s="105"/>
      <c r="C176" s="164">
        <v>1</v>
      </c>
      <c r="D176" s="107">
        <f ca="1">B_5W*3</f>
        <v>9.7637795275590555</v>
      </c>
      <c r="E176" s="107">
        <f ca="1">-B_5L/2</f>
        <v>-2.690288713910761</v>
      </c>
      <c r="F176" s="26">
        <f t="shared" ca="1" si="61"/>
        <v>9.7637795275590555</v>
      </c>
      <c r="G176" s="26">
        <f t="shared" ca="1" si="62"/>
        <v>-2.690288713910761</v>
      </c>
      <c r="H176" s="10"/>
      <c r="I176" s="10"/>
    </row>
    <row r="177" spans="1:9" ht="10.199999999999999" customHeight="1">
      <c r="A177" s="105" t="s">
        <v>51</v>
      </c>
      <c r="B177" s="105"/>
      <c r="C177" s="98">
        <f ca="1">+B_5L*B_5W*B_5SC*B_5PC</f>
        <v>87.557952893683563</v>
      </c>
      <c r="D177" s="107">
        <f ca="1">B_5W*4</f>
        <v>13.018372703412075</v>
      </c>
      <c r="E177" s="107">
        <f ca="1">-B_5L/2</f>
        <v>-2.690288713910761</v>
      </c>
      <c r="F177" s="26">
        <f t="shared" ca="1" si="61"/>
        <v>13.018372703412075</v>
      </c>
      <c r="G177" s="26">
        <f t="shared" ca="1" si="62"/>
        <v>-2.690288713910761</v>
      </c>
      <c r="H177" s="10"/>
      <c r="I177" s="10"/>
    </row>
    <row r="178" spans="1:9" ht="10.199999999999999" customHeight="1">
      <c r="A178" s="105" t="s">
        <v>52</v>
      </c>
      <c r="B178" s="105"/>
      <c r="C178" s="281">
        <f ca="1">B_5PA*StraightLineWind</f>
        <v>875.57952893683569</v>
      </c>
      <c r="D178" s="107">
        <f ca="1">B_5W*4</f>
        <v>13.018372703412075</v>
      </c>
      <c r="E178" s="107">
        <f ca="1">B_5L/2</f>
        <v>2.690288713910761</v>
      </c>
      <c r="F178" s="26">
        <f t="shared" ca="1" si="61"/>
        <v>13.018372703412075</v>
      </c>
      <c r="G178" s="26">
        <f t="shared" ca="1" si="62"/>
        <v>2.690288713910761</v>
      </c>
      <c r="H178" s="10"/>
      <c r="I178" s="10"/>
    </row>
    <row r="179" spans="1:9" ht="10.199999999999999" customHeight="1">
      <c r="A179" s="105" t="s">
        <v>82</v>
      </c>
      <c r="B179" s="105"/>
      <c r="C179" s="31">
        <f ca="1">+B_5W*2.5</f>
        <v>8.1364829396325469</v>
      </c>
      <c r="D179" s="107">
        <f ca="1">B_5W*5</f>
        <v>16.272965879265094</v>
      </c>
      <c r="E179" s="107">
        <f ca="1">B_5L/2</f>
        <v>2.690288713910761</v>
      </c>
      <c r="F179" s="26">
        <f t="shared" ca="1" si="61"/>
        <v>16.272965879265094</v>
      </c>
      <c r="G179" s="26">
        <f t="shared" ca="1" si="62"/>
        <v>2.690288713910761</v>
      </c>
      <c r="H179" s="10"/>
      <c r="I179" s="10"/>
    </row>
    <row r="180" spans="1:9" ht="10.199999999999999" customHeight="1">
      <c r="A180" s="105" t="s">
        <v>83</v>
      </c>
      <c r="B180" s="105"/>
      <c r="C180" s="31">
        <f ca="1">+B_5L/4</f>
        <v>1.3451443569553805</v>
      </c>
      <c r="D180" s="107">
        <f ca="1">B_5W*5</f>
        <v>16.272965879265094</v>
      </c>
      <c r="E180" s="107">
        <f ca="1">-B_5L/2</f>
        <v>-2.690288713910761</v>
      </c>
      <c r="F180" s="26">
        <f t="shared" ca="1" si="61"/>
        <v>16.272965879265094</v>
      </c>
      <c r="G180" s="26">
        <f t="shared" ca="1" si="62"/>
        <v>-2.690288713910761</v>
      </c>
      <c r="H180" s="10"/>
      <c r="I180" s="10"/>
    </row>
    <row r="181" spans="1:9" ht="10.199999999999999" customHeight="1">
      <c r="A181" s="105" t="s">
        <v>60</v>
      </c>
      <c r="B181" s="105"/>
      <c r="C181" s="282">
        <f ca="1">+B_5WL*B_5WTC</f>
        <v>1177.7808624150348</v>
      </c>
      <c r="D181" s="107">
        <f>0</f>
        <v>0</v>
      </c>
      <c r="E181" s="107">
        <f ca="1">-B_5L/2</f>
        <v>-2.690288713910761</v>
      </c>
      <c r="F181" s="26">
        <f>+D181</f>
        <v>0</v>
      </c>
      <c r="G181" s="26">
        <f ca="1">+E181</f>
        <v>-2.690288713910761</v>
      </c>
      <c r="H181" s="10"/>
      <c r="I181" s="10"/>
    </row>
    <row r="182" spans="1:9" ht="10.199999999999999" customHeight="1">
      <c r="A182" s="105" t="s">
        <v>42</v>
      </c>
      <c r="B182" s="105"/>
      <c r="C182" s="32">
        <f ca="1">PWatt*B_5SC*B_5PC</f>
        <v>1250</v>
      </c>
      <c r="D182" s="107">
        <f>0</f>
        <v>0</v>
      </c>
      <c r="E182" s="107">
        <f ca="1">B_5L/2</f>
        <v>2.690288713910761</v>
      </c>
      <c r="F182" s="26">
        <f t="shared" ref="F182:F183" si="63">+D182</f>
        <v>0</v>
      </c>
      <c r="G182" s="26">
        <f t="shared" ref="G182:G183" ca="1" si="64">+E182</f>
        <v>2.690288713910761</v>
      </c>
      <c r="H182" s="10"/>
      <c r="I182" s="10"/>
    </row>
    <row r="183" spans="1:9" ht="10.199999999999999" customHeight="1">
      <c r="A183" s="105" t="s">
        <v>36</v>
      </c>
      <c r="B183" s="105"/>
      <c r="C183" s="33">
        <f ca="1">PVmp*B_5SC</f>
        <v>152.5</v>
      </c>
      <c r="D183" s="107">
        <f ca="1">B_5W*4</f>
        <v>13.018372703412075</v>
      </c>
      <c r="E183" s="107">
        <f ca="1">B_5L/2</f>
        <v>2.690288713910761</v>
      </c>
      <c r="F183" s="26">
        <f t="shared" ca="1" si="63"/>
        <v>13.018372703412075</v>
      </c>
      <c r="G183" s="26">
        <f t="shared" ca="1" si="64"/>
        <v>2.690288713910761</v>
      </c>
      <c r="H183" s="10"/>
      <c r="I183" s="10"/>
    </row>
    <row r="184" spans="1:9" ht="10.199999999999999" customHeight="1">
      <c r="A184" s="105" t="s">
        <v>37</v>
      </c>
      <c r="B184" s="105"/>
      <c r="C184" s="34">
        <f ca="1">PVoc*B_5SC</f>
        <v>186</v>
      </c>
      <c r="D184" s="107">
        <f ca="1">+B_5WC-E184</f>
        <v>7.8637303149606312</v>
      </c>
      <c r="E184" s="107">
        <f ca="1">AVERAGE(B_5PL,B_5PWHE)/CM</f>
        <v>0.27275262467191602</v>
      </c>
      <c r="F184" s="26">
        <f t="shared" ref="F184" ca="1" si="65">+D184</f>
        <v>7.8637303149606312</v>
      </c>
      <c r="G184" s="26">
        <f t="shared" ref="G184" ca="1" si="66">+E184</f>
        <v>0.27275262467191602</v>
      </c>
      <c r="H184" s="10"/>
      <c r="I184" s="10"/>
    </row>
    <row r="185" spans="1:9" ht="10.199999999999999" customHeight="1">
      <c r="A185" s="105" t="s">
        <v>43</v>
      </c>
      <c r="B185" s="105"/>
      <c r="C185" s="35">
        <f ca="1">PImp*B_5PC</f>
        <v>8.1999999999999993</v>
      </c>
      <c r="D185" s="107">
        <f ca="1">+B_5WC+E184</f>
        <v>8.4092355643044634</v>
      </c>
      <c r="E185" s="107">
        <f ca="1">-E184</f>
        <v>-0.27275262467191602</v>
      </c>
      <c r="F185" s="26">
        <f t="shared" ref="F185:G189" ca="1" si="67">+D185</f>
        <v>8.4092355643044634</v>
      </c>
      <c r="G185" s="26">
        <f t="shared" ca="1" si="67"/>
        <v>-0.27275262467191602</v>
      </c>
      <c r="H185" s="10"/>
      <c r="I185" s="10"/>
    </row>
    <row r="186" spans="1:9" ht="10.199999999999999" customHeight="1">
      <c r="A186" s="105" t="s">
        <v>44</v>
      </c>
      <c r="B186" s="105"/>
      <c r="C186" s="36">
        <f ca="1">PIsc*B_5PC</f>
        <v>8.8000000000000007</v>
      </c>
      <c r="D186" s="107">
        <f ca="1">D185</f>
        <v>8.4092355643044634</v>
      </c>
      <c r="E186" s="107">
        <f ca="1">+E184</f>
        <v>0.27275262467191602</v>
      </c>
      <c r="F186" s="26">
        <f t="shared" ca="1" si="67"/>
        <v>8.4092355643044634</v>
      </c>
      <c r="G186" s="26">
        <f t="shared" ca="1" si="67"/>
        <v>0.27275262467191602</v>
      </c>
      <c r="H186" s="10"/>
      <c r="I186" s="10"/>
    </row>
    <row r="187" spans="1:9" ht="10.199999999999999" customHeight="1">
      <c r="C187" s="9" t="s">
        <v>53</v>
      </c>
      <c r="D187" s="107">
        <f ca="1">D184</f>
        <v>7.8637303149606312</v>
      </c>
      <c r="E187" s="107">
        <f ca="1">-E184</f>
        <v>-0.27275262467191602</v>
      </c>
      <c r="F187" s="26">
        <f t="shared" ca="1" si="67"/>
        <v>7.8637303149606312</v>
      </c>
      <c r="G187" s="26">
        <f t="shared" ca="1" si="67"/>
        <v>-0.27275262467191602</v>
      </c>
      <c r="H187" s="10"/>
      <c r="I187" s="10"/>
    </row>
    <row r="188" spans="1:9" ht="10.199999999999999" customHeight="1">
      <c r="A188" s="22"/>
      <c r="B188" s="22"/>
      <c r="C188" s="9" t="s">
        <v>54</v>
      </c>
      <c r="D188" s="107">
        <f ca="1">+D185</f>
        <v>8.4092355643044634</v>
      </c>
      <c r="E188" s="107">
        <f ca="1">+B_5WTC-E184</f>
        <v>1.0723917322834644</v>
      </c>
      <c r="F188" s="26">
        <f t="shared" ca="1" si="67"/>
        <v>8.4092355643044634</v>
      </c>
      <c r="G188" s="26">
        <f t="shared" ca="1" si="67"/>
        <v>1.0723917322834644</v>
      </c>
      <c r="H188" s="10"/>
      <c r="I188" s="10"/>
    </row>
    <row r="189" spans="1:9" ht="10.199999999999999" customHeight="1">
      <c r="A189" s="22"/>
      <c r="B189" s="22"/>
      <c r="C189" s="9"/>
      <c r="D189" s="107">
        <f ca="1">+D184</f>
        <v>7.8637303149606312</v>
      </c>
      <c r="E189" s="107">
        <f ca="1">+B_5WTC+E184</f>
        <v>1.6178969816272966</v>
      </c>
      <c r="F189" s="26">
        <f t="shared" ca="1" si="67"/>
        <v>7.8637303149606312</v>
      </c>
      <c r="G189" s="26">
        <f t="shared" ca="1" si="67"/>
        <v>1.6178969816272966</v>
      </c>
      <c r="H189" s="10"/>
      <c r="I189" s="10"/>
    </row>
    <row r="190" spans="1:9" ht="10.199999999999999" customHeight="1">
      <c r="A190" s="308"/>
      <c r="B190" s="308"/>
      <c r="C190" s="309"/>
      <c r="D190" s="310">
        <f ca="1">+D185</f>
        <v>8.4092355643044634</v>
      </c>
      <c r="E190" s="310">
        <f ca="1">E189</f>
        <v>1.6178969816272966</v>
      </c>
      <c r="F190" s="311">
        <f ca="1">+D190</f>
        <v>8.4092355643044634</v>
      </c>
      <c r="G190" s="26">
        <f ca="1">+E190</f>
        <v>1.6178969816272966</v>
      </c>
      <c r="H190" s="10"/>
      <c r="I190" s="10"/>
    </row>
    <row r="191" spans="1:9" ht="10.199999999999999" customHeight="1">
      <c r="A191" s="308"/>
      <c r="B191" s="308"/>
      <c r="C191" s="309"/>
      <c r="D191" s="310">
        <f ca="1">D184</f>
        <v>7.8637303149606312</v>
      </c>
      <c r="E191" s="310">
        <f ca="1">+E188</f>
        <v>1.0723917322834644</v>
      </c>
      <c r="F191" s="311">
        <f ca="1">+D191</f>
        <v>7.8637303149606312</v>
      </c>
      <c r="G191" s="26">
        <f ca="1">+E191</f>
        <v>1.0723917322834644</v>
      </c>
      <c r="H191" s="10"/>
      <c r="I191" s="12"/>
    </row>
    <row r="192" spans="1:9" ht="10.199999999999999" customHeight="1">
      <c r="A192" s="22"/>
      <c r="B192" s="22"/>
      <c r="C192" s="9"/>
      <c r="D192" s="107"/>
      <c r="E192" s="107"/>
      <c r="F192" s="10"/>
      <c r="G192" s="10"/>
      <c r="H192" s="10"/>
      <c r="I192" s="10"/>
    </row>
    <row r="193" spans="1:9" ht="10.199999999999999" customHeight="1">
      <c r="A193" s="305" t="s">
        <v>220</v>
      </c>
      <c r="B193" s="304"/>
      <c r="C193" s="23" t="str">
        <f ca="1">PModel</f>
        <v>SS250-60P</v>
      </c>
      <c r="D193" s="300">
        <f ca="1">+PLFt</f>
        <v>5.3805774278215219</v>
      </c>
      <c r="E193" s="300">
        <f ca="1">+PWFt</f>
        <v>3.2545931758530187</v>
      </c>
      <c r="F193" s="26"/>
      <c r="G193" s="26"/>
    </row>
    <row r="194" spans="1:9" ht="10.199999999999999" customHeight="1">
      <c r="A194" s="286" t="s">
        <v>8</v>
      </c>
      <c r="B194" s="286"/>
      <c r="C194" s="283">
        <f ca="1">E_6W*6+Spacing*5</f>
        <v>19.735892388451443</v>
      </c>
      <c r="D194" s="107">
        <f>0</f>
        <v>0</v>
      </c>
      <c r="E194" s="107">
        <f ca="1">E_6L/2</f>
        <v>2.690288713910761</v>
      </c>
      <c r="F194" s="26">
        <f t="shared" ref="F194:F209" si="68">+D194</f>
        <v>0</v>
      </c>
      <c r="G194" s="26">
        <f t="shared" ref="G194:G209" ca="1" si="69">+E194</f>
        <v>2.690288713910761</v>
      </c>
      <c r="H194" s="10"/>
      <c r="I194" s="10"/>
    </row>
    <row r="195" spans="1:9" ht="10.199999999999999" customHeight="1">
      <c r="A195" s="286" t="s">
        <v>0</v>
      </c>
      <c r="B195" s="286"/>
      <c r="C195" s="284">
        <f ca="1">+E_6L</f>
        <v>5.3805774278215219</v>
      </c>
      <c r="D195" s="107">
        <f ca="1">E_6W</f>
        <v>3.2545931758530187</v>
      </c>
      <c r="E195" s="107">
        <f ca="1">+E_6L/2</f>
        <v>2.690288713910761</v>
      </c>
      <c r="F195" s="26">
        <f t="shared" ca="1" si="68"/>
        <v>3.2545931758530187</v>
      </c>
      <c r="G195" s="26">
        <f t="shared" ca="1" si="69"/>
        <v>2.690288713910761</v>
      </c>
      <c r="H195" s="10"/>
      <c r="I195" s="10"/>
    </row>
    <row r="196" spans="1:9" ht="10.199999999999999" customHeight="1">
      <c r="A196" s="286" t="s">
        <v>2</v>
      </c>
      <c r="B196" s="286"/>
      <c r="C196" s="284">
        <f ca="1">+E_6L</f>
        <v>5.3805774278215219</v>
      </c>
      <c r="D196" s="107">
        <f ca="1">E_6W</f>
        <v>3.2545931758530187</v>
      </c>
      <c r="E196" s="107">
        <f ca="1">-E_6L/2</f>
        <v>-2.690288713910761</v>
      </c>
      <c r="F196" s="26">
        <f t="shared" ca="1" si="68"/>
        <v>3.2545931758530187</v>
      </c>
      <c r="G196" s="26">
        <f t="shared" ca="1" si="69"/>
        <v>-2.690288713910761</v>
      </c>
      <c r="H196" s="10"/>
      <c r="I196" s="10"/>
    </row>
    <row r="197" spans="1:9" ht="10.199999999999999" customHeight="1">
      <c r="A197" s="286" t="s">
        <v>206</v>
      </c>
      <c r="B197" s="286"/>
      <c r="C197" s="284">
        <v>0</v>
      </c>
      <c r="D197" s="107">
        <f ca="1">E_6W*2</f>
        <v>6.5091863517060373</v>
      </c>
      <c r="E197" s="107">
        <f ca="1">-E_6L/2</f>
        <v>-2.690288713910761</v>
      </c>
      <c r="F197" s="26">
        <f t="shared" ca="1" si="68"/>
        <v>6.5091863517060373</v>
      </c>
      <c r="G197" s="26">
        <f t="shared" ca="1" si="69"/>
        <v>-2.690288713910761</v>
      </c>
      <c r="H197" s="10"/>
      <c r="I197" s="10"/>
    </row>
    <row r="198" spans="1:9" ht="10.199999999999999" customHeight="1">
      <c r="A198" s="286" t="s">
        <v>207</v>
      </c>
      <c r="B198" s="286"/>
      <c r="C198" s="285">
        <v>0</v>
      </c>
      <c r="D198" s="107">
        <f ca="1">E_6W*2</f>
        <v>6.5091863517060373</v>
      </c>
      <c r="E198" s="107">
        <f ca="1">+E_6L/2</f>
        <v>2.690288713910761</v>
      </c>
      <c r="F198" s="26">
        <f t="shared" ca="1" si="68"/>
        <v>6.5091863517060373</v>
      </c>
      <c r="G198" s="26">
        <f t="shared" ca="1" si="69"/>
        <v>2.690288713910761</v>
      </c>
      <c r="H198" s="10"/>
      <c r="I198" s="10"/>
    </row>
    <row r="199" spans="1:9" ht="10.199999999999999" customHeight="1">
      <c r="A199" s="105" t="s">
        <v>69</v>
      </c>
      <c r="B199" s="105"/>
      <c r="C199" s="163">
        <v>6</v>
      </c>
      <c r="D199" s="107">
        <f ca="1">E_6W*3</f>
        <v>9.7637795275590555</v>
      </c>
      <c r="E199" s="107">
        <f ca="1">+E_6L/2</f>
        <v>2.690288713910761</v>
      </c>
      <c r="F199" s="26">
        <f t="shared" ca="1" si="68"/>
        <v>9.7637795275590555</v>
      </c>
      <c r="G199" s="26">
        <f t="shared" ca="1" si="69"/>
        <v>2.690288713910761</v>
      </c>
      <c r="H199" s="10"/>
      <c r="I199" s="10"/>
    </row>
    <row r="200" spans="1:9" ht="10.199999999999999" customHeight="1">
      <c r="A200" s="105" t="s">
        <v>70</v>
      </c>
      <c r="B200" s="105"/>
      <c r="C200" s="164">
        <v>1</v>
      </c>
      <c r="D200" s="107">
        <f ca="1">E_6W*3</f>
        <v>9.7637795275590555</v>
      </c>
      <c r="E200" s="107">
        <f ca="1">-E_6L/2</f>
        <v>-2.690288713910761</v>
      </c>
      <c r="F200" s="26">
        <f t="shared" ca="1" si="68"/>
        <v>9.7637795275590555</v>
      </c>
      <c r="G200" s="26">
        <f t="shared" ca="1" si="69"/>
        <v>-2.690288713910761</v>
      </c>
      <c r="H200" s="10"/>
      <c r="I200" s="10"/>
    </row>
    <row r="201" spans="1:9" ht="10.199999999999999" customHeight="1">
      <c r="A201" s="105" t="s">
        <v>51</v>
      </c>
      <c r="B201" s="105"/>
      <c r="C201" s="98">
        <f ca="1">+E_6L*E_6W*E_6SC*E_6PC</f>
        <v>105.06954347242026</v>
      </c>
      <c r="D201" s="107">
        <f ca="1">E_6W*4</f>
        <v>13.018372703412075</v>
      </c>
      <c r="E201" s="107">
        <f ca="1">-E_6L/2</f>
        <v>-2.690288713910761</v>
      </c>
      <c r="F201" s="26">
        <f t="shared" ca="1" si="68"/>
        <v>13.018372703412075</v>
      </c>
      <c r="G201" s="26">
        <f t="shared" ca="1" si="69"/>
        <v>-2.690288713910761</v>
      </c>
      <c r="H201" s="10"/>
      <c r="I201" s="10"/>
    </row>
    <row r="202" spans="1:9" ht="10.199999999999999" customHeight="1">
      <c r="A202" s="105" t="s">
        <v>52</v>
      </c>
      <c r="B202" s="105"/>
      <c r="C202" s="281">
        <f ca="1">E_6PA*StraightLineWind</f>
        <v>1050.6954347242026</v>
      </c>
      <c r="D202" s="107">
        <f ca="1">E_6W*4</f>
        <v>13.018372703412075</v>
      </c>
      <c r="E202" s="107">
        <f ca="1">+E_6L/2</f>
        <v>2.690288713910761</v>
      </c>
      <c r="F202" s="26">
        <f t="shared" ca="1" si="68"/>
        <v>13.018372703412075</v>
      </c>
      <c r="G202" s="26">
        <f t="shared" ca="1" si="69"/>
        <v>2.690288713910761</v>
      </c>
      <c r="H202" s="10"/>
      <c r="I202" s="10"/>
    </row>
    <row r="203" spans="1:9" ht="10.199999999999999" customHeight="1">
      <c r="A203" s="105" t="s">
        <v>82</v>
      </c>
      <c r="B203" s="105"/>
      <c r="C203" s="31">
        <f ca="1">+E_6W*3</f>
        <v>9.7637795275590555</v>
      </c>
      <c r="D203" s="107">
        <f ca="1">E_6W*5</f>
        <v>16.272965879265094</v>
      </c>
      <c r="E203" s="107">
        <f ca="1">+E_6L/2</f>
        <v>2.690288713910761</v>
      </c>
      <c r="F203" s="26">
        <f t="shared" ca="1" si="68"/>
        <v>16.272965879265094</v>
      </c>
      <c r="G203" s="26">
        <f t="shared" ca="1" si="69"/>
        <v>2.690288713910761</v>
      </c>
      <c r="H203" s="10"/>
      <c r="I203" s="10"/>
    </row>
    <row r="204" spans="1:9" ht="10.199999999999999" customHeight="1">
      <c r="A204" s="105" t="s">
        <v>83</v>
      </c>
      <c r="B204" s="105"/>
      <c r="C204" s="31">
        <f ca="1">+E_6L/4</f>
        <v>1.3451443569553805</v>
      </c>
      <c r="D204" s="107">
        <f ca="1">E_6W*5</f>
        <v>16.272965879265094</v>
      </c>
      <c r="E204" s="107">
        <f ca="1">-E_6L/2</f>
        <v>-2.690288713910761</v>
      </c>
      <c r="F204" s="26">
        <f t="shared" ca="1" si="68"/>
        <v>16.272965879265094</v>
      </c>
      <c r="G204" s="26">
        <f t="shared" ca="1" si="69"/>
        <v>-2.690288713910761</v>
      </c>
      <c r="H204" s="10"/>
      <c r="I204" s="10"/>
    </row>
    <row r="205" spans="1:9" ht="10.199999999999999" customHeight="1">
      <c r="A205" s="105" t="s">
        <v>60</v>
      </c>
      <c r="B205" s="105"/>
      <c r="C205" s="282">
        <f ca="1">+E_6WL*E_6WTC</f>
        <v>1413.3370348980416</v>
      </c>
      <c r="D205" s="107">
        <f ca="1">E_6W*6</f>
        <v>19.527559055118111</v>
      </c>
      <c r="E205" s="107">
        <f ca="1">-E_6L/2</f>
        <v>-2.690288713910761</v>
      </c>
      <c r="F205" s="26">
        <f t="shared" ca="1" si="68"/>
        <v>19.527559055118111</v>
      </c>
      <c r="G205" s="26">
        <f t="shared" ca="1" si="69"/>
        <v>-2.690288713910761</v>
      </c>
      <c r="H205" s="10"/>
      <c r="I205" s="10"/>
    </row>
    <row r="206" spans="1:9" ht="10.199999999999999" customHeight="1">
      <c r="A206" s="105" t="s">
        <v>42</v>
      </c>
      <c r="B206" s="105"/>
      <c r="C206" s="32">
        <f ca="1">PWatt*E_6SC*E_6PC</f>
        <v>1500</v>
      </c>
      <c r="D206" s="107">
        <f ca="1">E_6W*6</f>
        <v>19.527559055118111</v>
      </c>
      <c r="E206" s="107">
        <f ca="1">+E_6L/2</f>
        <v>2.690288713910761</v>
      </c>
      <c r="F206" s="26">
        <f t="shared" ca="1" si="68"/>
        <v>19.527559055118111</v>
      </c>
      <c r="G206" s="26">
        <f t="shared" ca="1" si="69"/>
        <v>2.690288713910761</v>
      </c>
      <c r="H206" s="10"/>
      <c r="I206" s="10"/>
    </row>
    <row r="207" spans="1:9" ht="10.199999999999999" customHeight="1">
      <c r="A207" s="105" t="s">
        <v>36</v>
      </c>
      <c r="B207" s="105"/>
      <c r="C207" s="33">
        <f ca="1">PVmp*E_6SC</f>
        <v>183</v>
      </c>
      <c r="D207" s="107">
        <f>0</f>
        <v>0</v>
      </c>
      <c r="E207" s="107">
        <f ca="1">+E_6L/2</f>
        <v>2.690288713910761</v>
      </c>
      <c r="F207" s="26">
        <f t="shared" si="68"/>
        <v>0</v>
      </c>
      <c r="G207" s="26">
        <f t="shared" ca="1" si="69"/>
        <v>2.690288713910761</v>
      </c>
      <c r="H207" s="10"/>
      <c r="I207" s="10"/>
    </row>
    <row r="208" spans="1:9" ht="10.199999999999999" customHeight="1">
      <c r="A208" s="105" t="s">
        <v>37</v>
      </c>
      <c r="B208" s="105"/>
      <c r="C208" s="34">
        <f ca="1">PVoc*E_6SC</f>
        <v>223.20000000000002</v>
      </c>
      <c r="D208" s="107">
        <f>0</f>
        <v>0</v>
      </c>
      <c r="E208" s="107">
        <f ca="1">-E_6L/2</f>
        <v>-2.690288713910761</v>
      </c>
      <c r="F208" s="26">
        <f t="shared" si="68"/>
        <v>0</v>
      </c>
      <c r="G208" s="26">
        <f t="shared" ca="1" si="69"/>
        <v>-2.690288713910761</v>
      </c>
      <c r="H208" s="10"/>
      <c r="I208" s="10"/>
    </row>
    <row r="209" spans="1:28" ht="10.199999999999999" customHeight="1">
      <c r="A209" s="105" t="s">
        <v>43</v>
      </c>
      <c r="B209" s="105"/>
      <c r="C209" s="35">
        <f ca="1">PImp*E_6PC</f>
        <v>8.1999999999999993</v>
      </c>
      <c r="D209" s="107">
        <f ca="1">E_6W*6</f>
        <v>19.527559055118111</v>
      </c>
      <c r="E209" s="107">
        <f ca="1">-E_6L/2</f>
        <v>-2.690288713910761</v>
      </c>
      <c r="F209" s="26">
        <f t="shared" ca="1" si="68"/>
        <v>19.527559055118111</v>
      </c>
      <c r="G209" s="26">
        <f t="shared" ca="1" si="69"/>
        <v>-2.690288713910761</v>
      </c>
      <c r="H209" s="10"/>
      <c r="I209" s="10"/>
    </row>
    <row r="210" spans="1:28" ht="10.199999999999999" customHeight="1">
      <c r="A210" s="105" t="s">
        <v>44</v>
      </c>
      <c r="B210" s="105"/>
      <c r="C210" s="36">
        <f ca="1">PIsc*E_6PC</f>
        <v>8.8000000000000007</v>
      </c>
      <c r="D210" s="107">
        <f ca="1">+E_6WC-E210</f>
        <v>9.4498236548556438</v>
      </c>
      <c r="E210" s="107">
        <f ca="1">AVERAGE(E_6PL,E_6PWHE)/CM</f>
        <v>0.31395587270341208</v>
      </c>
      <c r="F210" s="26">
        <f t="shared" ref="F210:G217" ca="1" si="70">+D210</f>
        <v>9.4498236548556438</v>
      </c>
      <c r="G210" s="26">
        <f t="shared" ca="1" si="70"/>
        <v>0.31395587270341208</v>
      </c>
      <c r="H210" s="10"/>
      <c r="I210" s="10"/>
    </row>
    <row r="211" spans="1:28" ht="10.199999999999999" customHeight="1">
      <c r="C211" s="9" t="s">
        <v>53</v>
      </c>
      <c r="D211" s="107">
        <f ca="1">+E_6WC+E210</f>
        <v>10.077735400262467</v>
      </c>
      <c r="E211" s="107">
        <f ca="1">-E210</f>
        <v>-0.31395587270341208</v>
      </c>
      <c r="F211" s="26">
        <f t="shared" ca="1" si="70"/>
        <v>10.077735400262467</v>
      </c>
      <c r="G211" s="26">
        <f t="shared" ca="1" si="70"/>
        <v>-0.31395587270341208</v>
      </c>
      <c r="H211" s="10"/>
      <c r="I211" s="10"/>
    </row>
    <row r="212" spans="1:28" ht="10.199999999999999" customHeight="1">
      <c r="A212" s="22"/>
      <c r="B212" s="22"/>
      <c r="C212" s="9"/>
      <c r="D212" s="107">
        <f ca="1">D211</f>
        <v>10.077735400262467</v>
      </c>
      <c r="E212" s="107">
        <f ca="1">+E210</f>
        <v>0.31395587270341208</v>
      </c>
      <c r="F212" s="26">
        <f t="shared" ca="1" si="70"/>
        <v>10.077735400262467</v>
      </c>
      <c r="G212" s="26">
        <f t="shared" ca="1" si="70"/>
        <v>0.31395587270341208</v>
      </c>
      <c r="H212" s="10"/>
      <c r="I212" s="10"/>
    </row>
    <row r="213" spans="1:28" ht="10.199999999999999" customHeight="1">
      <c r="A213" s="22"/>
      <c r="B213" s="22"/>
      <c r="C213" s="9"/>
      <c r="D213" s="107">
        <f ca="1">D210</f>
        <v>9.4498236548556438</v>
      </c>
      <c r="E213" s="107">
        <f ca="1">-E210</f>
        <v>-0.31395587270341208</v>
      </c>
      <c r="F213" s="26">
        <f t="shared" ca="1" si="70"/>
        <v>9.4498236548556438</v>
      </c>
      <c r="G213" s="26">
        <f t="shared" ca="1" si="70"/>
        <v>-0.31395587270341208</v>
      </c>
      <c r="H213" s="10"/>
      <c r="I213" s="10"/>
    </row>
    <row r="214" spans="1:28" ht="10.199999999999999" customHeight="1">
      <c r="A214" s="22"/>
      <c r="B214" s="22"/>
      <c r="C214" s="9" t="s">
        <v>54</v>
      </c>
      <c r="D214" s="107">
        <f ca="1">+D211</f>
        <v>10.077735400262467</v>
      </c>
      <c r="E214" s="107">
        <f ca="1">+E_6WTC-E210</f>
        <v>1.0311884842519685</v>
      </c>
      <c r="F214" s="26">
        <f t="shared" ca="1" si="70"/>
        <v>10.077735400262467</v>
      </c>
      <c r="G214" s="26">
        <f t="shared" ca="1" si="70"/>
        <v>1.0311884842519685</v>
      </c>
      <c r="H214" s="10"/>
      <c r="I214" s="10"/>
    </row>
    <row r="215" spans="1:28" ht="10.199999999999999" customHeight="1">
      <c r="A215" s="22"/>
      <c r="B215" s="22"/>
      <c r="D215" s="107">
        <f ca="1">+D210</f>
        <v>9.4498236548556438</v>
      </c>
      <c r="E215" s="107">
        <f ca="1">+E_6WTC+E210</f>
        <v>1.6591002296587924</v>
      </c>
      <c r="F215" s="26">
        <f t="shared" ca="1" si="70"/>
        <v>9.4498236548556438</v>
      </c>
      <c r="G215" s="26">
        <f t="shared" ca="1" si="70"/>
        <v>1.6591002296587924</v>
      </c>
      <c r="H215" s="10"/>
      <c r="I215" s="12"/>
    </row>
    <row r="216" spans="1:28" ht="10.199999999999999" customHeight="1">
      <c r="A216" s="22"/>
      <c r="B216" s="22"/>
      <c r="C216" s="9"/>
      <c r="D216" s="107">
        <f ca="1">+D211</f>
        <v>10.077735400262467</v>
      </c>
      <c r="E216" s="107">
        <f ca="1">E215</f>
        <v>1.6591002296587924</v>
      </c>
      <c r="F216" s="26">
        <f t="shared" ca="1" si="70"/>
        <v>10.077735400262467</v>
      </c>
      <c r="G216" s="26">
        <f t="shared" ca="1" si="70"/>
        <v>1.6591002296587924</v>
      </c>
      <c r="H216" s="10"/>
      <c r="I216" s="10"/>
    </row>
    <row r="217" spans="1:28" ht="10.199999999999999" customHeight="1">
      <c r="A217" s="22"/>
      <c r="B217" s="22"/>
      <c r="C217" s="9" t="s">
        <v>41</v>
      </c>
      <c r="D217" s="107">
        <f ca="1">D210</f>
        <v>9.4498236548556438</v>
      </c>
      <c r="E217" s="107">
        <f ca="1">+E214</f>
        <v>1.0311884842519685</v>
      </c>
      <c r="F217" s="26">
        <f t="shared" ca="1" si="70"/>
        <v>9.4498236548556438</v>
      </c>
      <c r="G217" s="26">
        <f t="shared" ca="1" si="70"/>
        <v>1.0311884842519685</v>
      </c>
      <c r="H217" s="10"/>
      <c r="I217" s="10"/>
    </row>
    <row r="218" spans="1:28" ht="10.199999999999999" customHeight="1">
      <c r="A218" s="22"/>
      <c r="B218" s="22"/>
      <c r="C218" s="135"/>
      <c r="D218" s="134"/>
      <c r="E218" s="10"/>
      <c r="F218" s="13"/>
      <c r="G218" s="12"/>
      <c r="H218" s="10"/>
      <c r="I218" s="13"/>
      <c r="J218" s="12"/>
      <c r="L218" s="10"/>
      <c r="N218" s="18"/>
      <c r="O218" s="10"/>
      <c r="P218" s="10"/>
      <c r="Q218" s="10"/>
      <c r="R218" s="10"/>
      <c r="S218" s="10"/>
      <c r="T218" s="15"/>
      <c r="U218" s="104"/>
      <c r="W218" s="11"/>
      <c r="X218" s="13"/>
    </row>
    <row r="219" spans="1:28" ht="10.199999999999999" customHeight="1">
      <c r="A219" s="305" t="s">
        <v>343</v>
      </c>
      <c r="B219" s="304"/>
      <c r="C219" s="23" t="str">
        <f ca="1">PModel</f>
        <v>SS250-60P</v>
      </c>
      <c r="D219" s="300">
        <f ca="1">+PLFt</f>
        <v>5.3805774278215219</v>
      </c>
      <c r="E219" s="300">
        <f ca="1">+PWFt</f>
        <v>3.2545931758530187</v>
      </c>
    </row>
    <row r="220" spans="1:28" ht="10.199999999999999" customHeight="1">
      <c r="A220" s="286" t="s">
        <v>8</v>
      </c>
      <c r="B220" s="286"/>
      <c r="C220" s="283">
        <f ca="1">C_1L</f>
        <v>5.3805774278215219</v>
      </c>
      <c r="D220" s="107">
        <f>0</f>
        <v>0</v>
      </c>
      <c r="E220" s="107">
        <f ca="1">+C_1W/2</f>
        <v>1.6272965879265093</v>
      </c>
      <c r="F220" s="26">
        <f t="shared" ref="F220:F225" si="71">+D220</f>
        <v>0</v>
      </c>
      <c r="G220" s="26">
        <f t="shared" ref="G220:G225" ca="1" si="72">+E220</f>
        <v>1.6272965879265093</v>
      </c>
      <c r="H220" s="10"/>
      <c r="I220" s="10"/>
      <c r="Z220" s="12"/>
      <c r="AA220" s="812"/>
      <c r="AB220" s="12"/>
    </row>
    <row r="221" spans="1:28" ht="10.199999999999999" customHeight="1">
      <c r="A221" s="286" t="s">
        <v>0</v>
      </c>
      <c r="B221" s="286"/>
      <c r="C221" s="284">
        <f ca="1">C_1W</f>
        <v>3.2545931758530187</v>
      </c>
      <c r="D221" s="107">
        <f ca="1">+C_1L</f>
        <v>5.3805774278215219</v>
      </c>
      <c r="E221" s="107">
        <f ca="1">+C_1W/2</f>
        <v>1.6272965879265093</v>
      </c>
      <c r="F221" s="26">
        <f t="shared" ca="1" si="71"/>
        <v>5.3805774278215219</v>
      </c>
      <c r="G221" s="26">
        <f t="shared" ca="1" si="72"/>
        <v>1.6272965879265093</v>
      </c>
      <c r="H221" s="10"/>
      <c r="I221" s="10"/>
    </row>
    <row r="222" spans="1:28" ht="10.199999999999999" customHeight="1">
      <c r="A222" s="286" t="s">
        <v>2</v>
      </c>
      <c r="B222" s="286"/>
      <c r="C222" s="284">
        <f ca="1">C_1W</f>
        <v>3.2545931758530187</v>
      </c>
      <c r="D222" s="107">
        <f ca="1">+C_1L</f>
        <v>5.3805774278215219</v>
      </c>
      <c r="E222" s="107">
        <f ca="1">-C_1W/2</f>
        <v>-1.6272965879265093</v>
      </c>
      <c r="F222" s="26">
        <f t="shared" ca="1" si="71"/>
        <v>5.3805774278215219</v>
      </c>
      <c r="G222" s="26">
        <f t="shared" ca="1" si="72"/>
        <v>-1.6272965879265093</v>
      </c>
      <c r="H222" s="10"/>
      <c r="I222" s="10"/>
    </row>
    <row r="223" spans="1:28" ht="10.199999999999999" customHeight="1">
      <c r="A223" s="286" t="s">
        <v>206</v>
      </c>
      <c r="B223" s="286"/>
      <c r="C223" s="284">
        <f>0</f>
        <v>0</v>
      </c>
      <c r="D223" s="107">
        <f>0</f>
        <v>0</v>
      </c>
      <c r="E223" s="107">
        <f ca="1">-C_1W/2</f>
        <v>-1.6272965879265093</v>
      </c>
      <c r="F223" s="26">
        <f t="shared" si="71"/>
        <v>0</v>
      </c>
      <c r="G223" s="26">
        <f t="shared" ca="1" si="72"/>
        <v>-1.6272965879265093</v>
      </c>
      <c r="H223" s="10"/>
      <c r="I223" s="10"/>
    </row>
    <row r="224" spans="1:28" ht="10.199999999999999" customHeight="1">
      <c r="A224" s="286" t="s">
        <v>207</v>
      </c>
      <c r="B224" s="286"/>
      <c r="C224" s="285">
        <f>0</f>
        <v>0</v>
      </c>
      <c r="D224" s="107">
        <f>0</f>
        <v>0</v>
      </c>
      <c r="E224" s="107">
        <f ca="1">+C_1W/2</f>
        <v>1.6272965879265093</v>
      </c>
      <c r="F224" s="26">
        <f t="shared" si="71"/>
        <v>0</v>
      </c>
      <c r="G224" s="26">
        <f t="shared" ca="1" si="72"/>
        <v>1.6272965879265093</v>
      </c>
      <c r="H224" s="10"/>
      <c r="I224" s="10"/>
    </row>
    <row r="225" spans="1:9" ht="10.199999999999999" customHeight="1">
      <c r="A225" s="105" t="s">
        <v>69</v>
      </c>
      <c r="B225" s="105"/>
      <c r="C225" s="163">
        <v>1</v>
      </c>
      <c r="D225" s="107">
        <f ca="1">+C_1WC-E225</f>
        <v>2.5823490813648293</v>
      </c>
      <c r="E225" s="107">
        <f ca="1">AVERAGE(C_1PL,C_1PWHE)/CM</f>
        <v>0.10793963254593175</v>
      </c>
      <c r="F225" s="26">
        <f t="shared" ca="1" si="71"/>
        <v>2.5823490813648293</v>
      </c>
      <c r="G225" s="26">
        <f t="shared" ca="1" si="72"/>
        <v>0.10793963254593175</v>
      </c>
      <c r="H225" s="10"/>
      <c r="I225" s="10"/>
    </row>
    <row r="226" spans="1:9" ht="10.199999999999999" customHeight="1">
      <c r="A226" s="105" t="s">
        <v>70</v>
      </c>
      <c r="B226" s="105"/>
      <c r="C226" s="164">
        <v>1</v>
      </c>
      <c r="D226" s="107">
        <f ca="1">+C_1WC+E225</f>
        <v>2.7982283464566926</v>
      </c>
      <c r="E226" s="107">
        <f ca="1">-E225</f>
        <v>-0.10793963254593175</v>
      </c>
      <c r="F226" s="26">
        <f ca="1">+D226</f>
        <v>2.7982283464566926</v>
      </c>
      <c r="G226" s="26">
        <f ca="1">+E226</f>
        <v>-0.10793963254593175</v>
      </c>
      <c r="H226" s="10"/>
      <c r="I226" s="10"/>
    </row>
    <row r="227" spans="1:9" ht="10.199999999999999" customHeight="1">
      <c r="A227" s="105" t="s">
        <v>51</v>
      </c>
      <c r="B227" s="105"/>
      <c r="C227" s="98">
        <f ca="1">+C_1L*C_1W*C_1SC*C_1PC</f>
        <v>17.511590578736712</v>
      </c>
      <c r="D227" s="107">
        <f ca="1">D226</f>
        <v>2.7982283464566926</v>
      </c>
      <c r="E227" s="107">
        <f ca="1">E225</f>
        <v>0.10793963254593175</v>
      </c>
      <c r="F227" s="26">
        <f t="shared" ref="F227:F232" ca="1" si="73">+D227</f>
        <v>2.7982283464566926</v>
      </c>
      <c r="G227" s="26">
        <f t="shared" ref="G227:G232" ca="1" si="74">+E227</f>
        <v>0.10793963254593175</v>
      </c>
      <c r="H227" s="10"/>
      <c r="I227" s="10"/>
    </row>
    <row r="228" spans="1:9" ht="10.199999999999999" customHeight="1">
      <c r="A228" s="105" t="s">
        <v>52</v>
      </c>
      <c r="B228" s="105"/>
      <c r="C228" s="281">
        <f ca="1">C_1PA*StraightLineWind</f>
        <v>175.11590578736713</v>
      </c>
      <c r="D228" s="107">
        <f ca="1">D225</f>
        <v>2.5823490813648293</v>
      </c>
      <c r="E228" s="107">
        <f ca="1">E226</f>
        <v>-0.10793963254593175</v>
      </c>
      <c r="F228" s="26">
        <f t="shared" ca="1" si="73"/>
        <v>2.5823490813648293</v>
      </c>
      <c r="G228" s="26">
        <f t="shared" ca="1" si="74"/>
        <v>-0.10793963254593175</v>
      </c>
      <c r="H228" s="10"/>
      <c r="I228" s="10"/>
    </row>
    <row r="229" spans="1:9" ht="10.199999999999999" customHeight="1">
      <c r="A229" s="105" t="s">
        <v>57</v>
      </c>
      <c r="B229" s="105"/>
      <c r="C229" s="31">
        <f ca="1">+C_1L/2</f>
        <v>2.690288713910761</v>
      </c>
      <c r="D229" s="107">
        <f ca="1">+D226</f>
        <v>2.7982283464566926</v>
      </c>
      <c r="E229" s="107">
        <f ca="1">+C_1WTC-E225</f>
        <v>0.70570866141732291</v>
      </c>
      <c r="F229" s="26">
        <f t="shared" ca="1" si="73"/>
        <v>2.7982283464566926</v>
      </c>
      <c r="G229" s="26">
        <f t="shared" ca="1" si="74"/>
        <v>0.70570866141732291</v>
      </c>
      <c r="H229" s="10"/>
      <c r="I229" s="10"/>
    </row>
    <row r="230" spans="1:9" ht="10.199999999999999" customHeight="1">
      <c r="A230" s="105" t="s">
        <v>58</v>
      </c>
      <c r="B230" s="105"/>
      <c r="C230" s="31">
        <f ca="1">+C_1W/4</f>
        <v>0.81364829396325467</v>
      </c>
      <c r="D230" s="107">
        <f ca="1">+D225</f>
        <v>2.5823490813648293</v>
      </c>
      <c r="E230" s="107">
        <f ca="1">+C_1WTC+E225</f>
        <v>0.92158792650918642</v>
      </c>
      <c r="F230" s="26">
        <f t="shared" ca="1" si="73"/>
        <v>2.5823490813648293</v>
      </c>
      <c r="G230" s="26">
        <f t="shared" ca="1" si="74"/>
        <v>0.92158792650918642</v>
      </c>
      <c r="H230" s="10"/>
      <c r="I230" s="10"/>
    </row>
    <row r="231" spans="1:9" ht="10.199999999999999" customHeight="1">
      <c r="A231" s="105" t="s">
        <v>60</v>
      </c>
      <c r="B231" s="105"/>
      <c r="C231" s="282">
        <f ca="1">+C_1WL*C_1WTC</f>
        <v>142.48275798972131</v>
      </c>
      <c r="D231" s="107">
        <f ca="1">D226</f>
        <v>2.7982283464566926</v>
      </c>
      <c r="E231" s="107">
        <f ca="1">E230</f>
        <v>0.92158792650918642</v>
      </c>
      <c r="F231" s="26">
        <f t="shared" ca="1" si="73"/>
        <v>2.7982283464566926</v>
      </c>
      <c r="G231" s="26">
        <f t="shared" ca="1" si="74"/>
        <v>0.92158792650918642</v>
      </c>
      <c r="H231" s="10"/>
      <c r="I231" s="10"/>
    </row>
    <row r="232" spans="1:9" ht="10.199999999999999" customHeight="1">
      <c r="A232" s="105" t="s">
        <v>42</v>
      </c>
      <c r="B232" s="105"/>
      <c r="C232" s="32">
        <f ca="1">PWatt*C_1SC*C_1PC</f>
        <v>250</v>
      </c>
      <c r="D232" s="107">
        <f ca="1">D225</f>
        <v>2.5823490813648293</v>
      </c>
      <c r="E232" s="107">
        <f ca="1">+E229</f>
        <v>0.70570866141732291</v>
      </c>
      <c r="F232" s="26">
        <f t="shared" ca="1" si="73"/>
        <v>2.5823490813648293</v>
      </c>
      <c r="G232" s="26">
        <f t="shared" ca="1" si="74"/>
        <v>0.70570866141732291</v>
      </c>
      <c r="H232" s="10"/>
      <c r="I232" s="10"/>
    </row>
    <row r="233" spans="1:9" ht="10.199999999999999" customHeight="1">
      <c r="A233" s="105" t="s">
        <v>36</v>
      </c>
      <c r="B233" s="105"/>
      <c r="C233" s="33">
        <f ca="1">PVmp*C_1SC</f>
        <v>30.5</v>
      </c>
      <c r="D233" s="107"/>
      <c r="E233" s="107"/>
      <c r="F233" s="26"/>
      <c r="G233" s="26"/>
      <c r="H233" s="10"/>
      <c r="I233" s="10"/>
    </row>
    <row r="234" spans="1:9" ht="10.199999999999999" customHeight="1">
      <c r="A234" s="105" t="s">
        <v>37</v>
      </c>
      <c r="B234" s="105"/>
      <c r="C234" s="34">
        <f ca="1">PVoc*C_1SC</f>
        <v>37.200000000000003</v>
      </c>
      <c r="H234" s="10"/>
      <c r="I234" s="10"/>
    </row>
    <row r="235" spans="1:9" ht="10.199999999999999" customHeight="1">
      <c r="A235" s="105" t="s">
        <v>43</v>
      </c>
      <c r="B235" s="105"/>
      <c r="C235" s="35">
        <f ca="1">PImp*C_1PC</f>
        <v>8.1999999999999993</v>
      </c>
      <c r="H235" s="10"/>
      <c r="I235" s="10"/>
    </row>
    <row r="236" spans="1:9" ht="10.199999999999999" customHeight="1">
      <c r="A236" s="105" t="s">
        <v>44</v>
      </c>
      <c r="B236" s="105"/>
      <c r="C236" s="36">
        <f ca="1">PIsc*C_1PC</f>
        <v>8.8000000000000007</v>
      </c>
      <c r="H236" s="10"/>
      <c r="I236" s="10"/>
    </row>
    <row r="237" spans="1:9" ht="10.199999999999999" customHeight="1">
      <c r="A237" s="22"/>
      <c r="B237" s="22"/>
      <c r="C237" s="9"/>
      <c r="D237" s="107"/>
      <c r="E237" s="107"/>
      <c r="F237" s="10"/>
      <c r="G237" s="10"/>
      <c r="H237" s="10"/>
      <c r="I237" s="10"/>
    </row>
    <row r="238" spans="1:9" ht="10.199999999999999" customHeight="1">
      <c r="A238" s="305" t="s">
        <v>344</v>
      </c>
      <c r="B238" s="304"/>
      <c r="C238" s="23" t="str">
        <f ca="1">PModel</f>
        <v>SS250-60P</v>
      </c>
      <c r="D238" s="300">
        <f ca="1">+PLFt</f>
        <v>5.3805774278215219</v>
      </c>
      <c r="E238" s="300">
        <f ca="1">+PWFt</f>
        <v>3.2545931758530187</v>
      </c>
      <c r="F238" s="26"/>
      <c r="G238" s="26"/>
    </row>
    <row r="239" spans="1:9" ht="10.199999999999999" customHeight="1">
      <c r="A239" s="286" t="s">
        <v>8</v>
      </c>
      <c r="B239" s="286"/>
      <c r="C239" s="283">
        <f ca="1">H_6L*6+Spacing*5</f>
        <v>32.491797900262469</v>
      </c>
      <c r="D239" s="107">
        <f>0</f>
        <v>0</v>
      </c>
      <c r="E239" s="107">
        <f ca="1">H_6W/2</f>
        <v>1.6272965879265093</v>
      </c>
      <c r="F239" s="26">
        <f t="shared" ref="F239:F262" si="75">+D239</f>
        <v>0</v>
      </c>
      <c r="G239" s="26">
        <f t="shared" ref="G239:G262" ca="1" si="76">+E239</f>
        <v>1.6272965879265093</v>
      </c>
      <c r="H239" s="10"/>
      <c r="I239" s="10"/>
    </row>
    <row r="240" spans="1:9" ht="10.199999999999999" customHeight="1">
      <c r="A240" s="286" t="s">
        <v>0</v>
      </c>
      <c r="B240" s="286"/>
      <c r="C240" s="284">
        <f ca="1">H_6W</f>
        <v>3.2545931758530187</v>
      </c>
      <c r="D240" s="107">
        <f ca="1">H_6L</f>
        <v>5.3805774278215219</v>
      </c>
      <c r="E240" s="107">
        <f ca="1">H_6W/2</f>
        <v>1.6272965879265093</v>
      </c>
      <c r="F240" s="26">
        <f t="shared" ca="1" si="75"/>
        <v>5.3805774278215219</v>
      </c>
      <c r="G240" s="26">
        <f t="shared" ca="1" si="76"/>
        <v>1.6272965879265093</v>
      </c>
      <c r="H240" s="10"/>
      <c r="I240" s="10"/>
    </row>
    <row r="241" spans="1:9" ht="10.199999999999999" customHeight="1">
      <c r="A241" s="286" t="s">
        <v>2</v>
      </c>
      <c r="B241" s="286"/>
      <c r="C241" s="284">
        <f ca="1">H_6W</f>
        <v>3.2545931758530187</v>
      </c>
      <c r="D241" s="107">
        <f ca="1">H_6L</f>
        <v>5.3805774278215219</v>
      </c>
      <c r="E241" s="107">
        <f ca="1">-H_6W/2</f>
        <v>-1.6272965879265093</v>
      </c>
      <c r="F241" s="26">
        <f t="shared" ca="1" si="75"/>
        <v>5.3805774278215219</v>
      </c>
      <c r="G241" s="26">
        <f t="shared" ca="1" si="76"/>
        <v>-1.6272965879265093</v>
      </c>
      <c r="H241" s="10"/>
      <c r="I241" s="10"/>
    </row>
    <row r="242" spans="1:9" ht="10.199999999999999" customHeight="1">
      <c r="A242" s="286" t="s">
        <v>206</v>
      </c>
      <c r="B242" s="286"/>
      <c r="C242" s="284">
        <v>0</v>
      </c>
      <c r="D242" s="107">
        <f ca="1">H_6L*2</f>
        <v>10.761154855643044</v>
      </c>
      <c r="E242" s="107">
        <f ca="1">-H_6W/2</f>
        <v>-1.6272965879265093</v>
      </c>
      <c r="F242" s="26">
        <f t="shared" ca="1" si="75"/>
        <v>10.761154855643044</v>
      </c>
      <c r="G242" s="26">
        <f t="shared" ca="1" si="76"/>
        <v>-1.6272965879265093</v>
      </c>
      <c r="H242" s="10"/>
      <c r="I242" s="10"/>
    </row>
    <row r="243" spans="1:9" ht="10.199999999999999" customHeight="1">
      <c r="A243" s="286" t="s">
        <v>207</v>
      </c>
      <c r="B243" s="286"/>
      <c r="C243" s="285">
        <v>0</v>
      </c>
      <c r="D243" s="107">
        <f ca="1">H_6L*2</f>
        <v>10.761154855643044</v>
      </c>
      <c r="E243" s="107">
        <f ca="1">H_6W/2</f>
        <v>1.6272965879265093</v>
      </c>
      <c r="F243" s="26">
        <f t="shared" ca="1" si="75"/>
        <v>10.761154855643044</v>
      </c>
      <c r="G243" s="26">
        <f t="shared" ca="1" si="76"/>
        <v>1.6272965879265093</v>
      </c>
      <c r="H243" s="10"/>
      <c r="I243" s="10"/>
    </row>
    <row r="244" spans="1:9" ht="10.199999999999999" customHeight="1">
      <c r="A244" s="105" t="s">
        <v>69</v>
      </c>
      <c r="B244" s="105"/>
      <c r="C244" s="163">
        <v>6</v>
      </c>
      <c r="D244" s="107">
        <f ca="1">H_6L*3</f>
        <v>16.141732283464567</v>
      </c>
      <c r="E244" s="107">
        <f ca="1">H_6W/2</f>
        <v>1.6272965879265093</v>
      </c>
      <c r="F244" s="26">
        <f t="shared" ca="1" si="75"/>
        <v>16.141732283464567</v>
      </c>
      <c r="G244" s="26">
        <f t="shared" ca="1" si="76"/>
        <v>1.6272965879265093</v>
      </c>
      <c r="H244" s="10"/>
      <c r="I244" s="10"/>
    </row>
    <row r="245" spans="1:9" ht="10.199999999999999" customHeight="1">
      <c r="A245" s="105" t="s">
        <v>70</v>
      </c>
      <c r="B245" s="105"/>
      <c r="C245" s="164">
        <v>1</v>
      </c>
      <c r="D245" s="107">
        <f ca="1">H_6L*3</f>
        <v>16.141732283464567</v>
      </c>
      <c r="E245" s="107">
        <f ca="1">-H_6W/2</f>
        <v>-1.6272965879265093</v>
      </c>
      <c r="F245" s="26">
        <f t="shared" ca="1" si="75"/>
        <v>16.141732283464567</v>
      </c>
      <c r="G245" s="26">
        <f t="shared" ca="1" si="76"/>
        <v>-1.6272965879265093</v>
      </c>
      <c r="H245" s="10"/>
      <c r="I245" s="10"/>
    </row>
    <row r="246" spans="1:9" ht="10.199999999999999" customHeight="1">
      <c r="A246" s="105" t="s">
        <v>51</v>
      </c>
      <c r="B246" s="105"/>
      <c r="C246" s="98">
        <f ca="1">+H_6L*H_6W*H_6SC*H_6PC</f>
        <v>105.06954347242026</v>
      </c>
      <c r="D246" s="107">
        <f ca="1">H_6L*4</f>
        <v>21.522309711286088</v>
      </c>
      <c r="E246" s="107">
        <f ca="1">-H_6W/2</f>
        <v>-1.6272965879265093</v>
      </c>
      <c r="F246" s="26">
        <f t="shared" ca="1" si="75"/>
        <v>21.522309711286088</v>
      </c>
      <c r="G246" s="26">
        <f t="shared" ca="1" si="76"/>
        <v>-1.6272965879265093</v>
      </c>
      <c r="H246" s="10"/>
      <c r="I246" s="10"/>
    </row>
    <row r="247" spans="1:9" ht="10.199999999999999" customHeight="1">
      <c r="A247" s="105" t="s">
        <v>52</v>
      </c>
      <c r="B247" s="105"/>
      <c r="C247" s="281">
        <f ca="1">H_6PA*StraightLineWind</f>
        <v>1050.6954347242026</v>
      </c>
      <c r="D247" s="107">
        <f ca="1">H_6L*4</f>
        <v>21.522309711286088</v>
      </c>
      <c r="E247" s="107">
        <f ca="1">H_6W/2</f>
        <v>1.6272965879265093</v>
      </c>
      <c r="F247" s="26">
        <f t="shared" ca="1" si="75"/>
        <v>21.522309711286088</v>
      </c>
      <c r="G247" s="26">
        <f t="shared" ca="1" si="76"/>
        <v>1.6272965879265093</v>
      </c>
      <c r="H247" s="10"/>
      <c r="I247" s="10"/>
    </row>
    <row r="248" spans="1:9" ht="10.199999999999999" customHeight="1">
      <c r="A248" s="105" t="s">
        <v>82</v>
      </c>
      <c r="B248" s="105"/>
      <c r="C248" s="31">
        <f ca="1">+H_6L*3</f>
        <v>16.141732283464567</v>
      </c>
      <c r="D248" s="107">
        <f ca="1">H_6L*5</f>
        <v>26.902887139107609</v>
      </c>
      <c r="E248" s="107">
        <f ca="1">H_6W/2</f>
        <v>1.6272965879265093</v>
      </c>
      <c r="F248" s="26">
        <f t="shared" ca="1" si="75"/>
        <v>26.902887139107609</v>
      </c>
      <c r="G248" s="26">
        <f t="shared" ca="1" si="76"/>
        <v>1.6272965879265093</v>
      </c>
      <c r="H248" s="10"/>
      <c r="I248" s="10"/>
    </row>
    <row r="249" spans="1:9" ht="10.199999999999999" customHeight="1">
      <c r="A249" s="105" t="s">
        <v>83</v>
      </c>
      <c r="B249" s="105"/>
      <c r="C249" s="31">
        <f ca="1">+H_6W/4</f>
        <v>0.81364829396325467</v>
      </c>
      <c r="D249" s="107">
        <f ca="1">H_6L*5</f>
        <v>26.902887139107609</v>
      </c>
      <c r="E249" s="107">
        <f ca="1">-H_6W/2</f>
        <v>-1.6272965879265093</v>
      </c>
      <c r="F249" s="26">
        <f t="shared" ca="1" si="75"/>
        <v>26.902887139107609</v>
      </c>
      <c r="G249" s="26">
        <f t="shared" ca="1" si="76"/>
        <v>-1.6272965879265093</v>
      </c>
      <c r="H249" s="10"/>
      <c r="I249" s="10"/>
    </row>
    <row r="250" spans="1:9" ht="10.199999999999999" customHeight="1">
      <c r="A250" s="105" t="s">
        <v>60</v>
      </c>
      <c r="B250" s="105"/>
      <c r="C250" s="282">
        <f ca="1">+H_6WL*H_6WTC</f>
        <v>854.89654793832767</v>
      </c>
      <c r="D250" s="107">
        <f ca="1">H_6L*6</f>
        <v>32.283464566929133</v>
      </c>
      <c r="E250" s="107">
        <f ca="1">-H_6W/2</f>
        <v>-1.6272965879265093</v>
      </c>
      <c r="F250" s="26">
        <f t="shared" ca="1" si="75"/>
        <v>32.283464566929133</v>
      </c>
      <c r="G250" s="26">
        <f t="shared" ca="1" si="76"/>
        <v>-1.6272965879265093</v>
      </c>
      <c r="H250" s="10"/>
      <c r="I250" s="10"/>
    </row>
    <row r="251" spans="1:9" ht="10.199999999999999" customHeight="1">
      <c r="A251" s="105" t="s">
        <v>42</v>
      </c>
      <c r="B251" s="105"/>
      <c r="C251" s="32">
        <f ca="1">PWatt*H_6SC*H_6PC</f>
        <v>1500</v>
      </c>
      <c r="D251" s="107">
        <f ca="1">H_6L*6</f>
        <v>32.283464566929133</v>
      </c>
      <c r="E251" s="107">
        <f ca="1">H_6W/2</f>
        <v>1.6272965879265093</v>
      </c>
      <c r="F251" s="26">
        <f t="shared" ca="1" si="75"/>
        <v>32.283464566929133</v>
      </c>
      <c r="G251" s="26">
        <f t="shared" ca="1" si="76"/>
        <v>1.6272965879265093</v>
      </c>
      <c r="H251" s="10"/>
      <c r="I251" s="10"/>
    </row>
    <row r="252" spans="1:9" ht="10.199999999999999" customHeight="1">
      <c r="A252" s="105" t="s">
        <v>36</v>
      </c>
      <c r="B252" s="105"/>
      <c r="C252" s="33">
        <f ca="1">PVmp*H_6SC</f>
        <v>183</v>
      </c>
      <c r="D252" s="107">
        <f>0</f>
        <v>0</v>
      </c>
      <c r="E252" s="107">
        <f ca="1">H_6W/2</f>
        <v>1.6272965879265093</v>
      </c>
      <c r="F252" s="26">
        <f t="shared" si="75"/>
        <v>0</v>
      </c>
      <c r="G252" s="26">
        <f t="shared" ca="1" si="76"/>
        <v>1.6272965879265093</v>
      </c>
      <c r="H252" s="10"/>
      <c r="I252" s="10"/>
    </row>
    <row r="253" spans="1:9" ht="10.199999999999999" customHeight="1">
      <c r="A253" s="105" t="s">
        <v>37</v>
      </c>
      <c r="B253" s="105"/>
      <c r="C253" s="34">
        <f ca="1">PVoc*H_6SC</f>
        <v>223.20000000000002</v>
      </c>
      <c r="D253" s="107">
        <f>0</f>
        <v>0</v>
      </c>
      <c r="E253" s="107">
        <f ca="1">-H_6W/2</f>
        <v>-1.6272965879265093</v>
      </c>
      <c r="F253" s="26">
        <f t="shared" si="75"/>
        <v>0</v>
      </c>
      <c r="G253" s="26">
        <f t="shared" ca="1" si="76"/>
        <v>-1.6272965879265093</v>
      </c>
      <c r="H253" s="10"/>
      <c r="I253" s="10"/>
    </row>
    <row r="254" spans="1:9" ht="10.199999999999999" customHeight="1">
      <c r="A254" s="105" t="s">
        <v>43</v>
      </c>
      <c r="B254" s="105"/>
      <c r="C254" s="35">
        <f ca="1">PImp*H_6PC</f>
        <v>8.1999999999999993</v>
      </c>
      <c r="D254" s="107">
        <f ca="1">H_6L*6</f>
        <v>32.283464566929133</v>
      </c>
      <c r="E254" s="107">
        <f ca="1">-H_6W/2</f>
        <v>-1.6272965879265093</v>
      </c>
      <c r="F254" s="26">
        <f t="shared" ca="1" si="75"/>
        <v>32.283464566929133</v>
      </c>
      <c r="G254" s="26">
        <f t="shared" ca="1" si="76"/>
        <v>-1.6272965879265093</v>
      </c>
      <c r="H254" s="10"/>
      <c r="I254" s="10"/>
    </row>
    <row r="255" spans="1:9" ht="10.199999999999999" customHeight="1">
      <c r="A255" s="105" t="s">
        <v>44</v>
      </c>
      <c r="B255" s="105"/>
      <c r="C255" s="36">
        <f ca="1">PIsc*H_6PC</f>
        <v>8.8000000000000007</v>
      </c>
      <c r="D255" s="107">
        <f ca="1">+H_6WC-E255</f>
        <v>15.694902395013123</v>
      </c>
      <c r="E255" s="107">
        <f ca="1">AVERAGE(H_6PL,H_6PWHE)/CM</f>
        <v>0.44682988845144356</v>
      </c>
      <c r="F255" s="26">
        <f t="shared" ca="1" si="75"/>
        <v>15.694902395013123</v>
      </c>
      <c r="G255" s="26">
        <f t="shared" ca="1" si="76"/>
        <v>0.44682988845144356</v>
      </c>
      <c r="H255" s="10"/>
      <c r="I255" s="10"/>
    </row>
    <row r="256" spans="1:9" ht="10.199999999999999" customHeight="1">
      <c r="C256" s="9" t="s">
        <v>53</v>
      </c>
      <c r="D256" s="107">
        <f ca="1">+H_6WC+E255</f>
        <v>16.58856217191601</v>
      </c>
      <c r="E256" s="107">
        <f ca="1">-E255</f>
        <v>-0.44682988845144356</v>
      </c>
      <c r="F256" s="26">
        <f t="shared" ca="1" si="75"/>
        <v>16.58856217191601</v>
      </c>
      <c r="G256" s="26">
        <f t="shared" ca="1" si="76"/>
        <v>-0.44682988845144356</v>
      </c>
      <c r="H256" s="10"/>
      <c r="I256" s="10"/>
    </row>
    <row r="257" spans="1:28" ht="10.199999999999999" customHeight="1">
      <c r="A257" s="22"/>
      <c r="B257" s="22"/>
      <c r="C257" s="9"/>
      <c r="D257" s="107">
        <f ca="1">D256</f>
        <v>16.58856217191601</v>
      </c>
      <c r="E257" s="107">
        <f ca="1">+E255</f>
        <v>0.44682988845144356</v>
      </c>
      <c r="F257" s="26">
        <f t="shared" ca="1" si="75"/>
        <v>16.58856217191601</v>
      </c>
      <c r="G257" s="26">
        <f t="shared" ca="1" si="76"/>
        <v>0.44682988845144356</v>
      </c>
      <c r="H257" s="10"/>
      <c r="I257" s="10"/>
    </row>
    <row r="258" spans="1:28" ht="10.199999999999999" customHeight="1">
      <c r="A258" s="22"/>
      <c r="B258" s="22"/>
      <c r="C258" s="9"/>
      <c r="D258" s="107">
        <f ca="1">D255</f>
        <v>15.694902395013123</v>
      </c>
      <c r="E258" s="107">
        <f ca="1">-E255</f>
        <v>-0.44682988845144356</v>
      </c>
      <c r="F258" s="26">
        <f t="shared" ca="1" si="75"/>
        <v>15.694902395013123</v>
      </c>
      <c r="G258" s="26">
        <f t="shared" ca="1" si="76"/>
        <v>-0.44682988845144356</v>
      </c>
      <c r="H258" s="10"/>
      <c r="I258" s="10"/>
    </row>
    <row r="259" spans="1:28" ht="10.199999999999999" customHeight="1">
      <c r="A259" s="22"/>
      <c r="B259" s="22"/>
      <c r="C259" s="9" t="s">
        <v>54</v>
      </c>
      <c r="D259" s="107">
        <f ca="1">+D256</f>
        <v>16.58856217191601</v>
      </c>
      <c r="E259" s="107">
        <f ca="1">+H_6WTC-E255</f>
        <v>0.36681840551181111</v>
      </c>
      <c r="F259" s="26">
        <f t="shared" ca="1" si="75"/>
        <v>16.58856217191601</v>
      </c>
      <c r="G259" s="26">
        <f t="shared" ca="1" si="76"/>
        <v>0.36681840551181111</v>
      </c>
      <c r="H259" s="10"/>
      <c r="I259" s="10"/>
    </row>
    <row r="260" spans="1:28" ht="10.199999999999999" customHeight="1">
      <c r="A260" s="22"/>
      <c r="B260" s="22"/>
      <c r="D260" s="107">
        <f ca="1">+D255</f>
        <v>15.694902395013123</v>
      </c>
      <c r="E260" s="107">
        <f ca="1">+H_6WTC+E255</f>
        <v>1.2604781824146982</v>
      </c>
      <c r="F260" s="26">
        <f t="shared" ca="1" si="75"/>
        <v>15.694902395013123</v>
      </c>
      <c r="G260" s="26">
        <f t="shared" ca="1" si="76"/>
        <v>1.2604781824146982</v>
      </c>
      <c r="H260" s="10"/>
      <c r="I260" s="12"/>
    </row>
    <row r="261" spans="1:28" ht="10.199999999999999" customHeight="1">
      <c r="A261" s="22"/>
      <c r="B261" s="22"/>
      <c r="C261" s="9"/>
      <c r="D261" s="107">
        <f ca="1">+D256</f>
        <v>16.58856217191601</v>
      </c>
      <c r="E261" s="107">
        <f ca="1">E260</f>
        <v>1.2604781824146982</v>
      </c>
      <c r="F261" s="26">
        <f t="shared" ca="1" si="75"/>
        <v>16.58856217191601</v>
      </c>
      <c r="G261" s="26">
        <f t="shared" ca="1" si="76"/>
        <v>1.2604781824146982</v>
      </c>
      <c r="H261" s="10"/>
      <c r="I261" s="10"/>
    </row>
    <row r="262" spans="1:28" ht="10.199999999999999" customHeight="1">
      <c r="A262" s="22"/>
      <c r="B262" s="22"/>
      <c r="C262" s="9" t="s">
        <v>41</v>
      </c>
      <c r="D262" s="107">
        <f ca="1">D255</f>
        <v>15.694902395013123</v>
      </c>
      <c r="E262" s="107">
        <f ca="1">+E259</f>
        <v>0.36681840551181111</v>
      </c>
      <c r="F262" s="26">
        <f t="shared" ca="1" si="75"/>
        <v>15.694902395013123</v>
      </c>
      <c r="G262" s="26">
        <f t="shared" ca="1" si="76"/>
        <v>0.36681840551181111</v>
      </c>
      <c r="H262" s="10"/>
      <c r="I262" s="10"/>
    </row>
    <row r="263" spans="1:28" ht="10.199999999999999" customHeight="1">
      <c r="A263" s="22"/>
      <c r="B263" s="22"/>
      <c r="C263" s="9"/>
      <c r="H263" s="10"/>
      <c r="I263" s="10"/>
    </row>
    <row r="264" spans="1:28" ht="10.199999999999999" customHeight="1">
      <c r="A264" s="305" t="s">
        <v>357</v>
      </c>
      <c r="B264" s="304"/>
      <c r="C264" s="23" t="str">
        <f ca="1">PModel</f>
        <v>SS250-60P</v>
      </c>
      <c r="D264" s="300">
        <f ca="1">+PLFt</f>
        <v>5.3805774278215219</v>
      </c>
      <c r="E264" s="300">
        <f ca="1">+PWFt</f>
        <v>3.2545931758530187</v>
      </c>
    </row>
    <row r="265" spans="1:28" ht="10.199999999999999" customHeight="1">
      <c r="A265" s="286" t="s">
        <v>8</v>
      </c>
      <c r="B265" s="286"/>
      <c r="C265" s="283">
        <f ca="1">+A_2L+A_2W+Spacing*1</f>
        <v>8.6768372703412062</v>
      </c>
      <c r="D265" s="107">
        <f ca="1">A_2L</f>
        <v>5.3805774278215219</v>
      </c>
      <c r="E265" s="107">
        <f ca="1">+A_2W*0.5</f>
        <v>1.6272965879265093</v>
      </c>
      <c r="F265" s="26">
        <f t="shared" ref="F265:F274" ca="1" si="77">+D265</f>
        <v>5.3805774278215219</v>
      </c>
      <c r="G265" s="26">
        <f t="shared" ref="G265:G274" ca="1" si="78">+E265</f>
        <v>1.6272965879265093</v>
      </c>
      <c r="H265" s="10"/>
      <c r="I265" s="10"/>
      <c r="Z265" s="12"/>
      <c r="AA265" s="812"/>
      <c r="AB265" s="12"/>
    </row>
    <row r="266" spans="1:28" ht="10.199999999999999" customHeight="1">
      <c r="A266" s="286" t="s">
        <v>0</v>
      </c>
      <c r="B266" s="286"/>
      <c r="C266" s="284">
        <f ca="1">+A_2L</f>
        <v>5.3805774278215219</v>
      </c>
      <c r="D266" s="107">
        <f ca="1">A_2L</f>
        <v>5.3805774278215219</v>
      </c>
      <c r="E266" s="107">
        <f ca="1">+A_2L*0.5</f>
        <v>2.690288713910761</v>
      </c>
      <c r="F266" s="26">
        <f t="shared" ca="1" si="77"/>
        <v>5.3805774278215219</v>
      </c>
      <c r="G266" s="26">
        <f t="shared" ca="1" si="78"/>
        <v>2.690288713910761</v>
      </c>
      <c r="H266" s="10"/>
      <c r="I266" s="10"/>
    </row>
    <row r="267" spans="1:28" ht="10.199999999999999" customHeight="1">
      <c r="A267" s="286" t="s">
        <v>2</v>
      </c>
      <c r="B267" s="286"/>
      <c r="C267" s="284">
        <f ca="1">+A_2W</f>
        <v>3.2545931758530187</v>
      </c>
      <c r="D267" s="107">
        <f ca="1">A_2L+A_2W</f>
        <v>8.6351706036745401</v>
      </c>
      <c r="E267" s="107">
        <f ca="1">+A_2L*0.5</f>
        <v>2.690288713910761</v>
      </c>
      <c r="F267" s="26">
        <f t="shared" ca="1" si="77"/>
        <v>8.6351706036745401</v>
      </c>
      <c r="G267" s="26">
        <f t="shared" ca="1" si="78"/>
        <v>2.690288713910761</v>
      </c>
      <c r="H267" s="10"/>
      <c r="I267" s="10"/>
    </row>
    <row r="268" spans="1:28" ht="10.199999999999999" customHeight="1">
      <c r="A268" s="286" t="s">
        <v>206</v>
      </c>
      <c r="B268" s="286"/>
      <c r="C268" s="284">
        <f ca="1">1/COS(RADIANS(A_2TA))*A_2L</f>
        <v>5.484575253990684</v>
      </c>
      <c r="D268" s="107">
        <f ca="1">A_2L+A_2W</f>
        <v>8.6351706036745401</v>
      </c>
      <c r="E268" s="107">
        <f ca="1">+-A_2L*0.5</f>
        <v>-2.690288713910761</v>
      </c>
      <c r="F268" s="26">
        <f t="shared" ca="1" si="77"/>
        <v>8.6351706036745401</v>
      </c>
      <c r="G268" s="26">
        <f t="shared" ca="1" si="78"/>
        <v>-2.690288713910761</v>
      </c>
      <c r="H268" s="10"/>
      <c r="I268" s="10"/>
    </row>
    <row r="269" spans="1:28" ht="10.199999999999999" customHeight="1">
      <c r="A269" s="286" t="s">
        <v>207</v>
      </c>
      <c r="B269" s="286"/>
      <c r="C269" s="285">
        <f ca="1">+DEGREES(ATAN2(A_2L,A_2L*0.5-A_2W*0.5))</f>
        <v>11.175498700271143</v>
      </c>
      <c r="D269" s="107">
        <f ca="1">A_2L+A_2W</f>
        <v>8.6351706036745401</v>
      </c>
      <c r="E269" s="107">
        <f ca="1">+-A_2L*0.5</f>
        <v>-2.690288713910761</v>
      </c>
      <c r="F269" s="26">
        <f t="shared" ca="1" si="77"/>
        <v>8.6351706036745401</v>
      </c>
      <c r="G269" s="26">
        <f t="shared" ca="1" si="78"/>
        <v>-2.690288713910761</v>
      </c>
      <c r="H269" s="10"/>
      <c r="I269" s="10"/>
    </row>
    <row r="270" spans="1:28" ht="10.199999999999999" customHeight="1">
      <c r="A270" s="105" t="s">
        <v>69</v>
      </c>
      <c r="B270" s="105"/>
      <c r="C270" s="163">
        <v>2</v>
      </c>
      <c r="D270" s="107">
        <f ca="1">A_2L</f>
        <v>5.3805774278215219</v>
      </c>
      <c r="E270" s="107">
        <f ca="1">-A_2L*0.5</f>
        <v>-2.690288713910761</v>
      </c>
      <c r="F270" s="26">
        <f t="shared" ca="1" si="77"/>
        <v>5.3805774278215219</v>
      </c>
      <c r="G270" s="26">
        <f t="shared" ca="1" si="78"/>
        <v>-2.690288713910761</v>
      </c>
      <c r="H270" s="10"/>
      <c r="I270" s="10"/>
    </row>
    <row r="271" spans="1:28" ht="10.199999999999999" customHeight="1">
      <c r="A271" s="105" t="s">
        <v>70</v>
      </c>
      <c r="B271" s="105"/>
      <c r="C271" s="164">
        <v>1</v>
      </c>
      <c r="D271" s="107">
        <f ca="1">A_2L</f>
        <v>5.3805774278215219</v>
      </c>
      <c r="E271" s="107">
        <f ca="1">+A_2W*0.5</f>
        <v>1.6272965879265093</v>
      </c>
      <c r="F271" s="26">
        <f t="shared" ca="1" si="77"/>
        <v>5.3805774278215219</v>
      </c>
      <c r="G271" s="26">
        <f t="shared" ca="1" si="78"/>
        <v>1.6272965879265093</v>
      </c>
      <c r="H271" s="10"/>
      <c r="I271" s="10"/>
    </row>
    <row r="272" spans="1:28" ht="10.199999999999999" customHeight="1">
      <c r="A272" s="105" t="s">
        <v>51</v>
      </c>
      <c r="B272" s="105"/>
      <c r="C272" s="98">
        <f ca="1">+A_2L*A_2W*A_2SC*A_2PC</f>
        <v>35.023181157473424</v>
      </c>
      <c r="D272" s="107">
        <f>0</f>
        <v>0</v>
      </c>
      <c r="E272" s="107">
        <f ca="1">+A_2W*0.5</f>
        <v>1.6272965879265093</v>
      </c>
      <c r="F272" s="26">
        <f t="shared" si="77"/>
        <v>0</v>
      </c>
      <c r="G272" s="26">
        <f t="shared" ca="1" si="78"/>
        <v>1.6272965879265093</v>
      </c>
      <c r="H272" s="10"/>
      <c r="I272" s="10"/>
    </row>
    <row r="273" spans="1:9" ht="10.199999999999999" customHeight="1">
      <c r="A273" s="105" t="s">
        <v>52</v>
      </c>
      <c r="B273" s="105"/>
      <c r="C273" s="281">
        <f ca="1">A_2PA*StraightLineWind</f>
        <v>350.23181157473425</v>
      </c>
      <c r="D273" s="107">
        <f>0</f>
        <v>0</v>
      </c>
      <c r="E273" s="107">
        <f ca="1">-A_2W*0.5</f>
        <v>-1.6272965879265093</v>
      </c>
      <c r="F273" s="26">
        <f t="shared" si="77"/>
        <v>0</v>
      </c>
      <c r="G273" s="26">
        <f t="shared" ca="1" si="78"/>
        <v>-1.6272965879265093</v>
      </c>
      <c r="H273" s="10"/>
      <c r="I273" s="10"/>
    </row>
    <row r="274" spans="1:9" ht="10.199999999999999" customHeight="1">
      <c r="A274" s="105" t="s">
        <v>57</v>
      </c>
      <c r="B274" s="105"/>
      <c r="C274" s="31">
        <f ca="1">+( (A_2L/2)*1+(A_2L+A_2W/2)*1)/(2)</f>
        <v>4.849081364829396</v>
      </c>
      <c r="D274" s="107">
        <f ca="1">A_2L</f>
        <v>5.3805774278215219</v>
      </c>
      <c r="E274" s="107">
        <f ca="1">-A_2W*0.5</f>
        <v>-1.6272965879265093</v>
      </c>
      <c r="F274" s="26">
        <f t="shared" ca="1" si="77"/>
        <v>5.3805774278215219</v>
      </c>
      <c r="G274" s="26">
        <f t="shared" ca="1" si="78"/>
        <v>-1.6272965879265093</v>
      </c>
      <c r="H274" s="10"/>
      <c r="I274" s="10"/>
    </row>
    <row r="275" spans="1:9" ht="10.199999999999999" customHeight="1">
      <c r="A275" s="105" t="s">
        <v>58</v>
      </c>
      <c r="B275" s="105"/>
      <c r="C275" s="31">
        <f ca="1">+(A_2W/4*1+A_2L/4*1)/(2)</f>
        <v>1.0793963254593175</v>
      </c>
      <c r="D275" s="107">
        <f>0</f>
        <v>0</v>
      </c>
      <c r="E275" s="107">
        <f ca="1">+A_2W*0.5</f>
        <v>1.6272965879265093</v>
      </c>
      <c r="F275" s="26">
        <f>+D275</f>
        <v>0</v>
      </c>
      <c r="G275" s="26">
        <f ca="1">+E275</f>
        <v>1.6272965879265093</v>
      </c>
      <c r="H275" s="10"/>
      <c r="I275" s="10"/>
    </row>
    <row r="276" spans="1:9" ht="10.199999999999999" customHeight="1">
      <c r="A276" s="105" t="s">
        <v>60</v>
      </c>
      <c r="B276" s="105"/>
      <c r="C276" s="282">
        <f ca="1">+A_2WL*A_2WTC</f>
        <v>378.03893047272823</v>
      </c>
      <c r="D276" s="107">
        <f ca="1">A_2L</f>
        <v>5.3805774278215219</v>
      </c>
      <c r="E276" s="107">
        <f ca="1">+A_2L*0.5</f>
        <v>2.690288713910761</v>
      </c>
      <c r="F276" s="26">
        <f ca="1">+D276</f>
        <v>5.3805774278215219</v>
      </c>
      <c r="G276" s="26">
        <f ca="1">+E276</f>
        <v>2.690288713910761</v>
      </c>
      <c r="H276" s="10"/>
      <c r="I276" s="10"/>
    </row>
    <row r="277" spans="1:9" ht="10.199999999999999" customHeight="1">
      <c r="A277" s="105" t="s">
        <v>42</v>
      </c>
      <c r="B277" s="105"/>
      <c r="C277" s="32">
        <f ca="1">PWatt*A_2SC*A_2PC</f>
        <v>500</v>
      </c>
      <c r="D277" s="107">
        <f>0</f>
        <v>0</v>
      </c>
      <c r="E277" s="107">
        <f ca="1">-A_2W*0.5</f>
        <v>-1.6272965879265093</v>
      </c>
      <c r="F277" s="26">
        <f t="shared" ref="F277" si="79">+D277</f>
        <v>0</v>
      </c>
      <c r="G277" s="26">
        <f t="shared" ref="G277" ca="1" si="80">+E277</f>
        <v>-1.6272965879265093</v>
      </c>
      <c r="H277" s="10"/>
      <c r="I277" s="10"/>
    </row>
    <row r="278" spans="1:9" ht="10.199999999999999" customHeight="1">
      <c r="A278" s="105" t="s">
        <v>36</v>
      </c>
      <c r="B278" s="105"/>
      <c r="C278" s="33">
        <f ca="1">PVmp*A_2SC</f>
        <v>61</v>
      </c>
      <c r="D278" s="107">
        <f ca="1">A_2L</f>
        <v>5.3805774278215219</v>
      </c>
      <c r="E278" s="107">
        <f ca="1">-A_2L*0.5</f>
        <v>-2.690288713910761</v>
      </c>
      <c r="F278" s="26">
        <f ca="1">+D278</f>
        <v>5.3805774278215219</v>
      </c>
      <c r="G278" s="26">
        <f ca="1">+E278</f>
        <v>-2.690288713910761</v>
      </c>
      <c r="H278" s="10"/>
      <c r="I278" s="10"/>
    </row>
    <row r="279" spans="1:9" ht="10.199999999999999" customHeight="1">
      <c r="A279" s="105" t="s">
        <v>37</v>
      </c>
      <c r="B279" s="105"/>
      <c r="C279" s="34">
        <f ca="1">PVoc*A_2SC</f>
        <v>74.400000000000006</v>
      </c>
      <c r="D279" s="107">
        <f ca="1">+A_2WC-E279</f>
        <v>4.6999384842519678</v>
      </c>
      <c r="E279" s="107">
        <f ca="1">AVERAGE(A_2PL,A_2PWHE)/CM</f>
        <v>0.14914288057742781</v>
      </c>
      <c r="F279" s="26">
        <f t="shared" ref="F279" ca="1" si="81">+D279</f>
        <v>4.6999384842519678</v>
      </c>
      <c r="G279" s="26">
        <f t="shared" ref="G279" ca="1" si="82">+E279</f>
        <v>0.14914288057742781</v>
      </c>
      <c r="H279" s="10"/>
      <c r="I279" s="10"/>
    </row>
    <row r="280" spans="1:9" ht="10.199999999999999" customHeight="1">
      <c r="A280" s="105" t="s">
        <v>43</v>
      </c>
      <c r="B280" s="105"/>
      <c r="C280" s="35">
        <f ca="1">PImp*A_2PC</f>
        <v>8.1999999999999993</v>
      </c>
      <c r="D280" s="107">
        <f ca="1">+A_2WC+E279</f>
        <v>4.9982242454068242</v>
      </c>
      <c r="E280" s="107">
        <f ca="1">-E279</f>
        <v>-0.14914288057742781</v>
      </c>
      <c r="F280" s="26">
        <f ca="1">+D280</f>
        <v>4.9982242454068242</v>
      </c>
      <c r="G280" s="26">
        <f ca="1">+E280</f>
        <v>-0.14914288057742781</v>
      </c>
      <c r="H280" s="10"/>
      <c r="I280" s="10"/>
    </row>
    <row r="281" spans="1:9" ht="10.199999999999999" customHeight="1">
      <c r="A281" s="105" t="s">
        <v>44</v>
      </c>
      <c r="B281" s="105"/>
      <c r="C281" s="36">
        <f ca="1">PIsc*A_2PC</f>
        <v>8.8000000000000007</v>
      </c>
      <c r="D281" s="107">
        <f ca="1">D280</f>
        <v>4.9982242454068242</v>
      </c>
      <c r="E281" s="107">
        <f ca="1">E279</f>
        <v>0.14914288057742781</v>
      </c>
      <c r="F281" s="26">
        <f t="shared" ref="F281:F286" ca="1" si="83">+D281</f>
        <v>4.9982242454068242</v>
      </c>
      <c r="G281" s="26">
        <f t="shared" ref="G281:G286" ca="1" si="84">+E281</f>
        <v>0.14914288057742781</v>
      </c>
      <c r="H281" s="10"/>
      <c r="I281" s="10"/>
    </row>
    <row r="282" spans="1:9" ht="10.199999999999999" customHeight="1">
      <c r="A282" s="22"/>
      <c r="B282" s="22"/>
      <c r="C282" s="9" t="s">
        <v>53</v>
      </c>
      <c r="D282" s="107">
        <f ca="1">D279</f>
        <v>4.6999384842519678</v>
      </c>
      <c r="E282" s="107">
        <f ca="1">E280</f>
        <v>-0.14914288057742781</v>
      </c>
      <c r="F282" s="26">
        <f t="shared" ca="1" si="83"/>
        <v>4.6999384842519678</v>
      </c>
      <c r="G282" s="26">
        <f t="shared" ca="1" si="84"/>
        <v>-0.14914288057742781</v>
      </c>
      <c r="H282" s="10"/>
      <c r="I282" s="10"/>
    </row>
    <row r="283" spans="1:9" ht="10.199999999999999" customHeight="1">
      <c r="A283" s="22"/>
      <c r="B283" s="22"/>
      <c r="C283" s="9" t="s">
        <v>54</v>
      </c>
      <c r="D283" s="107">
        <f ca="1">+D280</f>
        <v>4.9982242454068242</v>
      </c>
      <c r="E283" s="107">
        <f ca="1">+A_2WTC-E279</f>
        <v>0.93025344488188977</v>
      </c>
      <c r="F283" s="26">
        <f t="shared" ca="1" si="83"/>
        <v>4.9982242454068242</v>
      </c>
      <c r="G283" s="26">
        <f t="shared" ca="1" si="84"/>
        <v>0.93025344488188977</v>
      </c>
      <c r="H283" s="10"/>
      <c r="I283" s="10"/>
    </row>
    <row r="284" spans="1:9" ht="10.199999999999999" customHeight="1">
      <c r="A284" s="287"/>
      <c r="B284" s="287"/>
      <c r="C284" s="9"/>
      <c r="D284" s="107">
        <f ca="1">+D279</f>
        <v>4.6999384842519678</v>
      </c>
      <c r="E284" s="107">
        <f ca="1">+A_2WTC+E279</f>
        <v>1.2285392060367453</v>
      </c>
      <c r="F284" s="26">
        <f t="shared" ca="1" si="83"/>
        <v>4.6999384842519678</v>
      </c>
      <c r="G284" s="26">
        <f t="shared" ca="1" si="84"/>
        <v>1.2285392060367453</v>
      </c>
      <c r="H284" s="10"/>
      <c r="I284" s="10"/>
    </row>
    <row r="285" spans="1:9" ht="10.199999999999999" customHeight="1">
      <c r="A285" s="287"/>
      <c r="B285" s="287"/>
      <c r="C285" s="9"/>
      <c r="D285" s="107">
        <f ca="1">D283</f>
        <v>4.9982242454068242</v>
      </c>
      <c r="E285" s="107">
        <f ca="1">E284</f>
        <v>1.2285392060367453</v>
      </c>
      <c r="F285" s="26">
        <f t="shared" ca="1" si="83"/>
        <v>4.9982242454068242</v>
      </c>
      <c r="G285" s="26">
        <f t="shared" ca="1" si="84"/>
        <v>1.2285392060367453</v>
      </c>
      <c r="H285" s="10"/>
      <c r="I285" s="10"/>
    </row>
    <row r="286" spans="1:9" ht="10.199999999999999" customHeight="1">
      <c r="A286" s="287"/>
      <c r="B286" s="287"/>
      <c r="C286" s="9" t="s">
        <v>41</v>
      </c>
      <c r="D286" s="107">
        <f ca="1">D284</f>
        <v>4.6999384842519678</v>
      </c>
      <c r="E286" s="107">
        <f ca="1">+E283</f>
        <v>0.93025344488188977</v>
      </c>
      <c r="F286" s="26">
        <f t="shared" ca="1" si="83"/>
        <v>4.6999384842519678</v>
      </c>
      <c r="G286" s="26">
        <f t="shared" ca="1" si="84"/>
        <v>0.93025344488188977</v>
      </c>
      <c r="H286" s="10"/>
      <c r="I286" s="10"/>
    </row>
    <row r="287" spans="1:9" ht="10.199999999999999" customHeight="1">
      <c r="A287" s="22"/>
      <c r="B287" s="22"/>
      <c r="C287" s="9"/>
      <c r="H287" s="10"/>
      <c r="I287" s="10"/>
    </row>
    <row r="288" spans="1:9" ht="10.199999999999999" customHeight="1">
      <c r="A288" s="305" t="s">
        <v>190</v>
      </c>
      <c r="B288" s="304"/>
      <c r="C288" s="23" t="str">
        <f ca="1">PModel</f>
        <v>SS250-60P</v>
      </c>
      <c r="D288" s="300">
        <f ca="1">+PLFt</f>
        <v>5.3805774278215219</v>
      </c>
      <c r="E288" s="300">
        <f ca="1">+PWFt</f>
        <v>3.2545931758530187</v>
      </c>
    </row>
    <row r="289" spans="1:28" ht="10.199999999999999" customHeight="1">
      <c r="A289" s="286" t="s">
        <v>8</v>
      </c>
      <c r="B289" s="286"/>
      <c r="C289" s="283">
        <f ca="1">+A_4L+A_4W+Spacing*1</f>
        <v>8.6768372703412062</v>
      </c>
      <c r="D289" s="107">
        <f>0</f>
        <v>0</v>
      </c>
      <c r="E289" s="107">
        <f ca="1">+A_4W</f>
        <v>3.2545931758530187</v>
      </c>
      <c r="F289" s="26">
        <f t="shared" ref="F289:F292" si="85">+D289</f>
        <v>0</v>
      </c>
      <c r="G289" s="26">
        <f t="shared" ref="G289:G292" ca="1" si="86">+E289</f>
        <v>3.2545931758530187</v>
      </c>
      <c r="H289" s="10"/>
      <c r="I289" s="10"/>
      <c r="Z289" s="12"/>
      <c r="AA289" s="812"/>
      <c r="AB289" s="12"/>
    </row>
    <row r="290" spans="1:28" ht="10.199999999999999" customHeight="1">
      <c r="A290" s="286" t="s">
        <v>0</v>
      </c>
      <c r="B290" s="286"/>
      <c r="C290" s="284">
        <f ca="1">+A_4W*2+Spacing*1</f>
        <v>6.5508530183727043</v>
      </c>
      <c r="D290" s="107">
        <f ca="1">A_4L</f>
        <v>5.3805774278215219</v>
      </c>
      <c r="E290" s="107">
        <f ca="1">+A_4W</f>
        <v>3.2545931758530187</v>
      </c>
      <c r="F290" s="26">
        <f t="shared" ca="1" si="85"/>
        <v>5.3805774278215219</v>
      </c>
      <c r="G290" s="26">
        <f t="shared" ca="1" si="86"/>
        <v>3.2545931758530187</v>
      </c>
      <c r="H290" s="10"/>
      <c r="I290" s="10"/>
    </row>
    <row r="291" spans="1:28" ht="10.199999999999999" customHeight="1">
      <c r="A291" s="286" t="s">
        <v>2</v>
      </c>
      <c r="B291" s="286"/>
      <c r="C291" s="284">
        <f ca="1">+A_4L*2+Spacing*1</f>
        <v>10.80282152230971</v>
      </c>
      <c r="D291" s="107">
        <f ca="1">A_4L</f>
        <v>5.3805774278215219</v>
      </c>
      <c r="E291" s="107">
        <f ca="1">-A_4W</f>
        <v>-3.2545931758530187</v>
      </c>
      <c r="F291" s="26">
        <f t="shared" ca="1" si="85"/>
        <v>5.3805774278215219</v>
      </c>
      <c r="G291" s="26">
        <f t="shared" ca="1" si="86"/>
        <v>-3.2545931758530187</v>
      </c>
      <c r="H291" s="10"/>
      <c r="I291" s="10"/>
    </row>
    <row r="292" spans="1:28" ht="10.199999999999999" customHeight="1">
      <c r="A292" s="286" t="s">
        <v>206</v>
      </c>
      <c r="B292" s="286"/>
      <c r="C292" s="284">
        <f ca="1">1/COS(RADIANS(A_4TA))*(A_4L+Spacing*1)</f>
        <v>5.8241342755666361</v>
      </c>
      <c r="D292" s="107">
        <f>0</f>
        <v>0</v>
      </c>
      <c r="E292" s="107">
        <f ca="1">-A_4W</f>
        <v>-3.2545931758530187</v>
      </c>
      <c r="F292" s="26">
        <f t="shared" si="85"/>
        <v>0</v>
      </c>
      <c r="G292" s="26">
        <f t="shared" ca="1" si="86"/>
        <v>-3.2545931758530187</v>
      </c>
      <c r="H292" s="10"/>
      <c r="I292" s="10"/>
    </row>
    <row r="293" spans="1:28" ht="10.199999999999999" customHeight="1">
      <c r="A293" s="286" t="s">
        <v>207</v>
      </c>
      <c r="B293" s="286"/>
      <c r="C293" s="285">
        <f ca="1">+DEGREES(ATAN2(A_4L+Spacing*1,A_4L-A_4W))</f>
        <v>21.409434433152086</v>
      </c>
      <c r="D293" s="107">
        <f>0</f>
        <v>0</v>
      </c>
      <c r="E293" s="107">
        <f>0</f>
        <v>0</v>
      </c>
      <c r="F293" s="26">
        <f t="shared" ref="F293:G297" si="87">+D293</f>
        <v>0</v>
      </c>
      <c r="G293" s="26">
        <f t="shared" si="87"/>
        <v>0</v>
      </c>
      <c r="H293" s="10"/>
      <c r="I293" s="10"/>
    </row>
    <row r="294" spans="1:28" ht="10.199999999999999" customHeight="1">
      <c r="A294" s="105" t="s">
        <v>69</v>
      </c>
      <c r="B294" s="105"/>
      <c r="C294" s="163">
        <v>2</v>
      </c>
      <c r="D294" s="107">
        <f ca="1">+A_4L+A_4W</f>
        <v>8.6351706036745401</v>
      </c>
      <c r="E294" s="107">
        <f>0</f>
        <v>0</v>
      </c>
      <c r="F294" s="26">
        <f t="shared" ca="1" si="87"/>
        <v>8.6351706036745401</v>
      </c>
      <c r="G294" s="26">
        <f t="shared" si="87"/>
        <v>0</v>
      </c>
      <c r="H294" s="10"/>
      <c r="I294" s="10"/>
    </row>
    <row r="295" spans="1:28" ht="10.199999999999999" customHeight="1">
      <c r="A295" s="105" t="s">
        <v>70</v>
      </c>
      <c r="B295" s="105"/>
      <c r="C295" s="164">
        <v>2</v>
      </c>
      <c r="D295" s="107">
        <f ca="1">A_4L</f>
        <v>5.3805774278215219</v>
      </c>
      <c r="E295" s="107">
        <f>0</f>
        <v>0</v>
      </c>
      <c r="F295" s="26">
        <f t="shared" ca="1" si="87"/>
        <v>5.3805774278215219</v>
      </c>
      <c r="G295" s="26">
        <f t="shared" si="87"/>
        <v>0</v>
      </c>
      <c r="H295" s="10"/>
      <c r="I295" s="10"/>
    </row>
    <row r="296" spans="1:28" ht="10.199999999999999" customHeight="1">
      <c r="A296" s="105" t="s">
        <v>51</v>
      </c>
      <c r="B296" s="105"/>
      <c r="C296" s="98">
        <f ca="1">+A_4L*A_4W*A_4SC*A_4PC</f>
        <v>70.046362314946848</v>
      </c>
      <c r="D296" s="107">
        <f ca="1">A_4L</f>
        <v>5.3805774278215219</v>
      </c>
      <c r="E296" s="107">
        <f ca="1">A_4L</f>
        <v>5.3805774278215219</v>
      </c>
      <c r="F296" s="26">
        <f t="shared" ca="1" si="87"/>
        <v>5.3805774278215219</v>
      </c>
      <c r="G296" s="26">
        <f t="shared" ca="1" si="87"/>
        <v>5.3805774278215219</v>
      </c>
      <c r="H296" s="10"/>
      <c r="I296" s="10"/>
    </row>
    <row r="297" spans="1:28" ht="10.199999999999999" customHeight="1">
      <c r="A297" s="105" t="s">
        <v>52</v>
      </c>
      <c r="B297" s="105"/>
      <c r="C297" s="281">
        <f ca="1">A_4PA*StraightLineWind</f>
        <v>700.4636231494685</v>
      </c>
      <c r="D297" s="107">
        <f ca="1">+A_4L+A_4W</f>
        <v>8.6351706036745401</v>
      </c>
      <c r="E297" s="107">
        <f ca="1">A_4L</f>
        <v>5.3805774278215219</v>
      </c>
      <c r="F297" s="26">
        <f t="shared" ca="1" si="87"/>
        <v>8.6351706036745401</v>
      </c>
      <c r="G297" s="26">
        <f t="shared" ca="1" si="87"/>
        <v>5.3805774278215219</v>
      </c>
      <c r="H297" s="10"/>
      <c r="I297" s="10"/>
    </row>
    <row r="298" spans="1:28" ht="10.199999999999999" customHeight="1">
      <c r="A298" s="105" t="s">
        <v>57</v>
      </c>
      <c r="B298" s="105"/>
      <c r="C298" s="31">
        <f ca="1">+( (A_4L/2)*2+(A_4L+A_4W/2)*2)/(2+2)</f>
        <v>4.849081364829396</v>
      </c>
      <c r="D298" s="107">
        <f ca="1">+A_4L+A_4W</f>
        <v>8.6351706036745401</v>
      </c>
      <c r="E298" s="107">
        <f ca="1">-A_4L</f>
        <v>-5.3805774278215219</v>
      </c>
      <c r="F298" s="26">
        <f t="shared" ref="F298" ca="1" si="88">+D298</f>
        <v>8.6351706036745401</v>
      </c>
      <c r="G298" s="26">
        <f t="shared" ref="G298" ca="1" si="89">+E298</f>
        <v>-5.3805774278215219</v>
      </c>
      <c r="H298" s="10"/>
      <c r="I298" s="10"/>
    </row>
    <row r="299" spans="1:28" ht="10.199999999999999" customHeight="1">
      <c r="A299" s="105" t="s">
        <v>58</v>
      </c>
      <c r="B299" s="105"/>
      <c r="C299" s="31">
        <f ca="1">+(A_4W/2*1+A_4L/2*1)/(1+1)</f>
        <v>2.158792650918635</v>
      </c>
      <c r="D299" s="107">
        <f ca="1">+A_4L+A_4W</f>
        <v>8.6351706036745401</v>
      </c>
      <c r="E299" s="107">
        <f>0</f>
        <v>0</v>
      </c>
      <c r="F299" s="26">
        <f ca="1">+D299</f>
        <v>8.6351706036745401</v>
      </c>
      <c r="G299" s="26">
        <f>+E299</f>
        <v>0</v>
      </c>
      <c r="H299" s="10"/>
      <c r="I299" s="10"/>
    </row>
    <row r="300" spans="1:28" ht="10.199999999999999" customHeight="1">
      <c r="A300" s="105" t="s">
        <v>60</v>
      </c>
      <c r="B300" s="105"/>
      <c r="C300" s="282">
        <f ca="1">+A_4WL*A_4WTC</f>
        <v>1512.1557218909129</v>
      </c>
      <c r="D300" s="107">
        <f ca="1">A_4L</f>
        <v>5.3805774278215219</v>
      </c>
      <c r="E300" s="107">
        <f>0</f>
        <v>0</v>
      </c>
      <c r="F300" s="26">
        <f ca="1">+D300</f>
        <v>5.3805774278215219</v>
      </c>
      <c r="G300" s="26">
        <f>+E300</f>
        <v>0</v>
      </c>
      <c r="H300" s="10"/>
      <c r="I300" s="10"/>
    </row>
    <row r="301" spans="1:28" ht="10.199999999999999" customHeight="1">
      <c r="A301" s="105" t="s">
        <v>42</v>
      </c>
      <c r="B301" s="105"/>
      <c r="C301" s="32">
        <f ca="1">PWatt*A_4SC*A_4PC</f>
        <v>1000</v>
      </c>
      <c r="D301" s="107">
        <f ca="1">A_4L</f>
        <v>5.3805774278215219</v>
      </c>
      <c r="E301" s="107">
        <f ca="1">-A_4L</f>
        <v>-5.3805774278215219</v>
      </c>
      <c r="F301" s="26">
        <f t="shared" ref="F301" ca="1" si="90">+D301</f>
        <v>5.3805774278215219</v>
      </c>
      <c r="G301" s="26">
        <f t="shared" ref="G301" ca="1" si="91">+E301</f>
        <v>-5.3805774278215219</v>
      </c>
      <c r="H301" s="10"/>
      <c r="I301" s="10"/>
    </row>
    <row r="302" spans="1:28" ht="10.199999999999999" customHeight="1">
      <c r="A302" s="105" t="s">
        <v>36</v>
      </c>
      <c r="B302" s="105"/>
      <c r="C302" s="33">
        <f ca="1">PVmp*A_4SC</f>
        <v>61</v>
      </c>
      <c r="D302" s="107">
        <f ca="1">+A_4L+A_4W</f>
        <v>8.6351706036745401</v>
      </c>
      <c r="E302" s="107">
        <f ca="1">-A_4L</f>
        <v>-5.3805774278215219</v>
      </c>
      <c r="F302" s="26">
        <f ca="1">+D302</f>
        <v>8.6351706036745401</v>
      </c>
      <c r="G302" s="26">
        <f ca="1">+E302</f>
        <v>-5.3805774278215219</v>
      </c>
      <c r="H302" s="10"/>
      <c r="I302" s="10"/>
    </row>
    <row r="303" spans="1:28" ht="10.199999999999999" customHeight="1">
      <c r="A303" s="105" t="s">
        <v>37</v>
      </c>
      <c r="B303" s="105"/>
      <c r="C303" s="34">
        <f ca="1">PVoc*A_4SC</f>
        <v>74.400000000000006</v>
      </c>
      <c r="D303" s="107">
        <f ca="1">+A_4WC-E303</f>
        <v>4.6055856299212596</v>
      </c>
      <c r="E303" s="107">
        <f ca="1">AVERAGE(A_4PL,A_4PWHE)/CM</f>
        <v>0.24349573490813645</v>
      </c>
      <c r="F303" s="26">
        <f t="shared" ref="F303" ca="1" si="92">+D303</f>
        <v>4.6055856299212596</v>
      </c>
      <c r="G303" s="26">
        <f t="shared" ref="G303" ca="1" si="93">+E303</f>
        <v>0.24349573490813645</v>
      </c>
      <c r="H303" s="10"/>
      <c r="I303" s="10"/>
    </row>
    <row r="304" spans="1:28" ht="10.199999999999999" customHeight="1">
      <c r="A304" s="105" t="s">
        <v>43</v>
      </c>
      <c r="B304" s="105"/>
      <c r="C304" s="35">
        <f ca="1">PImp*A_4PC</f>
        <v>16.399999999999999</v>
      </c>
      <c r="D304" s="107">
        <f ca="1">+A_4WC+E303</f>
        <v>5.0925770997375324</v>
      </c>
      <c r="E304" s="107">
        <f ca="1">-E303</f>
        <v>-0.24349573490813645</v>
      </c>
      <c r="F304" s="26">
        <f ca="1">+D304</f>
        <v>5.0925770997375324</v>
      </c>
      <c r="G304" s="26">
        <f ca="1">+E304</f>
        <v>-0.24349573490813645</v>
      </c>
      <c r="H304" s="10"/>
      <c r="I304" s="10"/>
    </row>
    <row r="305" spans="1:9" ht="10.199999999999999" customHeight="1">
      <c r="A305" s="105" t="s">
        <v>44</v>
      </c>
      <c r="B305" s="105"/>
      <c r="C305" s="36">
        <f ca="1">PIsc*A_4PC</f>
        <v>17.600000000000001</v>
      </c>
      <c r="D305" s="107">
        <f ca="1">D304</f>
        <v>5.0925770997375324</v>
      </c>
      <c r="E305" s="107">
        <f ca="1">E303</f>
        <v>0.24349573490813645</v>
      </c>
      <c r="F305" s="26">
        <f t="shared" ref="F305" ca="1" si="94">+D305</f>
        <v>5.0925770997375324</v>
      </c>
      <c r="G305" s="26">
        <f t="shared" ref="G305" ca="1" si="95">+E305</f>
        <v>0.24349573490813645</v>
      </c>
      <c r="H305" s="10"/>
      <c r="I305" s="10"/>
    </row>
    <row r="306" spans="1:9" ht="10.199999999999999" customHeight="1">
      <c r="A306" s="22"/>
      <c r="B306" s="22"/>
      <c r="C306" s="9" t="s">
        <v>53</v>
      </c>
      <c r="D306" s="107">
        <f ca="1">D303</f>
        <v>4.6055856299212596</v>
      </c>
      <c r="E306" s="107">
        <f ca="1">E304</f>
        <v>-0.24349573490813645</v>
      </c>
      <c r="F306" s="26">
        <f t="shared" ref="F306:G310" ca="1" si="96">+D306</f>
        <v>4.6055856299212596</v>
      </c>
      <c r="G306" s="26">
        <f t="shared" ca="1" si="96"/>
        <v>-0.24349573490813645</v>
      </c>
      <c r="H306" s="10"/>
      <c r="I306" s="10"/>
    </row>
    <row r="307" spans="1:9" ht="10.199999999999999" customHeight="1">
      <c r="A307" s="22"/>
      <c r="B307" s="22"/>
      <c r="C307" s="9" t="s">
        <v>54</v>
      </c>
      <c r="D307" s="107">
        <f ca="1">+D304</f>
        <v>5.0925770997375324</v>
      </c>
      <c r="E307" s="107">
        <f ca="1">+A_4WTC-E303</f>
        <v>1.9152969160104987</v>
      </c>
      <c r="F307" s="26">
        <f t="shared" ca="1" si="96"/>
        <v>5.0925770997375324</v>
      </c>
      <c r="G307" s="26">
        <f t="shared" ca="1" si="96"/>
        <v>1.9152969160104987</v>
      </c>
      <c r="H307" s="10"/>
      <c r="I307" s="10"/>
    </row>
    <row r="308" spans="1:9" ht="10.199999999999999" customHeight="1">
      <c r="A308" s="287"/>
      <c r="B308" s="287"/>
      <c r="C308" s="9"/>
      <c r="D308" s="107">
        <f ca="1">+D303</f>
        <v>4.6055856299212596</v>
      </c>
      <c r="E308" s="107">
        <f ca="1">+A_4WTC+E303</f>
        <v>2.4022883858267714</v>
      </c>
      <c r="F308" s="26">
        <f t="shared" ca="1" si="96"/>
        <v>4.6055856299212596</v>
      </c>
      <c r="G308" s="26">
        <f t="shared" ca="1" si="96"/>
        <v>2.4022883858267714</v>
      </c>
      <c r="H308" s="10"/>
      <c r="I308" s="10"/>
    </row>
    <row r="309" spans="1:9" ht="10.199999999999999" customHeight="1">
      <c r="A309" s="287"/>
      <c r="B309" s="287"/>
      <c r="C309" s="9"/>
      <c r="D309" s="107">
        <f ca="1">D307</f>
        <v>5.0925770997375324</v>
      </c>
      <c r="E309" s="107">
        <f ca="1">E308</f>
        <v>2.4022883858267714</v>
      </c>
      <c r="F309" s="26">
        <f t="shared" ca="1" si="96"/>
        <v>5.0925770997375324</v>
      </c>
      <c r="G309" s="26">
        <f t="shared" ca="1" si="96"/>
        <v>2.4022883858267714</v>
      </c>
      <c r="H309" s="10"/>
      <c r="I309" s="10"/>
    </row>
    <row r="310" spans="1:9" ht="10.199999999999999" customHeight="1">
      <c r="A310" s="287"/>
      <c r="B310" s="287"/>
      <c r="C310" s="9" t="s">
        <v>41</v>
      </c>
      <c r="D310" s="107">
        <f ca="1">D308</f>
        <v>4.6055856299212596</v>
      </c>
      <c r="E310" s="107">
        <f ca="1">+E307</f>
        <v>1.9152969160104987</v>
      </c>
      <c r="F310" s="26">
        <f t="shared" ca="1" si="96"/>
        <v>4.6055856299212596</v>
      </c>
      <c r="G310" s="26">
        <f t="shared" ca="1" si="96"/>
        <v>1.9152969160104987</v>
      </c>
      <c r="H310" s="10"/>
      <c r="I310" s="10"/>
    </row>
    <row r="311" spans="1:9" ht="10.199999999999999" customHeight="1">
      <c r="A311" s="22"/>
      <c r="B311" s="22"/>
      <c r="C311" s="9" t="s">
        <v>205</v>
      </c>
      <c r="D311" s="107">
        <f>0</f>
        <v>0</v>
      </c>
      <c r="E311" s="107">
        <f ca="1">+E288</f>
        <v>3.2545931758530187</v>
      </c>
      <c r="F311" s="26">
        <f t="shared" ref="F311:G314" si="97">+D311</f>
        <v>0</v>
      </c>
      <c r="G311" s="26">
        <f t="shared" ca="1" si="97"/>
        <v>3.2545931758530187</v>
      </c>
      <c r="H311" s="10"/>
      <c r="I311" s="10"/>
    </row>
    <row r="312" spans="1:9" ht="10.199999999999999" customHeight="1">
      <c r="A312" s="22"/>
      <c r="B312" s="22"/>
      <c r="C312" s="9"/>
      <c r="D312" s="107">
        <f ca="1">+A_4L</f>
        <v>5.3805774278215219</v>
      </c>
      <c r="E312" s="107">
        <f ca="1">+A_4L</f>
        <v>5.3805774278215219</v>
      </c>
      <c r="F312" s="26">
        <f t="shared" ca="1" si="97"/>
        <v>5.3805774278215219</v>
      </c>
      <c r="G312" s="26">
        <f t="shared" ca="1" si="97"/>
        <v>5.3805774278215219</v>
      </c>
      <c r="H312" s="10"/>
      <c r="I312" s="10"/>
    </row>
    <row r="313" spans="1:9" ht="10.199999999999999" customHeight="1">
      <c r="A313" s="22"/>
      <c r="B313" s="22"/>
      <c r="D313" s="107">
        <f ca="1">+A_4L</f>
        <v>5.3805774278215219</v>
      </c>
      <c r="E313" s="107">
        <f ca="1">-A_4L</f>
        <v>-5.3805774278215219</v>
      </c>
      <c r="F313" s="26">
        <f t="shared" ca="1" si="97"/>
        <v>5.3805774278215219</v>
      </c>
      <c r="G313" s="26">
        <f t="shared" ca="1" si="97"/>
        <v>-5.3805774278215219</v>
      </c>
      <c r="H313" s="10"/>
      <c r="I313" s="10"/>
    </row>
    <row r="314" spans="1:9" ht="10.199999999999999" customHeight="1">
      <c r="A314" s="22"/>
      <c r="B314" s="22"/>
      <c r="C314" s="9"/>
      <c r="D314" s="107">
        <f>0</f>
        <v>0</v>
      </c>
      <c r="E314" s="107">
        <f ca="1">-A_4W</f>
        <v>-3.2545931758530187</v>
      </c>
      <c r="F314" s="26">
        <f t="shared" si="97"/>
        <v>0</v>
      </c>
      <c r="G314" s="26">
        <f t="shared" ca="1" si="97"/>
        <v>-3.2545931758530187</v>
      </c>
      <c r="H314" s="10"/>
      <c r="I314" s="10"/>
    </row>
    <row r="315" spans="1:9" ht="10.199999999999999" customHeight="1">
      <c r="A315" s="22"/>
      <c r="B315" s="22"/>
      <c r="C315" s="9"/>
      <c r="D315" s="107">
        <f>0</f>
        <v>0</v>
      </c>
      <c r="E315" s="107">
        <f ca="1">A_4W</f>
        <v>3.2545931758530187</v>
      </c>
      <c r="F315" s="26">
        <f t="shared" ref="F315" si="98">+D315</f>
        <v>0</v>
      </c>
      <c r="G315" s="26">
        <f t="shared" ref="G315" ca="1" si="99">+E315</f>
        <v>3.2545931758530187</v>
      </c>
      <c r="H315" s="10"/>
      <c r="I315" s="10"/>
    </row>
    <row r="316" spans="1:9" ht="10.199999999999999" customHeight="1">
      <c r="A316" s="22"/>
      <c r="B316" s="22"/>
      <c r="C316" s="9"/>
      <c r="D316" s="107"/>
      <c r="E316" s="107"/>
      <c r="F316" s="26"/>
      <c r="G316" s="26"/>
      <c r="H316" s="10"/>
      <c r="I316" s="10"/>
    </row>
    <row r="317" spans="1:9" ht="10.199999999999999" customHeight="1">
      <c r="A317" s="305" t="s">
        <v>191</v>
      </c>
      <c r="B317" s="304"/>
      <c r="C317" s="23" t="str">
        <f ca="1">PModel</f>
        <v>SS250-60P</v>
      </c>
      <c r="D317" s="300">
        <f ca="1">+PLFt</f>
        <v>5.3805774278215219</v>
      </c>
      <c r="E317" s="300">
        <f ca="1">+PWFt</f>
        <v>3.2545931758530187</v>
      </c>
      <c r="F317" s="26"/>
      <c r="G317" s="26"/>
    </row>
    <row r="318" spans="1:9" ht="10.199999999999999" customHeight="1">
      <c r="A318" s="286" t="s">
        <v>8</v>
      </c>
      <c r="B318" s="286"/>
      <c r="C318" s="283">
        <f ca="1">+A_5W*2+A_5L+Spacing*2</f>
        <v>11.973097112860893</v>
      </c>
      <c r="D318" s="107">
        <f>0</f>
        <v>0</v>
      </c>
      <c r="E318" s="107">
        <f ca="1">A_5L/2</f>
        <v>2.690288713910761</v>
      </c>
      <c r="F318" s="26">
        <f t="shared" ref="F318:G321" si="100">+D318</f>
        <v>0</v>
      </c>
      <c r="G318" s="26">
        <f t="shared" ca="1" si="100"/>
        <v>2.690288713910761</v>
      </c>
      <c r="H318" s="10"/>
      <c r="I318" s="10"/>
    </row>
    <row r="319" spans="1:9" ht="10.199999999999999" customHeight="1">
      <c r="A319" s="286" t="s">
        <v>0</v>
      </c>
      <c r="B319" s="286"/>
      <c r="C319" s="284">
        <f ca="1">+A_5L</f>
        <v>5.3805774278215219</v>
      </c>
      <c r="D319" s="107">
        <f ca="1">+A_5W</f>
        <v>3.2545931758530187</v>
      </c>
      <c r="E319" s="107">
        <f ca="1">A_5L/2</f>
        <v>2.690288713910761</v>
      </c>
      <c r="F319" s="26">
        <f t="shared" ca="1" si="100"/>
        <v>3.2545931758530187</v>
      </c>
      <c r="G319" s="26">
        <f t="shared" ca="1" si="100"/>
        <v>2.690288713910761</v>
      </c>
      <c r="H319" s="10"/>
      <c r="I319" s="10"/>
    </row>
    <row r="320" spans="1:9" ht="10.199999999999999" customHeight="1">
      <c r="A320" s="286" t="s">
        <v>2</v>
      </c>
      <c r="B320" s="286"/>
      <c r="C320" s="284">
        <f ca="1">+A_5L*2+Spacing*1</f>
        <v>10.80282152230971</v>
      </c>
      <c r="D320" s="107">
        <f ca="1">+A_5W</f>
        <v>3.2545931758530187</v>
      </c>
      <c r="E320" s="107">
        <f ca="1">-A_5L/2</f>
        <v>-2.690288713910761</v>
      </c>
      <c r="F320" s="26">
        <f t="shared" ca="1" si="100"/>
        <v>3.2545931758530187</v>
      </c>
      <c r="G320" s="26">
        <f t="shared" ca="1" si="100"/>
        <v>-2.690288713910761</v>
      </c>
      <c r="H320" s="10"/>
      <c r="I320" s="10"/>
    </row>
    <row r="321" spans="1:9" ht="10.199999999999999" customHeight="1">
      <c r="A321" s="286" t="s">
        <v>206</v>
      </c>
      <c r="B321" s="286"/>
      <c r="C321" s="284">
        <f ca="1">1/COS(RADIANS(A_5TA))*(A_5W+A_5L+Spacing*2)</f>
        <v>9.1303063286329458</v>
      </c>
      <c r="D321" s="107">
        <f>0</f>
        <v>0</v>
      </c>
      <c r="E321" s="107">
        <f ca="1">-A_5L/2</f>
        <v>-2.690288713910761</v>
      </c>
      <c r="F321" s="26">
        <f t="shared" si="100"/>
        <v>0</v>
      </c>
      <c r="G321" s="26">
        <f t="shared" ca="1" si="100"/>
        <v>-2.690288713910761</v>
      </c>
      <c r="H321" s="10"/>
      <c r="I321" s="10"/>
    </row>
    <row r="322" spans="1:9" ht="10.199999999999999" customHeight="1">
      <c r="A322" s="286" t="s">
        <v>207</v>
      </c>
      <c r="B322" s="286"/>
      <c r="C322" s="285">
        <f ca="1">+DEGREES(ATAN2(A_5W+A_5L+Spacing*2,A_5L/2+Spacing/2))</f>
        <v>17.273700317362277</v>
      </c>
      <c r="D322" s="107">
        <f>0</f>
        <v>0</v>
      </c>
      <c r="E322" s="107">
        <f ca="1">A_5L/2</f>
        <v>2.690288713910761</v>
      </c>
      <c r="F322" s="26">
        <f t="shared" ref="F322" si="101">+D322</f>
        <v>0</v>
      </c>
      <c r="G322" s="26">
        <f t="shared" ref="G322" ca="1" si="102">+E322</f>
        <v>2.690288713910761</v>
      </c>
      <c r="H322" s="10"/>
      <c r="I322" s="10"/>
    </row>
    <row r="323" spans="1:9" ht="10.199999999999999" customHeight="1">
      <c r="A323" s="105" t="s">
        <v>69</v>
      </c>
      <c r="B323" s="105"/>
      <c r="C323" s="163">
        <v>5</v>
      </c>
      <c r="D323" s="107">
        <f ca="1">+A_5W</f>
        <v>3.2545931758530187</v>
      </c>
      <c r="E323" s="107">
        <f>0</f>
        <v>0</v>
      </c>
      <c r="F323" s="26">
        <f t="shared" ref="F323:G329" ca="1" si="103">+D323</f>
        <v>3.2545931758530187</v>
      </c>
      <c r="G323" s="26">
        <f t="shared" si="103"/>
        <v>0</v>
      </c>
      <c r="H323" s="10"/>
      <c r="I323" s="10"/>
    </row>
    <row r="324" spans="1:9" ht="10.199999999999999" customHeight="1">
      <c r="A324" s="105" t="s">
        <v>70</v>
      </c>
      <c r="B324" s="105"/>
      <c r="C324" s="164">
        <v>1</v>
      </c>
      <c r="D324" s="107">
        <f ca="1">+A_5W</f>
        <v>3.2545931758530187</v>
      </c>
      <c r="E324" s="107">
        <f ca="1">A_5W</f>
        <v>3.2545931758530187</v>
      </c>
      <c r="F324" s="26">
        <f t="shared" ca="1" si="103"/>
        <v>3.2545931758530187</v>
      </c>
      <c r="G324" s="26">
        <f t="shared" ca="1" si="103"/>
        <v>3.2545931758530187</v>
      </c>
      <c r="H324" s="10"/>
      <c r="I324" s="10"/>
    </row>
    <row r="325" spans="1:9" ht="10.199999999999999" customHeight="1">
      <c r="A325" s="105" t="s">
        <v>51</v>
      </c>
      <c r="B325" s="105"/>
      <c r="C325" s="98">
        <f ca="1">+A_5L*A_5W*A_5SC*A_5PC</f>
        <v>87.557952893683563</v>
      </c>
      <c r="D325" s="107">
        <f ca="1">+A_5W+A_5L</f>
        <v>8.6351706036745401</v>
      </c>
      <c r="E325" s="107">
        <f ca="1">A_5W</f>
        <v>3.2545931758530187</v>
      </c>
      <c r="F325" s="26">
        <f t="shared" ca="1" si="103"/>
        <v>8.6351706036745401</v>
      </c>
      <c r="G325" s="26">
        <f t="shared" ca="1" si="103"/>
        <v>3.2545931758530187</v>
      </c>
      <c r="H325" s="10"/>
      <c r="I325" s="10"/>
    </row>
    <row r="326" spans="1:9" ht="10.199999999999999" customHeight="1">
      <c r="A326" s="105" t="s">
        <v>52</v>
      </c>
      <c r="B326" s="105"/>
      <c r="C326" s="281">
        <f ca="1">A_5PA*StraightLineWind</f>
        <v>875.57952893683569</v>
      </c>
      <c r="D326" s="107">
        <f ca="1">+A_5W+A_5L</f>
        <v>8.6351706036745401</v>
      </c>
      <c r="E326" s="107">
        <f>0</f>
        <v>0</v>
      </c>
      <c r="F326" s="26">
        <f t="shared" ca="1" si="103"/>
        <v>8.6351706036745401</v>
      </c>
      <c r="G326" s="26">
        <f t="shared" si="103"/>
        <v>0</v>
      </c>
      <c r="H326" s="10"/>
      <c r="I326" s="10"/>
    </row>
    <row r="327" spans="1:9" ht="10.199999999999999" customHeight="1">
      <c r="A327" s="105" t="s">
        <v>57</v>
      </c>
      <c r="B327" s="105"/>
      <c r="C327" s="31">
        <f ca="1">+(A_5W/2*1+(A_5W+A_5L/2)*2+(A_5W*1.5+A_5L)*2)/(5)</f>
        <v>6.8083989501312345</v>
      </c>
      <c r="D327" s="107">
        <f ca="1">+A_5W</f>
        <v>3.2545931758530187</v>
      </c>
      <c r="E327" s="107">
        <f>0</f>
        <v>0</v>
      </c>
      <c r="F327" s="26">
        <f t="shared" ca="1" si="103"/>
        <v>3.2545931758530187</v>
      </c>
      <c r="G327" s="26">
        <f t="shared" si="103"/>
        <v>0</v>
      </c>
      <c r="H327" s="10"/>
      <c r="I327" s="10"/>
    </row>
    <row r="328" spans="1:9" ht="10.199999999999999" customHeight="1">
      <c r="A328" s="105" t="s">
        <v>58</v>
      </c>
      <c r="B328" s="105"/>
      <c r="C328" s="31">
        <f ca="1">+(A_5L/4*1+A_5W/2*2+A_5L/2*2)/(5)</f>
        <v>1.9960629921259845</v>
      </c>
      <c r="D328" s="107">
        <f ca="1">+A_5W</f>
        <v>3.2545931758530187</v>
      </c>
      <c r="E328" s="107">
        <f ca="1">-A_5W</f>
        <v>-3.2545931758530187</v>
      </c>
      <c r="F328" s="26">
        <f t="shared" ca="1" si="103"/>
        <v>3.2545931758530187</v>
      </c>
      <c r="G328" s="26">
        <f t="shared" ca="1" si="103"/>
        <v>-3.2545931758530187</v>
      </c>
      <c r="H328" s="10"/>
      <c r="I328" s="10"/>
    </row>
    <row r="329" spans="1:9" ht="10.199999999999999" customHeight="1">
      <c r="A329" s="105" t="s">
        <v>60</v>
      </c>
      <c r="B329" s="105"/>
      <c r="C329" s="282">
        <f ca="1">+A_5WL*A_5WTC</f>
        <v>1747.7118943739204</v>
      </c>
      <c r="D329" s="107">
        <f ca="1">+A_5W+A_5L</f>
        <v>8.6351706036745401</v>
      </c>
      <c r="E329" s="107">
        <f ca="1">-A_5W</f>
        <v>-3.2545931758530187</v>
      </c>
      <c r="F329" s="26">
        <f t="shared" ca="1" si="103"/>
        <v>8.6351706036745401</v>
      </c>
      <c r="G329" s="26">
        <f t="shared" ca="1" si="103"/>
        <v>-3.2545931758530187</v>
      </c>
      <c r="H329" s="10"/>
      <c r="I329" s="10"/>
    </row>
    <row r="330" spans="1:9" ht="10.199999999999999" customHeight="1">
      <c r="A330" s="105" t="s">
        <v>42</v>
      </c>
      <c r="B330" s="105"/>
      <c r="C330" s="32">
        <f ca="1">PWatt*A_5SC*A_5PC</f>
        <v>1250</v>
      </c>
      <c r="D330" s="107">
        <f ca="1">+A_5W+A_5L</f>
        <v>8.6351706036745401</v>
      </c>
      <c r="E330" s="107">
        <f>0</f>
        <v>0</v>
      </c>
      <c r="F330" s="26">
        <f t="shared" ref="F330:G332" ca="1" si="104">+D330</f>
        <v>8.6351706036745401</v>
      </c>
      <c r="G330" s="26">
        <f t="shared" si="104"/>
        <v>0</v>
      </c>
      <c r="H330" s="10"/>
      <c r="I330" s="10"/>
    </row>
    <row r="331" spans="1:9" ht="10.199999999999999" customHeight="1">
      <c r="A331" s="105" t="s">
        <v>36</v>
      </c>
      <c r="B331" s="105"/>
      <c r="C331" s="33">
        <f ca="1">PVmp*A_5SC</f>
        <v>152.5</v>
      </c>
      <c r="D331" s="107">
        <f ca="1">+A_5W+A_5L</f>
        <v>8.6351706036745401</v>
      </c>
      <c r="E331" s="107">
        <f ca="1">A_5L</f>
        <v>5.3805774278215219</v>
      </c>
      <c r="F331" s="26">
        <f t="shared" ca="1" si="104"/>
        <v>8.6351706036745401</v>
      </c>
      <c r="G331" s="26">
        <f t="shared" ca="1" si="104"/>
        <v>5.3805774278215219</v>
      </c>
      <c r="H331" s="10"/>
      <c r="I331" s="10"/>
    </row>
    <row r="332" spans="1:9" ht="10.199999999999999" customHeight="1">
      <c r="A332" s="105" t="s">
        <v>37</v>
      </c>
      <c r="B332" s="105"/>
      <c r="C332" s="34">
        <f ca="1">PVoc*A_5SC</f>
        <v>186</v>
      </c>
      <c r="D332" s="107">
        <f ca="1">+A_5W*2+A_5L</f>
        <v>11.889763779527559</v>
      </c>
      <c r="E332" s="107">
        <f ca="1">A_5L</f>
        <v>5.3805774278215219</v>
      </c>
      <c r="F332" s="26">
        <f t="shared" ca="1" si="104"/>
        <v>11.889763779527559</v>
      </c>
      <c r="G332" s="26">
        <f t="shared" ca="1" si="104"/>
        <v>5.3805774278215219</v>
      </c>
      <c r="H332" s="10"/>
      <c r="I332" s="10"/>
    </row>
    <row r="333" spans="1:9" ht="10.199999999999999" customHeight="1">
      <c r="A333" s="105" t="s">
        <v>43</v>
      </c>
      <c r="B333" s="105"/>
      <c r="C333" s="35">
        <f ca="1">PImp*A_5PC</f>
        <v>8.1999999999999993</v>
      </c>
      <c r="D333" s="107">
        <f ca="1">+A_5W*2+A_5L</f>
        <v>11.889763779527559</v>
      </c>
      <c r="E333" s="107">
        <f ca="1">-A_5L</f>
        <v>-5.3805774278215219</v>
      </c>
      <c r="F333" s="26">
        <f t="shared" ref="F333" ca="1" si="105">+D333</f>
        <v>11.889763779527559</v>
      </c>
      <c r="G333" s="26">
        <f t="shared" ref="G333" ca="1" si="106">+E333</f>
        <v>-5.3805774278215219</v>
      </c>
      <c r="H333" s="10"/>
      <c r="I333" s="10"/>
    </row>
    <row r="334" spans="1:9" ht="10.199999999999999" customHeight="1">
      <c r="A334" s="105" t="s">
        <v>44</v>
      </c>
      <c r="B334" s="105"/>
      <c r="C334" s="36">
        <f ca="1">PIsc*A_5PC</f>
        <v>8.8000000000000007</v>
      </c>
      <c r="D334" s="107">
        <f ca="1">+A_5W*2+A_5L</f>
        <v>11.889763779527559</v>
      </c>
      <c r="E334" s="107">
        <f>0</f>
        <v>0</v>
      </c>
      <c r="F334" s="26">
        <f t="shared" ref="F334:G336" ca="1" si="107">+D334</f>
        <v>11.889763779527559</v>
      </c>
      <c r="G334" s="26">
        <f t="shared" si="107"/>
        <v>0</v>
      </c>
      <c r="H334" s="10"/>
      <c r="I334" s="10"/>
    </row>
    <row r="335" spans="1:9" ht="10.199999999999999" customHeight="1">
      <c r="A335" s="22"/>
      <c r="B335" s="22"/>
      <c r="C335" s="9"/>
      <c r="D335" s="107">
        <f ca="1">+A_5W+A_5L</f>
        <v>8.6351706036745401</v>
      </c>
      <c r="E335" s="107">
        <f>0</f>
        <v>0</v>
      </c>
      <c r="F335" s="26">
        <f t="shared" ca="1" si="107"/>
        <v>8.6351706036745401</v>
      </c>
      <c r="G335" s="26">
        <f t="shared" si="107"/>
        <v>0</v>
      </c>
      <c r="H335" s="10"/>
      <c r="I335" s="10"/>
    </row>
    <row r="336" spans="1:9" ht="10.199999999999999" customHeight="1">
      <c r="A336" s="22"/>
      <c r="B336" s="22"/>
      <c r="C336" s="9"/>
      <c r="D336" s="107">
        <f ca="1">+A_5W+A_5L</f>
        <v>8.6351706036745401</v>
      </c>
      <c r="E336" s="107">
        <f ca="1">-A_5L</f>
        <v>-5.3805774278215219</v>
      </c>
      <c r="F336" s="26">
        <f t="shared" ca="1" si="107"/>
        <v>8.6351706036745401</v>
      </c>
      <c r="G336" s="26">
        <f t="shared" ca="1" si="107"/>
        <v>-5.3805774278215219</v>
      </c>
      <c r="H336" s="10"/>
      <c r="I336" s="10"/>
    </row>
    <row r="337" spans="1:9" ht="10.199999999999999" customHeight="1">
      <c r="A337" s="22"/>
      <c r="B337" s="22"/>
      <c r="C337" s="9"/>
      <c r="D337" s="107">
        <f ca="1">+A_5W*2+A_5L</f>
        <v>11.889763779527559</v>
      </c>
      <c r="E337" s="107">
        <f ca="1">-A_5L</f>
        <v>-5.3805774278215219</v>
      </c>
      <c r="F337" s="26">
        <f ca="1">+D337</f>
        <v>11.889763779527559</v>
      </c>
      <c r="G337" s="26">
        <f ca="1">+E337</f>
        <v>-5.3805774278215219</v>
      </c>
      <c r="H337" s="10"/>
      <c r="I337" s="10"/>
    </row>
    <row r="338" spans="1:9" ht="10.199999999999999" customHeight="1">
      <c r="A338" s="22"/>
      <c r="B338" s="22"/>
      <c r="C338" s="9" t="s">
        <v>53</v>
      </c>
      <c r="D338" s="107">
        <f ca="1">+A_5WC-E338</f>
        <v>6.5236999671916021</v>
      </c>
      <c r="E338" s="107">
        <f ca="1">AVERAGE(A_5PL,A_5PWHE)/CM</f>
        <v>0.28469898293963258</v>
      </c>
      <c r="F338" s="26">
        <f t="shared" ref="F338" ca="1" si="108">+D338</f>
        <v>6.5236999671916021</v>
      </c>
      <c r="G338" s="26">
        <f t="shared" ref="G338" ca="1" si="109">+E338</f>
        <v>0.28469898293963258</v>
      </c>
      <c r="H338" s="10"/>
      <c r="I338" s="10"/>
    </row>
    <row r="339" spans="1:9" ht="10.199999999999999" customHeight="1">
      <c r="A339" s="22"/>
      <c r="B339" s="22"/>
      <c r="C339" s="9"/>
      <c r="D339" s="107">
        <f ca="1">+A_5WC+E338</f>
        <v>7.093097933070867</v>
      </c>
      <c r="E339" s="107">
        <f ca="1">-E338</f>
        <v>-0.28469898293963258</v>
      </c>
      <c r="F339" s="26">
        <f ca="1">+D339</f>
        <v>7.093097933070867</v>
      </c>
      <c r="G339" s="26">
        <f ca="1">+E339</f>
        <v>-0.28469898293963258</v>
      </c>
      <c r="H339" s="10"/>
      <c r="I339" s="10"/>
    </row>
    <row r="340" spans="1:9" ht="10.199999999999999" customHeight="1">
      <c r="A340" s="22"/>
      <c r="B340" s="22"/>
      <c r="C340" s="9" t="s">
        <v>41</v>
      </c>
      <c r="D340" s="107">
        <f ca="1">D339</f>
        <v>7.093097933070867</v>
      </c>
      <c r="E340" s="107">
        <f ca="1">+E338</f>
        <v>0.28469898293963258</v>
      </c>
      <c r="F340" s="26">
        <f t="shared" ref="F340" ca="1" si="110">+D340</f>
        <v>7.093097933070867</v>
      </c>
      <c r="G340" s="26">
        <f t="shared" ref="G340" ca="1" si="111">+E340</f>
        <v>0.28469898293963258</v>
      </c>
      <c r="H340" s="10"/>
      <c r="I340" s="10"/>
    </row>
    <row r="341" spans="1:9" ht="10.199999999999999" customHeight="1">
      <c r="A341" s="22"/>
      <c r="B341" s="22"/>
      <c r="C341" s="9"/>
      <c r="D341" s="107">
        <f ca="1">D338</f>
        <v>6.5236999671916021</v>
      </c>
      <c r="E341" s="107">
        <f ca="1">E339</f>
        <v>-0.28469898293963258</v>
      </c>
      <c r="F341" s="26">
        <f t="shared" ref="F341:G345" ca="1" si="112">+D341</f>
        <v>6.5236999671916021</v>
      </c>
      <c r="G341" s="26">
        <f t="shared" ca="1" si="112"/>
        <v>-0.28469898293963258</v>
      </c>
      <c r="H341" s="10"/>
      <c r="I341" s="10"/>
    </row>
    <row r="342" spans="1:9" ht="10.199999999999999" customHeight="1">
      <c r="A342" s="22"/>
      <c r="B342" s="22"/>
      <c r="C342" s="9" t="s">
        <v>54</v>
      </c>
      <c r="D342" s="107">
        <f ca="1">D339</f>
        <v>7.093097933070867</v>
      </c>
      <c r="E342" s="107">
        <f ca="1">+A_5WTC-E338</f>
        <v>1.7113640091863518</v>
      </c>
      <c r="F342" s="26">
        <f t="shared" ca="1" si="112"/>
        <v>7.093097933070867</v>
      </c>
      <c r="G342" s="26">
        <f t="shared" ca="1" si="112"/>
        <v>1.7113640091863518</v>
      </c>
      <c r="H342" s="10"/>
      <c r="I342" s="10"/>
    </row>
    <row r="343" spans="1:9" ht="10.199999999999999" customHeight="1">
      <c r="A343" s="22"/>
      <c r="B343" s="22"/>
      <c r="C343" s="9"/>
      <c r="D343" s="107">
        <f ca="1">+D338</f>
        <v>6.5236999671916021</v>
      </c>
      <c r="E343" s="107">
        <f ca="1">+A_5WTC+E338</f>
        <v>2.2807619750656172</v>
      </c>
      <c r="F343" s="26">
        <f t="shared" ca="1" si="112"/>
        <v>6.5236999671916021</v>
      </c>
      <c r="G343" s="26">
        <f t="shared" ca="1" si="112"/>
        <v>2.2807619750656172</v>
      </c>
    </row>
    <row r="344" spans="1:9" ht="10.199999999999999" customHeight="1">
      <c r="A344" s="22"/>
      <c r="B344" s="22"/>
      <c r="C344" s="9" t="s">
        <v>41</v>
      </c>
      <c r="D344" s="107">
        <f ca="1">D339</f>
        <v>7.093097933070867</v>
      </c>
      <c r="E344" s="107">
        <f ca="1">+E343</f>
        <v>2.2807619750656172</v>
      </c>
      <c r="F344" s="26">
        <f t="shared" ca="1" si="112"/>
        <v>7.093097933070867</v>
      </c>
      <c r="G344" s="26">
        <f t="shared" ca="1" si="112"/>
        <v>2.2807619750656172</v>
      </c>
      <c r="H344" s="10"/>
      <c r="I344" s="10"/>
    </row>
    <row r="345" spans="1:9" ht="10.199999999999999" customHeight="1">
      <c r="A345" s="22"/>
      <c r="B345" s="22"/>
      <c r="C345" s="9"/>
      <c r="D345" s="107">
        <f ca="1">D338</f>
        <v>6.5236999671916021</v>
      </c>
      <c r="E345" s="107">
        <f ca="1">+E342</f>
        <v>1.7113640091863518</v>
      </c>
      <c r="F345" s="26">
        <f t="shared" ca="1" si="112"/>
        <v>6.5236999671916021</v>
      </c>
      <c r="G345" s="26">
        <f t="shared" ca="1" si="112"/>
        <v>1.7113640091863518</v>
      </c>
    </row>
    <row r="346" spans="1:9" ht="10.199999999999999" customHeight="1">
      <c r="A346" s="22"/>
      <c r="B346" s="22"/>
      <c r="C346" s="9" t="s">
        <v>205</v>
      </c>
      <c r="D346" s="107">
        <v>0</v>
      </c>
      <c r="E346" s="107">
        <f ca="1">A_5L/2</f>
        <v>2.690288713910761</v>
      </c>
      <c r="F346" s="26">
        <f t="shared" ref="F346" si="113">+D346</f>
        <v>0</v>
      </c>
      <c r="G346" s="26">
        <f t="shared" ref="G346" ca="1" si="114">+E346</f>
        <v>2.690288713910761</v>
      </c>
    </row>
    <row r="347" spans="1:9" ht="10.199999999999999" customHeight="1">
      <c r="A347" s="22"/>
      <c r="B347" s="22"/>
      <c r="C347" s="9"/>
      <c r="D347" s="107">
        <f ca="1">+A_5W+A_5L</f>
        <v>8.6351706036745401</v>
      </c>
      <c r="E347" s="107">
        <f ca="1">A_5L</f>
        <v>5.3805774278215219</v>
      </c>
      <c r="F347" s="26">
        <f t="shared" ref="F347:G349" ca="1" si="115">+D347</f>
        <v>8.6351706036745401</v>
      </c>
      <c r="G347" s="26">
        <f t="shared" ca="1" si="115"/>
        <v>5.3805774278215219</v>
      </c>
      <c r="I347" s="10"/>
    </row>
    <row r="348" spans="1:9" ht="10.199999999999999" customHeight="1">
      <c r="A348" s="22"/>
      <c r="B348" s="22"/>
      <c r="C348" s="9"/>
      <c r="D348" s="107">
        <f ca="1">+A_5W+A_5L</f>
        <v>8.6351706036745401</v>
      </c>
      <c r="E348" s="107">
        <f ca="1">-A_5L</f>
        <v>-5.3805774278215219</v>
      </c>
      <c r="F348" s="26">
        <f t="shared" ca="1" si="115"/>
        <v>8.6351706036745401</v>
      </c>
      <c r="G348" s="26">
        <f t="shared" ca="1" si="115"/>
        <v>-5.3805774278215219</v>
      </c>
      <c r="I348" s="10"/>
    </row>
    <row r="349" spans="1:9" ht="10.199999999999999" customHeight="1">
      <c r="A349" s="22"/>
      <c r="B349" s="22"/>
      <c r="C349" s="9"/>
      <c r="D349" s="107">
        <v>0</v>
      </c>
      <c r="E349" s="107">
        <f ca="1">-A_5L/2</f>
        <v>-2.690288713910761</v>
      </c>
      <c r="F349" s="26">
        <f t="shared" si="115"/>
        <v>0</v>
      </c>
      <c r="G349" s="26">
        <f t="shared" ca="1" si="115"/>
        <v>-2.690288713910761</v>
      </c>
      <c r="I349" s="10"/>
    </row>
    <row r="350" spans="1:9" ht="10.199999999999999" customHeight="1">
      <c r="A350" s="22"/>
      <c r="B350" s="22"/>
      <c r="C350" s="9"/>
      <c r="D350" s="107"/>
      <c r="E350" s="107"/>
      <c r="F350" s="26"/>
      <c r="G350" s="26"/>
      <c r="H350" s="10"/>
      <c r="I350" s="10"/>
    </row>
    <row r="351" spans="1:9" ht="10.199999999999999" customHeight="1">
      <c r="A351" s="305" t="s">
        <v>192</v>
      </c>
      <c r="B351" s="304"/>
      <c r="C351" s="23" t="str">
        <f ca="1">PModel</f>
        <v>SS250-60P</v>
      </c>
      <c r="D351" s="300">
        <f ca="1">+PLFt</f>
        <v>5.3805774278215219</v>
      </c>
      <c r="E351" s="300">
        <f ca="1">+PWFt</f>
        <v>3.2545931758530187</v>
      </c>
      <c r="F351" s="26"/>
      <c r="G351" s="26"/>
    </row>
    <row r="352" spans="1:9" ht="10.199999999999999" customHeight="1">
      <c r="A352" s="286" t="s">
        <v>8</v>
      </c>
      <c r="B352" s="286"/>
      <c r="C352" s="283">
        <f ca="1">+A_6L*3+Spacing*2</f>
        <v>16.225065616797899</v>
      </c>
      <c r="D352" s="107">
        <f>0</f>
        <v>0</v>
      </c>
      <c r="E352" s="107">
        <f ca="1">A_6W/2</f>
        <v>1.6272965879265093</v>
      </c>
      <c r="F352" s="26">
        <f t="shared" ref="F352:F355" si="116">+D352</f>
        <v>0</v>
      </c>
      <c r="G352" s="26">
        <f t="shared" ref="G352:G355" ca="1" si="117">+E352</f>
        <v>1.6272965879265093</v>
      </c>
      <c r="H352" s="10"/>
      <c r="I352" s="10"/>
    </row>
    <row r="353" spans="1:9" ht="10.199999999999999" customHeight="1">
      <c r="A353" s="286" t="s">
        <v>0</v>
      </c>
      <c r="B353" s="286"/>
      <c r="C353" s="284">
        <f ca="1">+A_6W</f>
        <v>3.2545931758530187</v>
      </c>
      <c r="D353" s="107">
        <f ca="1">+A_6L</f>
        <v>5.3805774278215219</v>
      </c>
      <c r="E353" s="107">
        <f ca="1">A_6W/2</f>
        <v>1.6272965879265093</v>
      </c>
      <c r="F353" s="26">
        <f t="shared" ca="1" si="116"/>
        <v>5.3805774278215219</v>
      </c>
      <c r="G353" s="26">
        <f t="shared" ca="1" si="117"/>
        <v>1.6272965879265093</v>
      </c>
      <c r="H353" s="10"/>
      <c r="I353" s="10"/>
    </row>
    <row r="354" spans="1:9" ht="10.199999999999999" customHeight="1">
      <c r="A354" s="286" t="s">
        <v>2</v>
      </c>
      <c r="B354" s="286"/>
      <c r="C354" s="284">
        <f ca="1">+A_6W*3+Spacing*2</f>
        <v>9.8471128608923895</v>
      </c>
      <c r="D354" s="107">
        <f ca="1">+A_6L</f>
        <v>5.3805774278215219</v>
      </c>
      <c r="E354" s="107">
        <f ca="1">-A_6W/2</f>
        <v>-1.6272965879265093</v>
      </c>
      <c r="F354" s="26">
        <f t="shared" ca="1" si="116"/>
        <v>5.3805774278215219</v>
      </c>
      <c r="G354" s="26">
        <f t="shared" ca="1" si="117"/>
        <v>-1.6272965879265093</v>
      </c>
      <c r="H354" s="10"/>
      <c r="I354" s="10"/>
    </row>
    <row r="355" spans="1:9" ht="10.199999999999999" customHeight="1">
      <c r="A355" s="286" t="s">
        <v>206</v>
      </c>
      <c r="B355" s="286"/>
      <c r="C355" s="284">
        <f ca="1">1/COS(RADIANS(A_6TA))*(A_6L*2+Spacing*2)</f>
        <v>11.346571176420529</v>
      </c>
      <c r="D355" s="107">
        <f>0</f>
        <v>0</v>
      </c>
      <c r="E355" s="107">
        <f ca="1">-A_6W/2</f>
        <v>-1.6272965879265093</v>
      </c>
      <c r="F355" s="26">
        <f t="shared" si="116"/>
        <v>0</v>
      </c>
      <c r="G355" s="26">
        <f t="shared" ca="1" si="117"/>
        <v>-1.6272965879265093</v>
      </c>
      <c r="H355" s="10"/>
      <c r="I355" s="10"/>
    </row>
    <row r="356" spans="1:9" ht="10.199999999999999" customHeight="1">
      <c r="A356" s="286" t="s">
        <v>207</v>
      </c>
      <c r="B356" s="286"/>
      <c r="C356" s="285">
        <f ca="1">+DEGREES(ATAN2(A_6L+Spacing,A_6W/2+Spacing))</f>
        <v>17.108331896465334</v>
      </c>
      <c r="D356" s="107">
        <f ca="1">+A_6L</f>
        <v>5.3805774278215219</v>
      </c>
      <c r="E356" s="107">
        <f>0</f>
        <v>0</v>
      </c>
      <c r="F356" s="26">
        <f t="shared" ref="F356:F363" ca="1" si="118">+D356</f>
        <v>5.3805774278215219</v>
      </c>
      <c r="G356" s="26">
        <f t="shared" ref="G356:G363" si="119">+E356</f>
        <v>0</v>
      </c>
      <c r="H356" s="10"/>
      <c r="I356" s="10"/>
    </row>
    <row r="357" spans="1:9" ht="10.199999999999999" customHeight="1">
      <c r="A357" s="105" t="s">
        <v>69</v>
      </c>
      <c r="B357" s="105"/>
      <c r="C357" s="163">
        <v>2</v>
      </c>
      <c r="D357" s="107">
        <f ca="1">+A_6L</f>
        <v>5.3805774278215219</v>
      </c>
      <c r="E357" s="107">
        <f ca="1">+A_6W</f>
        <v>3.2545931758530187</v>
      </c>
      <c r="F357" s="26">
        <f t="shared" ca="1" si="118"/>
        <v>5.3805774278215219</v>
      </c>
      <c r="G357" s="26">
        <f t="shared" ca="1" si="119"/>
        <v>3.2545931758530187</v>
      </c>
      <c r="H357" s="10"/>
      <c r="I357" s="10"/>
    </row>
    <row r="358" spans="1:9" ht="10.199999999999999" customHeight="1">
      <c r="A358" s="105" t="s">
        <v>70</v>
      </c>
      <c r="B358" s="105"/>
      <c r="C358" s="164">
        <v>2</v>
      </c>
      <c r="D358" s="107">
        <f ca="1">+A_6L*2</f>
        <v>10.761154855643044</v>
      </c>
      <c r="E358" s="107">
        <f ca="1">+A_6W</f>
        <v>3.2545931758530187</v>
      </c>
      <c r="F358" s="26">
        <f t="shared" ca="1" si="118"/>
        <v>10.761154855643044</v>
      </c>
      <c r="G358" s="26">
        <f t="shared" ca="1" si="119"/>
        <v>3.2545931758530187</v>
      </c>
      <c r="H358" s="10"/>
      <c r="I358" s="10"/>
    </row>
    <row r="359" spans="1:9" ht="10.199999999999999" customHeight="1">
      <c r="A359" s="105" t="s">
        <v>51</v>
      </c>
      <c r="B359" s="105"/>
      <c r="C359" s="98">
        <f ca="1">+A_6L*A_6W*A_6SC*A_6PC</f>
        <v>70.046362314946848</v>
      </c>
      <c r="D359" s="107">
        <f ca="1">+A_6L*2</f>
        <v>10.761154855643044</v>
      </c>
      <c r="E359" s="107">
        <f>0</f>
        <v>0</v>
      </c>
      <c r="F359" s="26">
        <f t="shared" ca="1" si="118"/>
        <v>10.761154855643044</v>
      </c>
      <c r="G359" s="26">
        <f t="shared" si="119"/>
        <v>0</v>
      </c>
      <c r="H359" s="10"/>
      <c r="I359" s="10"/>
    </row>
    <row r="360" spans="1:9" ht="10.199999999999999" customHeight="1">
      <c r="A360" s="105" t="s">
        <v>52</v>
      </c>
      <c r="B360" s="105"/>
      <c r="C360" s="281">
        <f ca="1">A_6PA*StraightLineWind</f>
        <v>700.4636231494685</v>
      </c>
      <c r="D360" s="107">
        <f ca="1">+A_6L</f>
        <v>5.3805774278215219</v>
      </c>
      <c r="E360" s="107">
        <f>0</f>
        <v>0</v>
      </c>
      <c r="F360" s="26">
        <f t="shared" ca="1" si="118"/>
        <v>5.3805774278215219</v>
      </c>
      <c r="G360" s="26">
        <f t="shared" si="119"/>
        <v>0</v>
      </c>
      <c r="H360" s="10"/>
      <c r="I360" s="10"/>
    </row>
    <row r="361" spans="1:9" ht="10.199999999999999" customHeight="1">
      <c r="A361" s="105" t="s">
        <v>57</v>
      </c>
      <c r="B361" s="105"/>
      <c r="C361" s="31">
        <f ca="1">+( A_6L/2*1+A_6L*1.5*2+A_6L*2.5*3)/(6)</f>
        <v>9.8643919510061249</v>
      </c>
      <c r="D361" s="107">
        <f ca="1">+A_6L</f>
        <v>5.3805774278215219</v>
      </c>
      <c r="E361" s="107">
        <f ca="1">-A_6W</f>
        <v>-3.2545931758530187</v>
      </c>
      <c r="F361" s="26">
        <f t="shared" ca="1" si="118"/>
        <v>5.3805774278215219</v>
      </c>
      <c r="G361" s="26">
        <f t="shared" ca="1" si="119"/>
        <v>-3.2545931758530187</v>
      </c>
      <c r="H361" s="10"/>
      <c r="I361" s="10"/>
    </row>
    <row r="362" spans="1:9" ht="10.199999999999999" customHeight="1">
      <c r="A362" s="105" t="s">
        <v>58</v>
      </c>
      <c r="B362" s="105"/>
      <c r="C362" s="31">
        <f ca="1">+(A_6W/4*1+A_6W/2*2+A_6W*0.75*3)/(6)</f>
        <v>1.8985126859142607</v>
      </c>
      <c r="D362" s="107">
        <f ca="1">+A_6L*2</f>
        <v>10.761154855643044</v>
      </c>
      <c r="E362" s="107">
        <f ca="1">-A_6W</f>
        <v>-3.2545931758530187</v>
      </c>
      <c r="F362" s="26">
        <f t="shared" ca="1" si="118"/>
        <v>10.761154855643044</v>
      </c>
      <c r="G362" s="26">
        <f t="shared" ca="1" si="119"/>
        <v>-3.2545931758530187</v>
      </c>
      <c r="H362" s="10"/>
      <c r="I362" s="10"/>
    </row>
    <row r="363" spans="1:9" ht="10.199999999999999" customHeight="1">
      <c r="A363" s="105" t="s">
        <v>60</v>
      </c>
      <c r="B363" s="105"/>
      <c r="C363" s="282">
        <f ca="1">+A_6WL*A_6WTC</f>
        <v>1329.839074570732</v>
      </c>
      <c r="D363" s="107">
        <f ca="1">+A_6L*2</f>
        <v>10.761154855643044</v>
      </c>
      <c r="E363" s="107">
        <f>0</f>
        <v>0</v>
      </c>
      <c r="F363" s="26">
        <f t="shared" ca="1" si="118"/>
        <v>10.761154855643044</v>
      </c>
      <c r="G363" s="26">
        <f t="shared" si="119"/>
        <v>0</v>
      </c>
      <c r="H363" s="10"/>
      <c r="I363" s="10"/>
    </row>
    <row r="364" spans="1:9" ht="10.199999999999999" customHeight="1">
      <c r="A364" s="105" t="s">
        <v>42</v>
      </c>
      <c r="B364" s="105"/>
      <c r="C364" s="32">
        <f ca="1">PWatt*A_6SC*A_6PC</f>
        <v>1000</v>
      </c>
      <c r="D364" s="107">
        <f ca="1">+A_6L*2</f>
        <v>10.761154855643044</v>
      </c>
      <c r="E364" s="107">
        <f ca="1">+A_6W</f>
        <v>3.2545931758530187</v>
      </c>
      <c r="F364" s="26">
        <f t="shared" ref="F364:F366" ca="1" si="120">+D364</f>
        <v>10.761154855643044</v>
      </c>
      <c r="G364" s="26">
        <f t="shared" ref="G364:G366" ca="1" si="121">+E364</f>
        <v>3.2545931758530187</v>
      </c>
      <c r="H364" s="10"/>
      <c r="I364" s="10"/>
    </row>
    <row r="365" spans="1:9" ht="10.199999999999999" customHeight="1">
      <c r="A365" s="105" t="s">
        <v>36</v>
      </c>
      <c r="B365" s="105"/>
      <c r="C365" s="33">
        <f ca="1">PVmp*A_6SC</f>
        <v>61</v>
      </c>
      <c r="D365" s="107">
        <f ca="1">+A_6L*2</f>
        <v>10.761154855643044</v>
      </c>
      <c r="E365" s="107">
        <f ca="1">A_6W*1.5</f>
        <v>4.8818897637795278</v>
      </c>
      <c r="F365" s="26">
        <f t="shared" ca="1" si="120"/>
        <v>10.761154855643044</v>
      </c>
      <c r="G365" s="26">
        <f t="shared" ca="1" si="121"/>
        <v>4.8818897637795278</v>
      </c>
      <c r="H365" s="10"/>
      <c r="I365" s="10"/>
    </row>
    <row r="366" spans="1:9" ht="10.199999999999999" customHeight="1">
      <c r="A366" s="105" t="s">
        <v>37</v>
      </c>
      <c r="B366" s="105"/>
      <c r="C366" s="34">
        <f ca="1">PVoc*A_6SC</f>
        <v>74.400000000000006</v>
      </c>
      <c r="D366" s="107">
        <f ca="1">+A_6L*3</f>
        <v>16.141732283464567</v>
      </c>
      <c r="E366" s="107">
        <f ca="1">A_6W*1.5</f>
        <v>4.8818897637795278</v>
      </c>
      <c r="F366" s="26">
        <f t="shared" ca="1" si="120"/>
        <v>16.141732283464567</v>
      </c>
      <c r="G366" s="26">
        <f t="shared" ca="1" si="121"/>
        <v>4.8818897637795278</v>
      </c>
      <c r="H366" s="10"/>
      <c r="I366" s="10"/>
    </row>
    <row r="367" spans="1:9" ht="10.199999999999999" customHeight="1">
      <c r="A367" s="105" t="s">
        <v>43</v>
      </c>
      <c r="B367" s="105"/>
      <c r="C367" s="35">
        <f ca="1">PImp*A_6PC</f>
        <v>16.399999999999999</v>
      </c>
      <c r="D367" s="107">
        <f ca="1">+A_6L*3</f>
        <v>16.141732283464567</v>
      </c>
      <c r="E367" s="107">
        <f ca="1">-A_6W*1.5</f>
        <v>-4.8818897637795278</v>
      </c>
      <c r="F367" s="26">
        <f t="shared" ref="F367" ca="1" si="122">+D367</f>
        <v>16.141732283464567</v>
      </c>
      <c r="G367" s="26">
        <f t="shared" ref="G367" ca="1" si="123">+E367</f>
        <v>-4.8818897637795278</v>
      </c>
      <c r="H367" s="10"/>
      <c r="I367" s="10"/>
    </row>
    <row r="368" spans="1:9" ht="10.199999999999999" customHeight="1">
      <c r="A368" s="105" t="s">
        <v>44</v>
      </c>
      <c r="B368" s="105"/>
      <c r="C368" s="36">
        <f ca="1">PIsc*A_6PC</f>
        <v>17.600000000000001</v>
      </c>
      <c r="D368" s="107">
        <f ca="1">+A_6L*2</f>
        <v>10.761154855643044</v>
      </c>
      <c r="E368" s="107">
        <f ca="1">-A_6W</f>
        <v>-3.2545931758530187</v>
      </c>
      <c r="F368" s="26">
        <f t="shared" ref="F368:F370" ca="1" si="124">+D368</f>
        <v>10.761154855643044</v>
      </c>
      <c r="G368" s="26">
        <f t="shared" ref="G368:G370" ca="1" si="125">+E368</f>
        <v>-3.2545931758530187</v>
      </c>
      <c r="H368" s="10"/>
      <c r="I368" s="10"/>
    </row>
    <row r="369" spans="1:9" ht="10.199999999999999" customHeight="1">
      <c r="A369" s="22"/>
      <c r="B369" s="22"/>
      <c r="C369" s="9"/>
      <c r="D369" s="107">
        <f ca="1">+A_6L*2</f>
        <v>10.761154855643044</v>
      </c>
      <c r="E369" s="107">
        <f ca="1">-A_6W*1.5</f>
        <v>-4.8818897637795278</v>
      </c>
      <c r="F369" s="26">
        <f t="shared" ca="1" si="124"/>
        <v>10.761154855643044</v>
      </c>
      <c r="G369" s="26">
        <f t="shared" ca="1" si="125"/>
        <v>-4.8818897637795278</v>
      </c>
      <c r="H369" s="10"/>
      <c r="I369" s="10"/>
    </row>
    <row r="370" spans="1:9" ht="10.199999999999999" customHeight="1">
      <c r="A370" s="22"/>
      <c r="B370" s="22"/>
      <c r="C370" s="9"/>
      <c r="D370" s="107">
        <f ca="1">+A_6L*3</f>
        <v>16.141732283464567</v>
      </c>
      <c r="E370" s="107">
        <f ca="1">-A_6W*1.5</f>
        <v>-4.8818897637795278</v>
      </c>
      <c r="F370" s="26">
        <f t="shared" ca="1" si="124"/>
        <v>16.141732283464567</v>
      </c>
      <c r="G370" s="26">
        <f t="shared" ca="1" si="125"/>
        <v>-4.8818897637795278</v>
      </c>
      <c r="H370" s="10"/>
      <c r="I370" s="10"/>
    </row>
    <row r="371" spans="1:9" ht="10.199999999999999" customHeight="1">
      <c r="A371" s="22"/>
      <c r="B371" s="22"/>
      <c r="C371" s="9"/>
      <c r="D371" s="107">
        <f ca="1">+A_6L*2</f>
        <v>10.761154855643044</v>
      </c>
      <c r="E371" s="107">
        <f ca="1">A_6W/2</f>
        <v>1.6272965879265093</v>
      </c>
      <c r="F371" s="26">
        <f ca="1">+D371</f>
        <v>10.761154855643044</v>
      </c>
      <c r="G371" s="26">
        <f ca="1">+E371</f>
        <v>1.6272965879265093</v>
      </c>
      <c r="H371" s="10"/>
      <c r="I371" s="10"/>
    </row>
    <row r="372" spans="1:9" ht="10.199999999999999" customHeight="1">
      <c r="A372" s="22"/>
      <c r="B372" s="22"/>
      <c r="C372" s="9"/>
      <c r="D372" s="107">
        <f ca="1">+A_6L*3</f>
        <v>16.141732283464567</v>
      </c>
      <c r="E372" s="107">
        <f ca="1">A_6W/2</f>
        <v>1.6272965879265093</v>
      </c>
      <c r="F372" s="26">
        <f t="shared" ref="F372" ca="1" si="126">+D372</f>
        <v>16.141732283464567</v>
      </c>
      <c r="G372" s="26">
        <f t="shared" ref="G372" ca="1" si="127">+E372</f>
        <v>1.6272965879265093</v>
      </c>
      <c r="H372" s="10"/>
      <c r="I372" s="10"/>
    </row>
    <row r="373" spans="1:9" ht="10.199999999999999" customHeight="1">
      <c r="A373" s="22"/>
      <c r="B373" s="22"/>
      <c r="C373" s="9"/>
      <c r="D373" s="107">
        <f ca="1">+A_6L*2</f>
        <v>10.761154855643044</v>
      </c>
      <c r="E373" s="107">
        <f ca="1">-A_6W/2</f>
        <v>-1.6272965879265093</v>
      </c>
      <c r="F373" s="26">
        <f t="shared" ref="F373:F374" ca="1" si="128">+D373</f>
        <v>10.761154855643044</v>
      </c>
      <c r="G373" s="26">
        <f t="shared" ref="G373:G374" ca="1" si="129">+E373</f>
        <v>-1.6272965879265093</v>
      </c>
      <c r="H373" s="10"/>
      <c r="I373" s="10"/>
    </row>
    <row r="374" spans="1:9" ht="10.199999999999999" customHeight="1">
      <c r="A374" s="22"/>
      <c r="B374" s="22"/>
      <c r="C374" s="9"/>
      <c r="D374" s="107">
        <f ca="1">+A_6L*3</f>
        <v>16.141732283464567</v>
      </c>
      <c r="E374" s="107">
        <f ca="1">-A_6W/2</f>
        <v>-1.6272965879265093</v>
      </c>
      <c r="F374" s="26">
        <f t="shared" ca="1" si="128"/>
        <v>16.141732283464567</v>
      </c>
      <c r="G374" s="26">
        <f t="shared" ca="1" si="129"/>
        <v>-1.6272965879265093</v>
      </c>
      <c r="H374" s="10"/>
      <c r="I374" s="10"/>
    </row>
    <row r="375" spans="1:9" ht="10.199999999999999" customHeight="1">
      <c r="A375" s="22"/>
      <c r="B375" s="22"/>
      <c r="C375" s="9"/>
      <c r="D375" s="107">
        <f>0</f>
        <v>0</v>
      </c>
      <c r="E375" s="107">
        <f ca="1">-A_6W/2</f>
        <v>-1.6272965879265093</v>
      </c>
      <c r="F375" s="26">
        <f t="shared" ref="F375:F376" si="130">+D375</f>
        <v>0</v>
      </c>
      <c r="G375" s="26">
        <f t="shared" ref="G375:G376" ca="1" si="131">+E375</f>
        <v>-1.6272965879265093</v>
      </c>
      <c r="H375" s="10"/>
      <c r="I375" s="10"/>
    </row>
    <row r="376" spans="1:9" ht="10.199999999999999" customHeight="1">
      <c r="A376" s="22"/>
      <c r="B376" s="22"/>
      <c r="C376" s="9"/>
      <c r="D376" s="107">
        <f>0</f>
        <v>0</v>
      </c>
      <c r="E376" s="107">
        <f ca="1">A_6W/2</f>
        <v>1.6272965879265093</v>
      </c>
      <c r="F376" s="26">
        <f t="shared" si="130"/>
        <v>0</v>
      </c>
      <c r="G376" s="26">
        <f t="shared" ca="1" si="131"/>
        <v>1.6272965879265093</v>
      </c>
      <c r="H376" s="10"/>
      <c r="I376" s="10"/>
    </row>
    <row r="377" spans="1:9" ht="10.199999999999999" customHeight="1">
      <c r="A377" s="22"/>
      <c r="B377" s="22"/>
      <c r="C377" s="9" t="s">
        <v>53</v>
      </c>
      <c r="D377" s="107">
        <f ca="1">+A_6WC-E377</f>
        <v>9.5384897200349954</v>
      </c>
      <c r="E377" s="107">
        <f ca="1">AVERAGE(A_6PL,A_6PWHE)/CM</f>
        <v>0.32590223097112858</v>
      </c>
      <c r="F377" s="26">
        <f t="shared" ref="F377" ca="1" si="132">+D377</f>
        <v>9.5384897200349954</v>
      </c>
      <c r="G377" s="26">
        <f t="shared" ref="G377" ca="1" si="133">+E377</f>
        <v>0.32590223097112858</v>
      </c>
      <c r="H377" s="10"/>
      <c r="I377" s="10"/>
    </row>
    <row r="378" spans="1:9" ht="10.199999999999999" customHeight="1">
      <c r="A378" s="22"/>
      <c r="B378" s="22"/>
      <c r="C378" s="9"/>
      <c r="D378" s="107">
        <f ca="1">+A_6WC+E377</f>
        <v>10.190294181977254</v>
      </c>
      <c r="E378" s="107">
        <f ca="1">-E377</f>
        <v>-0.32590223097112858</v>
      </c>
      <c r="F378" s="26">
        <f ca="1">+D378</f>
        <v>10.190294181977254</v>
      </c>
      <c r="G378" s="26">
        <f ca="1">+E378</f>
        <v>-0.32590223097112858</v>
      </c>
      <c r="H378" s="10"/>
      <c r="I378" s="10"/>
    </row>
    <row r="379" spans="1:9" ht="10.199999999999999" customHeight="1">
      <c r="A379" s="22"/>
      <c r="B379" s="22"/>
      <c r="C379" s="9" t="s">
        <v>41</v>
      </c>
      <c r="D379" s="107">
        <f ca="1">D378</f>
        <v>10.190294181977254</v>
      </c>
      <c r="E379" s="107">
        <f ca="1">+E377</f>
        <v>0.32590223097112858</v>
      </c>
      <c r="F379" s="26">
        <f t="shared" ref="F379" ca="1" si="134">+D379</f>
        <v>10.190294181977254</v>
      </c>
      <c r="G379" s="26">
        <f t="shared" ref="G379" ca="1" si="135">+E379</f>
        <v>0.32590223097112858</v>
      </c>
      <c r="H379" s="10"/>
      <c r="I379" s="10"/>
    </row>
    <row r="380" spans="1:9" ht="10.199999999999999" customHeight="1">
      <c r="A380" s="22"/>
      <c r="B380" s="22"/>
      <c r="C380" s="9"/>
      <c r="D380" s="107">
        <f ca="1">D377</f>
        <v>9.5384897200349954</v>
      </c>
      <c r="E380" s="107">
        <f ca="1">E378</f>
        <v>-0.32590223097112858</v>
      </c>
      <c r="F380" s="26">
        <f t="shared" ref="F380:G384" ca="1" si="136">+D380</f>
        <v>9.5384897200349954</v>
      </c>
      <c r="G380" s="26">
        <f t="shared" ca="1" si="136"/>
        <v>-0.32590223097112858</v>
      </c>
      <c r="H380" s="10"/>
      <c r="I380" s="10"/>
    </row>
    <row r="381" spans="1:9" ht="10.199999999999999" customHeight="1">
      <c r="A381" s="22"/>
      <c r="B381" s="22"/>
      <c r="C381" s="9" t="s">
        <v>54</v>
      </c>
      <c r="D381" s="107">
        <f ca="1">+D378</f>
        <v>10.190294181977254</v>
      </c>
      <c r="E381" s="107">
        <f ca="1">+A_6WTC-E377</f>
        <v>1.5726104549431321</v>
      </c>
      <c r="F381" s="26">
        <f t="shared" ca="1" si="136"/>
        <v>10.190294181977254</v>
      </c>
      <c r="G381" s="26">
        <f t="shared" ca="1" si="136"/>
        <v>1.5726104549431321</v>
      </c>
      <c r="H381" s="10"/>
      <c r="I381" s="10"/>
    </row>
    <row r="382" spans="1:9" ht="10.199999999999999" customHeight="1">
      <c r="A382" s="22"/>
      <c r="B382" s="22"/>
      <c r="C382" s="9"/>
      <c r="D382" s="107">
        <f ca="1">D377</f>
        <v>9.5384897200349954</v>
      </c>
      <c r="E382" s="107">
        <f ca="1">A_6WTC+E377</f>
        <v>2.2244149168853893</v>
      </c>
      <c r="F382" s="26">
        <f t="shared" ca="1" si="136"/>
        <v>9.5384897200349954</v>
      </c>
      <c r="G382" s="26">
        <f t="shared" ca="1" si="136"/>
        <v>2.2244149168853893</v>
      </c>
      <c r="H382" s="10"/>
      <c r="I382" s="10"/>
    </row>
    <row r="383" spans="1:9" ht="10.199999999999999" customHeight="1">
      <c r="A383" s="22"/>
      <c r="B383" s="22"/>
      <c r="C383" s="9"/>
      <c r="D383" s="107">
        <f ca="1">D378</f>
        <v>10.190294181977254</v>
      </c>
      <c r="E383" s="107">
        <f ca="1">E382</f>
        <v>2.2244149168853893</v>
      </c>
      <c r="F383" s="26">
        <f t="shared" ca="1" si="136"/>
        <v>10.190294181977254</v>
      </c>
      <c r="G383" s="26">
        <f t="shared" ca="1" si="136"/>
        <v>2.2244149168853893</v>
      </c>
      <c r="H383" s="10"/>
      <c r="I383" s="12"/>
    </row>
    <row r="384" spans="1:9" ht="10.199999999999999" customHeight="1">
      <c r="A384" s="22"/>
      <c r="B384" s="22"/>
      <c r="C384" s="9" t="s">
        <v>41</v>
      </c>
      <c r="D384" s="107">
        <f ca="1">+D377</f>
        <v>9.5384897200349954</v>
      </c>
      <c r="E384" s="107">
        <f ca="1">E381</f>
        <v>1.5726104549431321</v>
      </c>
      <c r="F384" s="26">
        <f t="shared" ca="1" si="136"/>
        <v>9.5384897200349954</v>
      </c>
      <c r="G384" s="26">
        <f t="shared" ca="1" si="136"/>
        <v>1.5726104549431321</v>
      </c>
      <c r="H384" s="10"/>
      <c r="I384" s="10"/>
    </row>
    <row r="385" spans="1:9" ht="10.199999999999999" customHeight="1">
      <c r="A385" s="22"/>
      <c r="B385" s="22"/>
      <c r="C385" s="9" t="s">
        <v>205</v>
      </c>
      <c r="D385" s="107">
        <v>0</v>
      </c>
      <c r="E385" s="107">
        <f ca="1">A_6W/2</f>
        <v>1.6272965879265093</v>
      </c>
      <c r="F385" s="26">
        <f t="shared" ref="F385:F388" si="137">+D385</f>
        <v>0</v>
      </c>
      <c r="G385" s="26">
        <f t="shared" ref="G385:G388" ca="1" si="138">+E385</f>
        <v>1.6272965879265093</v>
      </c>
      <c r="H385" s="10"/>
      <c r="I385" s="10"/>
    </row>
    <row r="386" spans="1:9" ht="10.199999999999999" customHeight="1">
      <c r="A386" s="22"/>
      <c r="B386" s="22"/>
      <c r="D386" s="107">
        <f ca="1">A_6L*2</f>
        <v>10.761154855643044</v>
      </c>
      <c r="E386" s="107">
        <f ca="1">A_6W*1.5</f>
        <v>4.8818897637795278</v>
      </c>
      <c r="F386" s="26">
        <f t="shared" ca="1" si="137"/>
        <v>10.761154855643044</v>
      </c>
      <c r="G386" s="26">
        <f t="shared" ca="1" si="138"/>
        <v>4.8818897637795278</v>
      </c>
      <c r="H386" s="10"/>
      <c r="I386" s="10"/>
    </row>
    <row r="387" spans="1:9" ht="10.199999999999999" customHeight="1">
      <c r="A387" s="22"/>
      <c r="B387" s="22"/>
      <c r="C387" s="9"/>
      <c r="D387" s="107">
        <f ca="1">A_6L*2</f>
        <v>10.761154855643044</v>
      </c>
      <c r="E387" s="107">
        <f ca="1">-A_6W*1.5</f>
        <v>-4.8818897637795278</v>
      </c>
      <c r="F387" s="26">
        <f t="shared" ca="1" si="137"/>
        <v>10.761154855643044</v>
      </c>
      <c r="G387" s="26">
        <f t="shared" ca="1" si="138"/>
        <v>-4.8818897637795278</v>
      </c>
    </row>
    <row r="388" spans="1:9" ht="10.199999999999999" customHeight="1">
      <c r="A388" s="22"/>
      <c r="B388" s="22"/>
      <c r="D388" s="107">
        <f>0</f>
        <v>0</v>
      </c>
      <c r="E388" s="107">
        <f ca="1">-A_6W/2</f>
        <v>-1.6272965879265093</v>
      </c>
      <c r="F388" s="26">
        <f t="shared" si="137"/>
        <v>0</v>
      </c>
      <c r="G388" s="26">
        <f t="shared" ca="1" si="138"/>
        <v>-1.6272965879265093</v>
      </c>
      <c r="H388" s="10"/>
      <c r="I388" s="10"/>
    </row>
    <row r="389" spans="1:9" ht="10.199999999999999" customHeight="1">
      <c r="A389" s="22"/>
      <c r="B389" s="22"/>
      <c r="C389" s="9"/>
      <c r="D389" s="107"/>
      <c r="E389" s="107"/>
      <c r="F389" s="26"/>
      <c r="G389" s="26"/>
      <c r="H389" s="10"/>
      <c r="I389" s="10"/>
    </row>
    <row r="390" spans="1:9" ht="10.199999999999999" customHeight="1">
      <c r="A390" s="305" t="s">
        <v>193</v>
      </c>
      <c r="B390" s="304"/>
      <c r="C390" s="23" t="str">
        <f ca="1">PModel</f>
        <v>SS250-60P</v>
      </c>
      <c r="D390" s="300">
        <f ca="1">+PLFt</f>
        <v>5.3805774278215219</v>
      </c>
      <c r="E390" s="300">
        <f ca="1">+PWFt</f>
        <v>3.2545931758530187</v>
      </c>
      <c r="F390" s="26"/>
      <c r="G390" s="26"/>
    </row>
    <row r="391" spans="1:9" ht="10.199999999999999" customHeight="1">
      <c r="A391" s="286" t="s">
        <v>8</v>
      </c>
      <c r="B391" s="286"/>
      <c r="C391" s="283">
        <f ca="1">+B_6W*3+Spacing*2</f>
        <v>9.8471128608923895</v>
      </c>
      <c r="D391" s="107">
        <f>0</f>
        <v>0</v>
      </c>
      <c r="E391" s="107">
        <f ca="1">B_6L/2</f>
        <v>2.690288713910761</v>
      </c>
      <c r="F391" s="26">
        <f t="shared" ref="F391:F394" si="139">+D391</f>
        <v>0</v>
      </c>
      <c r="G391" s="26">
        <f t="shared" ref="G391:G394" ca="1" si="140">+E391</f>
        <v>2.690288713910761</v>
      </c>
      <c r="H391" s="10"/>
      <c r="I391" s="10"/>
    </row>
    <row r="392" spans="1:9" ht="10.199999999999999" customHeight="1">
      <c r="A392" s="286" t="s">
        <v>0</v>
      </c>
      <c r="B392" s="286"/>
      <c r="C392" s="284">
        <f ca="1">+B_6L</f>
        <v>5.3805774278215219</v>
      </c>
      <c r="D392" s="107">
        <f ca="1">+B_6W</f>
        <v>3.2545931758530187</v>
      </c>
      <c r="E392" s="107">
        <f ca="1">B_6L/2</f>
        <v>2.690288713910761</v>
      </c>
      <c r="F392" s="26">
        <f t="shared" ca="1" si="139"/>
        <v>3.2545931758530187</v>
      </c>
      <c r="G392" s="26">
        <f t="shared" ca="1" si="140"/>
        <v>2.690288713910761</v>
      </c>
      <c r="H392" s="10"/>
      <c r="I392" s="10"/>
    </row>
    <row r="393" spans="1:9" ht="10.199999999999999" customHeight="1">
      <c r="A393" s="286" t="s">
        <v>2</v>
      </c>
      <c r="B393" s="286"/>
      <c r="C393" s="284">
        <f ca="1">+B_6L*3+Spacing*2</f>
        <v>16.225065616797899</v>
      </c>
      <c r="D393" s="107">
        <f ca="1">+B_6W</f>
        <v>3.2545931758530187</v>
      </c>
      <c r="E393" s="107">
        <f ca="1">-B_6L/2</f>
        <v>-2.690288713910761</v>
      </c>
      <c r="F393" s="26">
        <f t="shared" ca="1" si="139"/>
        <v>3.2545931758530187</v>
      </c>
      <c r="G393" s="26">
        <f t="shared" ca="1" si="140"/>
        <v>-2.690288713910761</v>
      </c>
      <c r="H393" s="10"/>
      <c r="I393" s="10"/>
    </row>
    <row r="394" spans="1:9" ht="10.199999999999999" customHeight="1">
      <c r="A394" s="286" t="s">
        <v>206</v>
      </c>
      <c r="B394" s="286"/>
      <c r="C394" s="284">
        <f ca="1">1/COS(RADIANS(B_6TA))*(B_6W*2+Spacing*2)</f>
        <v>8.5624550570204701</v>
      </c>
      <c r="D394" s="107">
        <f>0</f>
        <v>0</v>
      </c>
      <c r="E394" s="107">
        <f ca="1">-B_6L/2</f>
        <v>-2.690288713910761</v>
      </c>
      <c r="F394" s="26">
        <f t="shared" si="139"/>
        <v>0</v>
      </c>
      <c r="G394" s="26">
        <f t="shared" ca="1" si="140"/>
        <v>-2.690288713910761</v>
      </c>
      <c r="H394" s="10"/>
      <c r="I394" s="10"/>
    </row>
    <row r="395" spans="1:9" ht="10.199999999999999" customHeight="1">
      <c r="A395" s="286" t="s">
        <v>207</v>
      </c>
      <c r="B395" s="286"/>
      <c r="C395" s="285">
        <f ca="1">+DEGREES(ATAN2(B_6W+Spacing,B_6L/2+Spacing))</f>
        <v>39.652096103828384</v>
      </c>
      <c r="D395" s="107">
        <f>0</f>
        <v>0</v>
      </c>
      <c r="E395" s="107">
        <f ca="1">B_6L/2</f>
        <v>2.690288713910761</v>
      </c>
      <c r="F395" s="26">
        <f t="shared" ref="F395" si="141">+D395</f>
        <v>0</v>
      </c>
      <c r="G395" s="26">
        <f t="shared" ref="G395" ca="1" si="142">+E395</f>
        <v>2.690288713910761</v>
      </c>
      <c r="H395" s="10"/>
      <c r="I395" s="10"/>
    </row>
    <row r="396" spans="1:9" ht="10.199999999999999" customHeight="1">
      <c r="A396" s="105" t="s">
        <v>69</v>
      </c>
      <c r="B396" s="105"/>
      <c r="C396" s="163">
        <v>2</v>
      </c>
      <c r="D396" s="107">
        <f ca="1">+B_6W</f>
        <v>3.2545931758530187</v>
      </c>
      <c r="E396" s="107">
        <f>0</f>
        <v>0</v>
      </c>
      <c r="F396" s="26">
        <f t="shared" ref="F396:F403" ca="1" si="143">+D396</f>
        <v>3.2545931758530187</v>
      </c>
      <c r="G396" s="26">
        <f t="shared" ref="G396:G403" si="144">+E396</f>
        <v>0</v>
      </c>
      <c r="H396" s="10"/>
      <c r="I396" s="10"/>
    </row>
    <row r="397" spans="1:9" ht="10.199999999999999" customHeight="1">
      <c r="A397" s="105" t="s">
        <v>70</v>
      </c>
      <c r="B397" s="105"/>
      <c r="C397" s="164">
        <v>2</v>
      </c>
      <c r="D397" s="107">
        <f ca="1">+B_6W</f>
        <v>3.2545931758530187</v>
      </c>
      <c r="E397" s="107">
        <f ca="1">+B_6L</f>
        <v>5.3805774278215219</v>
      </c>
      <c r="F397" s="26">
        <f t="shared" ca="1" si="143"/>
        <v>3.2545931758530187</v>
      </c>
      <c r="G397" s="26">
        <f t="shared" ca="1" si="144"/>
        <v>5.3805774278215219</v>
      </c>
      <c r="H397" s="10"/>
      <c r="I397" s="10"/>
    </row>
    <row r="398" spans="1:9" ht="10.199999999999999" customHeight="1">
      <c r="A398" s="105" t="s">
        <v>51</v>
      </c>
      <c r="B398" s="105"/>
      <c r="C398" s="98">
        <f ca="1">+B_6L*B_6W*B_6SC*B_6PC</f>
        <v>70.046362314946848</v>
      </c>
      <c r="D398" s="107">
        <f ca="1">+B_6W*2</f>
        <v>6.5091863517060373</v>
      </c>
      <c r="E398" s="107">
        <f ca="1">+B_6L</f>
        <v>5.3805774278215219</v>
      </c>
      <c r="F398" s="26">
        <f t="shared" ca="1" si="143"/>
        <v>6.5091863517060373</v>
      </c>
      <c r="G398" s="26">
        <f t="shared" ca="1" si="144"/>
        <v>5.3805774278215219</v>
      </c>
      <c r="H398" s="10"/>
      <c r="I398" s="10"/>
    </row>
    <row r="399" spans="1:9" ht="10.199999999999999" customHeight="1">
      <c r="A399" s="105" t="s">
        <v>52</v>
      </c>
      <c r="B399" s="105"/>
      <c r="C399" s="281">
        <f ca="1">B_6PA*StraightLineWind</f>
        <v>700.4636231494685</v>
      </c>
      <c r="D399" s="107">
        <f ca="1">+B_6W*2</f>
        <v>6.5091863517060373</v>
      </c>
      <c r="E399" s="107">
        <f>0</f>
        <v>0</v>
      </c>
      <c r="F399" s="26">
        <f t="shared" ca="1" si="143"/>
        <v>6.5091863517060373</v>
      </c>
      <c r="G399" s="26">
        <f t="shared" si="144"/>
        <v>0</v>
      </c>
      <c r="H399" s="10"/>
      <c r="I399" s="10"/>
    </row>
    <row r="400" spans="1:9" ht="10.199999999999999" customHeight="1">
      <c r="A400" s="105" t="s">
        <v>57</v>
      </c>
      <c r="B400" s="105"/>
      <c r="C400" s="31">
        <f ca="1">+(B_6W/2*1+B_6W*1.5*2+B_6W*2.5*3)/(6)</f>
        <v>5.9667541557305341</v>
      </c>
      <c r="D400" s="107">
        <f ca="1">+B_6W</f>
        <v>3.2545931758530187</v>
      </c>
      <c r="E400" s="107">
        <f>0</f>
        <v>0</v>
      </c>
      <c r="F400" s="26">
        <f t="shared" ca="1" si="143"/>
        <v>3.2545931758530187</v>
      </c>
      <c r="G400" s="26">
        <f t="shared" si="144"/>
        <v>0</v>
      </c>
      <c r="H400" s="10"/>
      <c r="I400" s="10"/>
    </row>
    <row r="401" spans="1:9" ht="10.199999999999999" customHeight="1">
      <c r="A401" s="105" t="s">
        <v>58</v>
      </c>
      <c r="B401" s="105"/>
      <c r="C401" s="31">
        <f ca="1">+(B_6L/4*1+B_6L/2*2+B_6L*0.75*3)/(6)</f>
        <v>3.1386701662292213</v>
      </c>
      <c r="D401" s="107">
        <f ca="1">+B_6W</f>
        <v>3.2545931758530187</v>
      </c>
      <c r="E401" s="107">
        <f ca="1">-B_6L</f>
        <v>-5.3805774278215219</v>
      </c>
      <c r="F401" s="26">
        <f t="shared" ca="1" si="143"/>
        <v>3.2545931758530187</v>
      </c>
      <c r="G401" s="26">
        <f t="shared" ca="1" si="144"/>
        <v>-5.3805774278215219</v>
      </c>
      <c r="H401" s="10"/>
      <c r="I401" s="10"/>
    </row>
    <row r="402" spans="1:9" ht="10.199999999999999" customHeight="1">
      <c r="A402" s="105" t="s">
        <v>60</v>
      </c>
      <c r="B402" s="105"/>
      <c r="C402" s="282">
        <f ca="1">+B_6WL*B_6WTC</f>
        <v>2198.5242765080648</v>
      </c>
      <c r="D402" s="107">
        <f ca="1">+B_6W*2</f>
        <v>6.5091863517060373</v>
      </c>
      <c r="E402" s="107">
        <f ca="1">-B_6L</f>
        <v>-5.3805774278215219</v>
      </c>
      <c r="F402" s="26">
        <f t="shared" ca="1" si="143"/>
        <v>6.5091863517060373</v>
      </c>
      <c r="G402" s="26">
        <f t="shared" ca="1" si="144"/>
        <v>-5.3805774278215219</v>
      </c>
      <c r="H402" s="10"/>
      <c r="I402" s="10"/>
    </row>
    <row r="403" spans="1:9" ht="10.199999999999999" customHeight="1">
      <c r="A403" s="105" t="s">
        <v>42</v>
      </c>
      <c r="B403" s="105"/>
      <c r="C403" s="32">
        <f ca="1">PWatt*B_6SC*B_6PC</f>
        <v>1000</v>
      </c>
      <c r="D403" s="107">
        <f ca="1">+B_6W*2</f>
        <v>6.5091863517060373</v>
      </c>
      <c r="E403" s="107">
        <f>0</f>
        <v>0</v>
      </c>
      <c r="F403" s="26">
        <f t="shared" ca="1" si="143"/>
        <v>6.5091863517060373</v>
      </c>
      <c r="G403" s="26">
        <f t="shared" si="144"/>
        <v>0</v>
      </c>
      <c r="H403" s="10"/>
      <c r="I403" s="10"/>
    </row>
    <row r="404" spans="1:9" ht="10.199999999999999" customHeight="1">
      <c r="A404" s="105" t="s">
        <v>36</v>
      </c>
      <c r="B404" s="105"/>
      <c r="C404" s="33">
        <f ca="1">PVmp*B_6SC</f>
        <v>61</v>
      </c>
      <c r="D404" s="107">
        <f ca="1">+B_6W*2</f>
        <v>6.5091863517060373</v>
      </c>
      <c r="E404" s="107">
        <f ca="1">+B_6L</f>
        <v>5.3805774278215219</v>
      </c>
      <c r="F404" s="26">
        <f t="shared" ref="F404:F406" ca="1" si="145">+D404</f>
        <v>6.5091863517060373</v>
      </c>
      <c r="G404" s="26">
        <f t="shared" ref="G404:G406" ca="1" si="146">+E404</f>
        <v>5.3805774278215219</v>
      </c>
      <c r="H404" s="10"/>
      <c r="I404" s="10"/>
    </row>
    <row r="405" spans="1:9" ht="10.199999999999999" customHeight="1">
      <c r="A405" s="105" t="s">
        <v>37</v>
      </c>
      <c r="B405" s="105"/>
      <c r="C405" s="34">
        <f ca="1">PVoc*B_6SC</f>
        <v>74.400000000000006</v>
      </c>
      <c r="D405" s="107">
        <f ca="1">+B_6W*2</f>
        <v>6.5091863517060373</v>
      </c>
      <c r="E405" s="107">
        <f ca="1">B_6L*3/2</f>
        <v>8.0708661417322833</v>
      </c>
      <c r="F405" s="26">
        <f t="shared" ca="1" si="145"/>
        <v>6.5091863517060373</v>
      </c>
      <c r="G405" s="26">
        <f t="shared" ca="1" si="146"/>
        <v>8.0708661417322833</v>
      </c>
      <c r="H405" s="10"/>
      <c r="I405" s="10"/>
    </row>
    <row r="406" spans="1:9" ht="10.199999999999999" customHeight="1">
      <c r="A406" s="105" t="s">
        <v>43</v>
      </c>
      <c r="B406" s="105"/>
      <c r="C406" s="35">
        <f ca="1">PImp*B_6PC</f>
        <v>16.399999999999999</v>
      </c>
      <c r="D406" s="107">
        <f ca="1">+B_6W*3</f>
        <v>9.7637795275590555</v>
      </c>
      <c r="E406" s="107">
        <f ca="1">B_6L*3/2</f>
        <v>8.0708661417322833</v>
      </c>
      <c r="F406" s="26">
        <f t="shared" ca="1" si="145"/>
        <v>9.7637795275590555</v>
      </c>
      <c r="G406" s="26">
        <f t="shared" ca="1" si="146"/>
        <v>8.0708661417322833</v>
      </c>
      <c r="H406" s="10"/>
      <c r="I406" s="10"/>
    </row>
    <row r="407" spans="1:9" ht="10.199999999999999" customHeight="1">
      <c r="A407" s="105" t="s">
        <v>44</v>
      </c>
      <c r="B407" s="105"/>
      <c r="C407" s="36">
        <f ca="1">PIsc*B_6PC</f>
        <v>17.600000000000001</v>
      </c>
      <c r="D407" s="107">
        <f ca="1">+B_6W*3</f>
        <v>9.7637795275590555</v>
      </c>
      <c r="E407" s="107">
        <f ca="1">-B_6L*3/2</f>
        <v>-8.0708661417322833</v>
      </c>
      <c r="F407" s="26">
        <f t="shared" ref="F407" ca="1" si="147">+D407</f>
        <v>9.7637795275590555</v>
      </c>
      <c r="G407" s="26">
        <f t="shared" ref="G407" ca="1" si="148">+E407</f>
        <v>-8.0708661417322833</v>
      </c>
      <c r="H407" s="10"/>
      <c r="I407" s="10"/>
    </row>
    <row r="408" spans="1:9" ht="10.199999999999999" customHeight="1">
      <c r="A408" s="22"/>
      <c r="B408" s="22"/>
      <c r="C408" s="9"/>
      <c r="D408" s="107">
        <f ca="1">+B_6W*2</f>
        <v>6.5091863517060373</v>
      </c>
      <c r="E408" s="107">
        <f ca="1">-B_6L</f>
        <v>-5.3805774278215219</v>
      </c>
      <c r="F408" s="26">
        <f t="shared" ref="F408:F410" ca="1" si="149">+D408</f>
        <v>6.5091863517060373</v>
      </c>
      <c r="G408" s="26">
        <f t="shared" ref="G408:G410" ca="1" si="150">+E408</f>
        <v>-5.3805774278215219</v>
      </c>
      <c r="H408" s="10"/>
      <c r="I408" s="10"/>
    </row>
    <row r="409" spans="1:9" ht="10.199999999999999" customHeight="1">
      <c r="A409" s="22"/>
      <c r="B409" s="22"/>
      <c r="C409" s="9"/>
      <c r="D409" s="107">
        <f ca="1">+B_6W*2</f>
        <v>6.5091863517060373</v>
      </c>
      <c r="E409" s="107">
        <f ca="1">-B_6L*3/2</f>
        <v>-8.0708661417322833</v>
      </c>
      <c r="F409" s="26">
        <f t="shared" ca="1" si="149"/>
        <v>6.5091863517060373</v>
      </c>
      <c r="G409" s="26">
        <f t="shared" ca="1" si="150"/>
        <v>-8.0708661417322833</v>
      </c>
      <c r="H409" s="10"/>
      <c r="I409" s="10"/>
    </row>
    <row r="410" spans="1:9" ht="10.199999999999999" customHeight="1">
      <c r="A410" s="22"/>
      <c r="B410" s="22"/>
      <c r="C410" s="9"/>
      <c r="D410" s="107">
        <f ca="1">+B_6W*3</f>
        <v>9.7637795275590555</v>
      </c>
      <c r="E410" s="107">
        <f ca="1">-B_6L*3/2</f>
        <v>-8.0708661417322833</v>
      </c>
      <c r="F410" s="26">
        <f t="shared" ca="1" si="149"/>
        <v>9.7637795275590555</v>
      </c>
      <c r="G410" s="26">
        <f t="shared" ca="1" si="150"/>
        <v>-8.0708661417322833</v>
      </c>
      <c r="H410" s="10"/>
      <c r="I410" s="10"/>
    </row>
    <row r="411" spans="1:9" ht="10.199999999999999" customHeight="1">
      <c r="A411" s="22"/>
      <c r="B411" s="22"/>
      <c r="C411" s="9"/>
      <c r="D411" s="107">
        <f ca="1">+B_6W*2</f>
        <v>6.5091863517060373</v>
      </c>
      <c r="E411" s="107">
        <f ca="1">B_6L/2</f>
        <v>2.690288713910761</v>
      </c>
      <c r="F411" s="26">
        <f t="shared" ref="F411:F412" ca="1" si="151">+D411</f>
        <v>6.5091863517060373</v>
      </c>
      <c r="G411" s="26">
        <f t="shared" ref="G411:G412" ca="1" si="152">+E411</f>
        <v>2.690288713910761</v>
      </c>
      <c r="H411" s="10"/>
      <c r="I411" s="10"/>
    </row>
    <row r="412" spans="1:9" ht="10.199999999999999" customHeight="1">
      <c r="A412" s="22"/>
      <c r="B412" s="22"/>
      <c r="C412" s="9"/>
      <c r="D412" s="107">
        <f ca="1">+B_6W*3</f>
        <v>9.7637795275590555</v>
      </c>
      <c r="E412" s="107">
        <f ca="1">B_6L/2</f>
        <v>2.690288713910761</v>
      </c>
      <c r="F412" s="26">
        <f t="shared" ca="1" si="151"/>
        <v>9.7637795275590555</v>
      </c>
      <c r="G412" s="26">
        <f t="shared" ca="1" si="152"/>
        <v>2.690288713910761</v>
      </c>
      <c r="H412" s="10"/>
      <c r="I412" s="10"/>
    </row>
    <row r="413" spans="1:9" ht="10.199999999999999" customHeight="1">
      <c r="A413" s="22"/>
      <c r="B413" s="22"/>
      <c r="C413" s="9"/>
      <c r="D413" s="107">
        <f ca="1">+B_6W*2</f>
        <v>6.5091863517060373</v>
      </c>
      <c r="E413" s="107">
        <f ca="1">-B_6L/2</f>
        <v>-2.690288713910761</v>
      </c>
      <c r="F413" s="26">
        <f t="shared" ref="F413:F414" ca="1" si="153">+D413</f>
        <v>6.5091863517060373</v>
      </c>
      <c r="G413" s="26">
        <f t="shared" ref="G413:G414" ca="1" si="154">+E413</f>
        <v>-2.690288713910761</v>
      </c>
      <c r="H413" s="10"/>
      <c r="I413" s="10"/>
    </row>
    <row r="414" spans="1:9" ht="10.199999999999999" customHeight="1">
      <c r="A414" s="22"/>
      <c r="B414" s="22"/>
      <c r="C414" s="9"/>
      <c r="D414" s="107">
        <f ca="1">+B_6W*3</f>
        <v>9.7637795275590555</v>
      </c>
      <c r="E414" s="107">
        <f ca="1">-B_6L/2</f>
        <v>-2.690288713910761</v>
      </c>
      <c r="F414" s="26">
        <f t="shared" ca="1" si="153"/>
        <v>9.7637795275590555</v>
      </c>
      <c r="G414" s="26">
        <f t="shared" ca="1" si="154"/>
        <v>-2.690288713910761</v>
      </c>
      <c r="H414" s="10"/>
      <c r="I414" s="10"/>
    </row>
    <row r="415" spans="1:9" ht="10.199999999999999" customHeight="1">
      <c r="A415" s="22"/>
      <c r="B415" s="22"/>
      <c r="C415" s="9" t="s">
        <v>53</v>
      </c>
      <c r="D415" s="107">
        <f ca="1">+B_6WC-E415</f>
        <v>5.7205763342082241</v>
      </c>
      <c r="E415" s="107">
        <f ca="1">AVERAGE(B_6PL,A_6PWHE)/CM</f>
        <v>0.24617782152230974</v>
      </c>
      <c r="F415" s="26">
        <f t="shared" ref="F415" ca="1" si="155">+D415</f>
        <v>5.7205763342082241</v>
      </c>
      <c r="G415" s="26">
        <f t="shared" ref="G415" ca="1" si="156">+E415</f>
        <v>0.24617782152230974</v>
      </c>
      <c r="H415" s="10"/>
      <c r="I415" s="10"/>
    </row>
    <row r="416" spans="1:9" ht="10.199999999999999" customHeight="1">
      <c r="A416" s="22"/>
      <c r="B416" s="22"/>
      <c r="C416" s="9"/>
      <c r="D416" s="107">
        <f ca="1">+B_6WC+E415</f>
        <v>6.2129319772528442</v>
      </c>
      <c r="E416" s="107">
        <f ca="1">-E415</f>
        <v>-0.24617782152230974</v>
      </c>
      <c r="F416" s="26">
        <f ca="1">+D416</f>
        <v>6.2129319772528442</v>
      </c>
      <c r="G416" s="26">
        <f ca="1">+E416</f>
        <v>-0.24617782152230974</v>
      </c>
      <c r="H416" s="10"/>
      <c r="I416" s="10"/>
    </row>
    <row r="417" spans="1:9" ht="10.199999999999999" customHeight="1">
      <c r="A417" s="22"/>
      <c r="B417" s="22"/>
      <c r="C417" s="9" t="s">
        <v>41</v>
      </c>
      <c r="D417" s="107">
        <f ca="1">D416</f>
        <v>6.2129319772528442</v>
      </c>
      <c r="E417" s="107">
        <f ca="1">+E415</f>
        <v>0.24617782152230974</v>
      </c>
      <c r="F417" s="26">
        <f t="shared" ref="F417" ca="1" si="157">+D417</f>
        <v>6.2129319772528442</v>
      </c>
      <c r="G417" s="26">
        <f t="shared" ref="G417" ca="1" si="158">+E417</f>
        <v>0.24617782152230974</v>
      </c>
      <c r="H417" s="10"/>
      <c r="I417" s="10"/>
    </row>
    <row r="418" spans="1:9" ht="10.199999999999999" customHeight="1">
      <c r="A418" s="22"/>
      <c r="B418" s="22"/>
      <c r="C418" s="9"/>
      <c r="D418" s="107">
        <f ca="1">D415</f>
        <v>5.7205763342082241</v>
      </c>
      <c r="E418" s="107">
        <f ca="1">E416</f>
        <v>-0.24617782152230974</v>
      </c>
      <c r="F418" s="26">
        <f t="shared" ref="F418:G422" ca="1" si="159">+D418</f>
        <v>5.7205763342082241</v>
      </c>
      <c r="G418" s="26">
        <f t="shared" ca="1" si="159"/>
        <v>-0.24617782152230974</v>
      </c>
      <c r="H418" s="10"/>
      <c r="I418" s="10"/>
    </row>
    <row r="419" spans="1:9" ht="10.199999999999999" customHeight="1">
      <c r="A419" s="22"/>
      <c r="B419" s="22"/>
      <c r="C419" s="9" t="s">
        <v>54</v>
      </c>
      <c r="D419" s="107">
        <f ca="1">D416</f>
        <v>6.2129319772528442</v>
      </c>
      <c r="E419" s="107">
        <f ca="1">+C401-E415</f>
        <v>2.8924923447069117</v>
      </c>
      <c r="F419" s="26">
        <f t="shared" ca="1" si="159"/>
        <v>6.2129319772528442</v>
      </c>
      <c r="G419" s="26">
        <f t="shared" ca="1" si="159"/>
        <v>2.8924923447069117</v>
      </c>
      <c r="H419" s="10"/>
      <c r="I419" s="12"/>
    </row>
    <row r="420" spans="1:9" ht="10.199999999999999" customHeight="1">
      <c r="A420" s="22"/>
      <c r="B420" s="22"/>
      <c r="C420" s="9"/>
      <c r="D420" s="107">
        <f ca="1">D415</f>
        <v>5.7205763342082241</v>
      </c>
      <c r="E420" s="107">
        <f ca="1">+C401+E415</f>
        <v>3.384847987751531</v>
      </c>
      <c r="F420" s="26">
        <f t="shared" ca="1" si="159"/>
        <v>5.7205763342082241</v>
      </c>
      <c r="G420" s="26">
        <f t="shared" ca="1" si="159"/>
        <v>3.384847987751531</v>
      </c>
      <c r="H420" s="10"/>
      <c r="I420" s="10"/>
    </row>
    <row r="421" spans="1:9" ht="10.199999999999999" customHeight="1">
      <c r="A421" s="22"/>
      <c r="B421" s="22"/>
      <c r="C421" s="9" t="s">
        <v>41</v>
      </c>
      <c r="D421" s="107">
        <f ca="1">D416</f>
        <v>6.2129319772528442</v>
      </c>
      <c r="E421" s="107">
        <f ca="1">E420</f>
        <v>3.384847987751531</v>
      </c>
      <c r="F421" s="26">
        <f t="shared" ca="1" si="159"/>
        <v>6.2129319772528442</v>
      </c>
      <c r="G421" s="26">
        <f t="shared" ca="1" si="159"/>
        <v>3.384847987751531</v>
      </c>
      <c r="H421" s="10"/>
      <c r="I421" s="10"/>
    </row>
    <row r="422" spans="1:9" ht="10.199999999999999" customHeight="1">
      <c r="A422" s="22"/>
      <c r="B422" s="22"/>
      <c r="C422" s="9"/>
      <c r="D422" s="107">
        <f ca="1">D415</f>
        <v>5.7205763342082241</v>
      </c>
      <c r="E422" s="107">
        <f ca="1">E419</f>
        <v>2.8924923447069117</v>
      </c>
      <c r="F422" s="26">
        <f t="shared" ca="1" si="159"/>
        <v>5.7205763342082241</v>
      </c>
      <c r="G422" s="26">
        <f t="shared" ca="1" si="159"/>
        <v>2.8924923447069117</v>
      </c>
      <c r="H422" s="10"/>
      <c r="I422" s="10"/>
    </row>
    <row r="423" spans="1:9" ht="10.199999999999999" customHeight="1">
      <c r="A423" s="22"/>
      <c r="B423" s="22"/>
      <c r="C423" s="9" t="s">
        <v>205</v>
      </c>
      <c r="D423" s="107">
        <f>0</f>
        <v>0</v>
      </c>
      <c r="E423" s="107">
        <f ca="1">B_6L/2</f>
        <v>2.690288713910761</v>
      </c>
      <c r="F423" s="26">
        <f t="shared" ref="F423:F426" si="160">+D423</f>
        <v>0</v>
      </c>
      <c r="G423" s="26">
        <f t="shared" ref="G423:G426" ca="1" si="161">+E423</f>
        <v>2.690288713910761</v>
      </c>
    </row>
    <row r="424" spans="1:9" ht="10.199999999999999" customHeight="1">
      <c r="A424" s="22"/>
      <c r="B424" s="22"/>
      <c r="D424" s="107">
        <f ca="1">+B_6W*2</f>
        <v>6.5091863517060373</v>
      </c>
      <c r="E424" s="107">
        <f ca="1">B_6L*3/2</f>
        <v>8.0708661417322833</v>
      </c>
      <c r="F424" s="26">
        <f t="shared" ca="1" si="160"/>
        <v>6.5091863517060373</v>
      </c>
      <c r="G424" s="26">
        <f t="shared" ca="1" si="161"/>
        <v>8.0708661417322833</v>
      </c>
      <c r="H424" s="10"/>
      <c r="I424" s="10"/>
    </row>
    <row r="425" spans="1:9" ht="10.199999999999999" customHeight="1">
      <c r="A425" s="22"/>
      <c r="B425" s="22"/>
      <c r="C425" s="9"/>
      <c r="D425" s="107">
        <f ca="1">+B_6W*2</f>
        <v>6.5091863517060373</v>
      </c>
      <c r="E425" s="107">
        <f ca="1">-B_6L*3/2</f>
        <v>-8.0708661417322833</v>
      </c>
      <c r="F425" s="26">
        <f t="shared" ca="1" si="160"/>
        <v>6.5091863517060373</v>
      </c>
      <c r="G425" s="26">
        <f t="shared" ca="1" si="161"/>
        <v>-8.0708661417322833</v>
      </c>
    </row>
    <row r="426" spans="1:9" ht="10.199999999999999" customHeight="1">
      <c r="A426" s="22"/>
      <c r="B426" s="22"/>
      <c r="C426" s="9"/>
      <c r="D426" s="107">
        <f>0</f>
        <v>0</v>
      </c>
      <c r="E426" s="107">
        <f ca="1">-B_6L/2</f>
        <v>-2.690288713910761</v>
      </c>
      <c r="F426" s="26">
        <f t="shared" si="160"/>
        <v>0</v>
      </c>
      <c r="G426" s="26">
        <f t="shared" ca="1" si="161"/>
        <v>-2.690288713910761</v>
      </c>
    </row>
    <row r="427" spans="1:9" ht="10.199999999999999" customHeight="1">
      <c r="A427" s="22"/>
      <c r="B427" s="22"/>
      <c r="C427" s="9"/>
      <c r="D427" s="107"/>
      <c r="E427" s="107"/>
      <c r="F427" s="26"/>
      <c r="G427" s="26"/>
      <c r="H427" s="10"/>
      <c r="I427" s="10"/>
    </row>
    <row r="428" spans="1:9" ht="10.199999999999999" customHeight="1">
      <c r="A428" s="305" t="s">
        <v>194</v>
      </c>
      <c r="B428" s="304"/>
      <c r="C428" s="23" t="str">
        <f ca="1">PModel</f>
        <v>SS250-60P</v>
      </c>
      <c r="D428" s="300">
        <f ca="1">+PLFt</f>
        <v>5.3805774278215219</v>
      </c>
      <c r="E428" s="300">
        <f ca="1">+PWFt</f>
        <v>3.2545931758530187</v>
      </c>
      <c r="F428" s="26"/>
      <c r="G428" s="26"/>
    </row>
    <row r="429" spans="1:9" ht="10.199999999999999" customHeight="1">
      <c r="A429" s="286" t="s">
        <v>8</v>
      </c>
      <c r="B429" s="286"/>
      <c r="C429" s="283">
        <f ca="1">+C_6W+C_6L*2+Spacing*2</f>
        <v>14.099081364829397</v>
      </c>
      <c r="D429" s="107">
        <f>0</f>
        <v>0</v>
      </c>
      <c r="E429" s="107">
        <f ca="1">C_6L/2</f>
        <v>2.690288713910761</v>
      </c>
      <c r="F429" s="26">
        <f t="shared" ref="F429:F432" si="162">+D429</f>
        <v>0</v>
      </c>
      <c r="G429" s="26">
        <f t="shared" ref="G429:G432" ca="1" si="163">+E429</f>
        <v>2.690288713910761</v>
      </c>
      <c r="H429" s="10"/>
      <c r="I429" s="10"/>
    </row>
    <row r="430" spans="1:9" ht="10.199999999999999" customHeight="1">
      <c r="A430" s="286" t="s">
        <v>0</v>
      </c>
      <c r="B430" s="286"/>
      <c r="C430" s="284">
        <f ca="1">C_6L</f>
        <v>5.3805774278215219</v>
      </c>
      <c r="D430" s="107">
        <f ca="1">+C_6W</f>
        <v>3.2545931758530187</v>
      </c>
      <c r="E430" s="107">
        <f ca="1">C_6L/2</f>
        <v>2.690288713910761</v>
      </c>
      <c r="F430" s="26">
        <f t="shared" ca="1" si="162"/>
        <v>3.2545931758530187</v>
      </c>
      <c r="G430" s="26">
        <f t="shared" ca="1" si="163"/>
        <v>2.690288713910761</v>
      </c>
      <c r="H430" s="10"/>
      <c r="I430" s="10"/>
    </row>
    <row r="431" spans="1:9" ht="10.199999999999999" customHeight="1">
      <c r="A431" s="286" t="s">
        <v>2</v>
      </c>
      <c r="B431" s="286"/>
      <c r="C431" s="284">
        <f ca="1">C_6W*3+Spacing*2</f>
        <v>9.8471128608923895</v>
      </c>
      <c r="D431" s="107">
        <f ca="1">+C_6W</f>
        <v>3.2545931758530187</v>
      </c>
      <c r="E431" s="107">
        <f ca="1">-C_6L/2</f>
        <v>-2.690288713910761</v>
      </c>
      <c r="F431" s="26">
        <f t="shared" ca="1" si="162"/>
        <v>3.2545931758530187</v>
      </c>
      <c r="G431" s="26">
        <f t="shared" ca="1" si="163"/>
        <v>-2.690288713910761</v>
      </c>
      <c r="H431" s="10"/>
      <c r="I431" s="10"/>
    </row>
    <row r="432" spans="1:9" ht="10.199999999999999" customHeight="1">
      <c r="A432" s="286" t="s">
        <v>206</v>
      </c>
      <c r="B432" s="286"/>
      <c r="C432" s="284">
        <f ca="1">1/COS(RADIANS(C_6TA))*(C_6W+C_6L+Spacing)</f>
        <v>8.956976731754688</v>
      </c>
      <c r="D432" s="107">
        <f>0</f>
        <v>0</v>
      </c>
      <c r="E432" s="107">
        <f ca="1">-C_6L/2</f>
        <v>-2.690288713910761</v>
      </c>
      <c r="F432" s="26">
        <f t="shared" si="162"/>
        <v>0</v>
      </c>
      <c r="G432" s="26">
        <f t="shared" ca="1" si="163"/>
        <v>-2.690288713910761</v>
      </c>
      <c r="H432" s="10"/>
      <c r="I432" s="10"/>
    </row>
    <row r="433" spans="1:9" ht="10.199999999999999" customHeight="1">
      <c r="A433" s="286" t="s">
        <v>207</v>
      </c>
      <c r="B433" s="286"/>
      <c r="C433" s="285">
        <f ca="1">+DEGREES(ATAN2(C_6W+C_6L+Spacing*2,C_6W*1.5+Spacing-C_6L/2))</f>
        <v>14.367543452763707</v>
      </c>
      <c r="D433" s="107">
        <f>0</f>
        <v>0</v>
      </c>
      <c r="E433" s="107">
        <f ca="1">+C_6L/2</f>
        <v>2.690288713910761</v>
      </c>
      <c r="F433" s="26">
        <f t="shared" ref="F433" si="164">+D433</f>
        <v>0</v>
      </c>
      <c r="G433" s="26">
        <f t="shared" ref="G433" ca="1" si="165">+E433</f>
        <v>2.690288713910761</v>
      </c>
      <c r="H433" s="10"/>
      <c r="I433" s="10"/>
    </row>
    <row r="434" spans="1:9" ht="10.199999999999999" customHeight="1">
      <c r="A434" s="105" t="s">
        <v>69</v>
      </c>
      <c r="B434" s="105"/>
      <c r="C434" s="163">
        <v>6</v>
      </c>
      <c r="D434" s="107">
        <f ca="1">+C_6W</f>
        <v>3.2545931758530187</v>
      </c>
      <c r="E434" s="107">
        <f>0</f>
        <v>0</v>
      </c>
      <c r="F434" s="26">
        <f t="shared" ref="F434:F441" ca="1" si="166">+D434</f>
        <v>3.2545931758530187</v>
      </c>
      <c r="G434" s="26">
        <f t="shared" ref="G434:G441" si="167">+E434</f>
        <v>0</v>
      </c>
      <c r="H434" s="10"/>
      <c r="I434" s="10"/>
    </row>
    <row r="435" spans="1:9" ht="10.199999999999999" customHeight="1">
      <c r="A435" s="105" t="s">
        <v>70</v>
      </c>
      <c r="B435" s="105"/>
      <c r="C435" s="164">
        <v>1</v>
      </c>
      <c r="D435" s="107">
        <f ca="1">+C_6W</f>
        <v>3.2545931758530187</v>
      </c>
      <c r="E435" s="107">
        <f ca="1">+C_6W</f>
        <v>3.2545931758530187</v>
      </c>
      <c r="F435" s="26">
        <f t="shared" ca="1" si="166"/>
        <v>3.2545931758530187</v>
      </c>
      <c r="G435" s="26">
        <f t="shared" ca="1" si="167"/>
        <v>3.2545931758530187</v>
      </c>
      <c r="H435" s="10"/>
      <c r="I435" s="10"/>
    </row>
    <row r="436" spans="1:9" ht="10.199999999999999" customHeight="1">
      <c r="A436" s="105" t="s">
        <v>51</v>
      </c>
      <c r="B436" s="105"/>
      <c r="C436" s="98">
        <f ca="1">C_6L*C_6W*C_6SC*C_6PC</f>
        <v>105.06954347242026</v>
      </c>
      <c r="D436" s="107">
        <f ca="1">+C_6W+C_6L</f>
        <v>8.6351706036745401</v>
      </c>
      <c r="E436" s="107">
        <f ca="1">+C_6W</f>
        <v>3.2545931758530187</v>
      </c>
      <c r="F436" s="26">
        <f t="shared" ca="1" si="166"/>
        <v>8.6351706036745401</v>
      </c>
      <c r="G436" s="26">
        <f t="shared" ca="1" si="167"/>
        <v>3.2545931758530187</v>
      </c>
      <c r="H436" s="10"/>
      <c r="I436" s="10"/>
    </row>
    <row r="437" spans="1:9" ht="10.199999999999999" customHeight="1">
      <c r="A437" s="105" t="s">
        <v>52</v>
      </c>
      <c r="B437" s="105"/>
      <c r="C437" s="281">
        <f ca="1">C_6PA*StraightLineWind</f>
        <v>1050.6954347242026</v>
      </c>
      <c r="D437" s="107">
        <f ca="1">+C_6W+C_6L</f>
        <v>8.6351706036745401</v>
      </c>
      <c r="E437" s="107">
        <f>0</f>
        <v>0</v>
      </c>
      <c r="F437" s="26">
        <f t="shared" ca="1" si="166"/>
        <v>8.6351706036745401</v>
      </c>
      <c r="G437" s="26">
        <f t="shared" si="167"/>
        <v>0</v>
      </c>
      <c r="H437" s="10"/>
      <c r="I437" s="10"/>
    </row>
    <row r="438" spans="1:9" ht="10.199999999999999" customHeight="1">
      <c r="A438" s="105" t="s">
        <v>82</v>
      </c>
      <c r="B438" s="105"/>
      <c r="C438" s="31">
        <f ca="1">+(C_6W/2*1+(C_6W+C_6L*0.5)*2+(C_6W+C_6L*1.5)*3)/(6)</f>
        <v>7.9155730533683295</v>
      </c>
      <c r="D438" s="107">
        <f ca="1">+C_6W</f>
        <v>3.2545931758530187</v>
      </c>
      <c r="E438" s="107">
        <f>0</f>
        <v>0</v>
      </c>
      <c r="F438" s="26">
        <f t="shared" ca="1" si="166"/>
        <v>3.2545931758530187</v>
      </c>
      <c r="G438" s="26">
        <f t="shared" si="167"/>
        <v>0</v>
      </c>
      <c r="H438" s="10"/>
      <c r="I438" s="10"/>
    </row>
    <row r="439" spans="1:9" ht="10.199999999999999" customHeight="1">
      <c r="A439" s="105" t="s">
        <v>83</v>
      </c>
      <c r="B439" s="105"/>
      <c r="C439" s="31">
        <f ca="1">+(C_6L/4*1+C_6W/2*2+C_6W*0.75*3)/(6)</f>
        <v>1.9870953630796151</v>
      </c>
      <c r="D439" s="107">
        <f ca="1">+C_6W</f>
        <v>3.2545931758530187</v>
      </c>
      <c r="E439" s="107">
        <f ca="1">-C_6W</f>
        <v>-3.2545931758530187</v>
      </c>
      <c r="F439" s="26">
        <f t="shared" ca="1" si="166"/>
        <v>3.2545931758530187</v>
      </c>
      <c r="G439" s="26">
        <f t="shared" ca="1" si="167"/>
        <v>-3.2545931758530187</v>
      </c>
      <c r="H439" s="10"/>
      <c r="I439" s="10"/>
    </row>
    <row r="440" spans="1:9" ht="10.199999999999999" customHeight="1">
      <c r="A440" s="105" t="s">
        <v>60</v>
      </c>
      <c r="B440" s="105"/>
      <c r="C440" s="282">
        <f ca="1">+C_6WL*C_6WTC</f>
        <v>2087.8320263493833</v>
      </c>
      <c r="D440" s="107">
        <f ca="1">+C_6W+C_6L</f>
        <v>8.6351706036745401</v>
      </c>
      <c r="E440" s="107">
        <f ca="1">-C_6W</f>
        <v>-3.2545931758530187</v>
      </c>
      <c r="F440" s="26">
        <f t="shared" ca="1" si="166"/>
        <v>8.6351706036745401</v>
      </c>
      <c r="G440" s="26">
        <f t="shared" ca="1" si="167"/>
        <v>-3.2545931758530187</v>
      </c>
      <c r="H440" s="10"/>
      <c r="I440" s="10"/>
    </row>
    <row r="441" spans="1:9" ht="10.199999999999999" customHeight="1">
      <c r="A441" s="105" t="s">
        <v>42</v>
      </c>
      <c r="B441" s="105"/>
      <c r="C441" s="32">
        <f ca="1">PWatt*C_6SC*C_6PC</f>
        <v>1500</v>
      </c>
      <c r="D441" s="107">
        <f ca="1">+C_6W+C_6L</f>
        <v>8.6351706036745401</v>
      </c>
      <c r="E441" s="107">
        <f>0</f>
        <v>0</v>
      </c>
      <c r="F441" s="26">
        <f t="shared" ca="1" si="166"/>
        <v>8.6351706036745401</v>
      </c>
      <c r="G441" s="26">
        <f t="shared" si="167"/>
        <v>0</v>
      </c>
      <c r="H441" s="10"/>
      <c r="I441" s="10"/>
    </row>
    <row r="442" spans="1:9" ht="10.199999999999999" customHeight="1">
      <c r="A442" s="105" t="s">
        <v>36</v>
      </c>
      <c r="B442" s="105"/>
      <c r="C442" s="33">
        <f ca="1">PVmp*C_6SC</f>
        <v>183</v>
      </c>
      <c r="D442" s="107">
        <f ca="1">+C_6W+C_6L</f>
        <v>8.6351706036745401</v>
      </c>
      <c r="E442" s="107">
        <f ca="1">+C_6W</f>
        <v>3.2545931758530187</v>
      </c>
      <c r="F442" s="26">
        <f t="shared" ref="F442:F444" ca="1" si="168">+D442</f>
        <v>8.6351706036745401</v>
      </c>
      <c r="G442" s="26">
        <f t="shared" ref="G442:G444" ca="1" si="169">+E442</f>
        <v>3.2545931758530187</v>
      </c>
      <c r="H442" s="10"/>
      <c r="I442" s="10"/>
    </row>
    <row r="443" spans="1:9" ht="10.199999999999999" customHeight="1">
      <c r="A443" s="105" t="s">
        <v>37</v>
      </c>
      <c r="B443" s="105"/>
      <c r="C443" s="34">
        <f ca="1">PVoc*C_6SC</f>
        <v>223.20000000000002</v>
      </c>
      <c r="D443" s="107">
        <f ca="1">+C_6W+C_6L</f>
        <v>8.6351706036745401</v>
      </c>
      <c r="E443" s="107">
        <f ca="1">C_6W*3/2</f>
        <v>4.8818897637795278</v>
      </c>
      <c r="F443" s="26">
        <f t="shared" ca="1" si="168"/>
        <v>8.6351706036745401</v>
      </c>
      <c r="G443" s="26">
        <f t="shared" ca="1" si="169"/>
        <v>4.8818897637795278</v>
      </c>
      <c r="H443" s="10"/>
      <c r="I443" s="10"/>
    </row>
    <row r="444" spans="1:9" ht="10.199999999999999" customHeight="1">
      <c r="A444" s="105" t="s">
        <v>43</v>
      </c>
      <c r="B444" s="105"/>
      <c r="C444" s="35">
        <f ca="1">PImp*C_6PC</f>
        <v>8.1999999999999993</v>
      </c>
      <c r="D444" s="107">
        <f ca="1">+C_6W+C_6L*2</f>
        <v>14.015748031496063</v>
      </c>
      <c r="E444" s="107">
        <f ca="1">C_6W*3/2</f>
        <v>4.8818897637795278</v>
      </c>
      <c r="F444" s="26">
        <f t="shared" ca="1" si="168"/>
        <v>14.015748031496063</v>
      </c>
      <c r="G444" s="26">
        <f t="shared" ca="1" si="169"/>
        <v>4.8818897637795278</v>
      </c>
      <c r="H444" s="10"/>
      <c r="I444" s="10"/>
    </row>
    <row r="445" spans="1:9" ht="10.199999999999999" customHeight="1">
      <c r="A445" s="105" t="s">
        <v>44</v>
      </c>
      <c r="B445" s="105"/>
      <c r="C445" s="36">
        <f ca="1">PIsc*C_6PC</f>
        <v>8.8000000000000007</v>
      </c>
      <c r="D445" s="107">
        <f ca="1">+C_6W+C_6L</f>
        <v>8.6351706036745401</v>
      </c>
      <c r="E445" s="107">
        <f ca="1">-C_6W</f>
        <v>-3.2545931758530187</v>
      </c>
      <c r="F445" s="26">
        <f t="shared" ref="F445:F447" ca="1" si="170">+D445</f>
        <v>8.6351706036745401</v>
      </c>
      <c r="G445" s="26">
        <f t="shared" ref="G445:G447" ca="1" si="171">+E445</f>
        <v>-3.2545931758530187</v>
      </c>
      <c r="H445" s="10"/>
      <c r="I445" s="10"/>
    </row>
    <row r="446" spans="1:9" ht="10.199999999999999" customHeight="1">
      <c r="D446" s="107">
        <f ca="1">+C_6W+C_6L</f>
        <v>8.6351706036745401</v>
      </c>
      <c r="E446" s="107">
        <f ca="1">-C_6W*3/2</f>
        <v>-4.8818897637795278</v>
      </c>
      <c r="F446" s="26">
        <f t="shared" ca="1" si="170"/>
        <v>8.6351706036745401</v>
      </c>
      <c r="G446" s="26">
        <f t="shared" ca="1" si="171"/>
        <v>-4.8818897637795278</v>
      </c>
      <c r="H446" s="10"/>
      <c r="I446" s="10"/>
    </row>
    <row r="447" spans="1:9" ht="10.199999999999999" customHeight="1">
      <c r="A447" s="22"/>
      <c r="B447" s="22"/>
      <c r="C447" s="9"/>
      <c r="D447" s="107">
        <f ca="1">+C_6W+C_6L*2</f>
        <v>14.015748031496063</v>
      </c>
      <c r="E447" s="107">
        <f ca="1">-C_6W*3/2</f>
        <v>-4.8818897637795278</v>
      </c>
      <c r="F447" s="26">
        <f t="shared" ca="1" si="170"/>
        <v>14.015748031496063</v>
      </c>
      <c r="G447" s="26">
        <f t="shared" ca="1" si="171"/>
        <v>-4.8818897637795278</v>
      </c>
      <c r="H447" s="10"/>
      <c r="I447" s="10"/>
    </row>
    <row r="448" spans="1:9" ht="10.199999999999999" customHeight="1">
      <c r="A448" s="22"/>
      <c r="B448" s="22"/>
      <c r="C448" s="9"/>
      <c r="D448" s="107">
        <f ca="1">+C_6W+C_6L*2</f>
        <v>14.015748031496063</v>
      </c>
      <c r="E448" s="107">
        <f ca="1">C_6W*3/2</f>
        <v>4.8818897637795278</v>
      </c>
      <c r="F448" s="26">
        <f t="shared" ref="F448" ca="1" si="172">+D448</f>
        <v>14.015748031496063</v>
      </c>
      <c r="G448" s="26">
        <f t="shared" ref="G448" ca="1" si="173">+E448</f>
        <v>4.8818897637795278</v>
      </c>
      <c r="H448" s="10"/>
      <c r="I448" s="10"/>
    </row>
    <row r="449" spans="1:9" ht="10.199999999999999" customHeight="1">
      <c r="A449" s="22"/>
      <c r="B449" s="22"/>
      <c r="C449" s="9"/>
      <c r="D449" s="107">
        <f ca="1">+C_6W+C_6L</f>
        <v>8.6351706036745401</v>
      </c>
      <c r="E449" s="107">
        <f ca="1">C_6W/2</f>
        <v>1.6272965879265093</v>
      </c>
      <c r="F449" s="26">
        <f t="shared" ref="F449:F450" ca="1" si="174">+D449</f>
        <v>8.6351706036745401</v>
      </c>
      <c r="G449" s="26">
        <f t="shared" ref="G449:G450" ca="1" si="175">+E449</f>
        <v>1.6272965879265093</v>
      </c>
      <c r="H449" s="10"/>
      <c r="I449" s="10"/>
    </row>
    <row r="450" spans="1:9" ht="10.199999999999999" customHeight="1">
      <c r="A450" s="22"/>
      <c r="B450" s="22"/>
      <c r="C450" s="9"/>
      <c r="D450" s="107">
        <f ca="1">+C_6W+C_6L*2</f>
        <v>14.015748031496063</v>
      </c>
      <c r="E450" s="107">
        <f ca="1">C_6W/2</f>
        <v>1.6272965879265093</v>
      </c>
      <c r="F450" s="26">
        <f t="shared" ca="1" si="174"/>
        <v>14.015748031496063</v>
      </c>
      <c r="G450" s="26">
        <f t="shared" ca="1" si="175"/>
        <v>1.6272965879265093</v>
      </c>
      <c r="H450" s="10"/>
      <c r="I450" s="10"/>
    </row>
    <row r="451" spans="1:9" ht="10.199999999999999" customHeight="1">
      <c r="A451" s="22"/>
      <c r="B451" s="22"/>
      <c r="C451" s="9"/>
      <c r="D451" s="107">
        <f ca="1">+C_6W+C_6L</f>
        <v>8.6351706036745401</v>
      </c>
      <c r="E451" s="107">
        <f ca="1">-C_6W/2</f>
        <v>-1.6272965879265093</v>
      </c>
      <c r="F451" s="26">
        <f t="shared" ref="F451:F452" ca="1" si="176">+D451</f>
        <v>8.6351706036745401</v>
      </c>
      <c r="G451" s="26">
        <f t="shared" ref="G451:G452" ca="1" si="177">+E451</f>
        <v>-1.6272965879265093</v>
      </c>
      <c r="H451" s="10"/>
      <c r="I451" s="10"/>
    </row>
    <row r="452" spans="1:9" ht="10.199999999999999" customHeight="1">
      <c r="A452" s="22"/>
      <c r="B452" s="22"/>
      <c r="C452" s="9"/>
      <c r="D452" s="107">
        <f ca="1">+C_6W+C_6L*2</f>
        <v>14.015748031496063</v>
      </c>
      <c r="E452" s="107">
        <f ca="1">-C_6W/2</f>
        <v>-1.6272965879265093</v>
      </c>
      <c r="F452" s="26">
        <f t="shared" ca="1" si="176"/>
        <v>14.015748031496063</v>
      </c>
      <c r="G452" s="26">
        <f t="shared" ca="1" si="177"/>
        <v>-1.6272965879265093</v>
      </c>
      <c r="H452" s="10"/>
      <c r="I452" s="10"/>
    </row>
    <row r="453" spans="1:9" ht="10.199999999999999" customHeight="1">
      <c r="A453" s="22"/>
      <c r="B453" s="22"/>
      <c r="C453" s="9" t="s">
        <v>53</v>
      </c>
      <c r="D453" s="107">
        <f ca="1">+C_6WC-E453</f>
        <v>7.6162456255468074</v>
      </c>
      <c r="E453" s="107">
        <f ca="1">AVERAGE(C_6PL,C_6PWHE)/CM</f>
        <v>0.29932742782152233</v>
      </c>
      <c r="F453" s="26">
        <f t="shared" ref="F453" ca="1" si="178">+D453</f>
        <v>7.6162456255468074</v>
      </c>
      <c r="G453" s="26">
        <f t="shared" ref="G453" ca="1" si="179">+E453</f>
        <v>0.29932742782152233</v>
      </c>
      <c r="H453" s="10"/>
      <c r="I453" s="10"/>
    </row>
    <row r="454" spans="1:9" ht="10.199999999999999" customHeight="1">
      <c r="A454" s="22"/>
      <c r="B454" s="22"/>
      <c r="C454" s="9"/>
      <c r="D454" s="107">
        <f ca="1">+C_6WC+E453</f>
        <v>8.2149004811898525</v>
      </c>
      <c r="E454" s="107">
        <f ca="1">-E453</f>
        <v>-0.29932742782152233</v>
      </c>
      <c r="F454" s="26">
        <f ca="1">+D454</f>
        <v>8.2149004811898525</v>
      </c>
      <c r="G454" s="26">
        <f ca="1">+E454</f>
        <v>-0.29932742782152233</v>
      </c>
      <c r="H454" s="10"/>
      <c r="I454" s="10"/>
    </row>
    <row r="455" spans="1:9" ht="10.199999999999999" customHeight="1">
      <c r="A455" s="22"/>
      <c r="B455" s="22"/>
      <c r="C455" s="9" t="s">
        <v>41</v>
      </c>
      <c r="D455" s="107">
        <f ca="1">D454</f>
        <v>8.2149004811898525</v>
      </c>
      <c r="E455" s="107">
        <f ca="1">E453</f>
        <v>0.29932742782152233</v>
      </c>
      <c r="F455" s="26">
        <f t="shared" ref="F455" ca="1" si="180">+D455</f>
        <v>8.2149004811898525</v>
      </c>
      <c r="G455" s="26">
        <f t="shared" ref="G455" ca="1" si="181">+E455</f>
        <v>0.29932742782152233</v>
      </c>
      <c r="H455" s="10"/>
      <c r="I455" s="10"/>
    </row>
    <row r="456" spans="1:9" ht="10.199999999999999" customHeight="1">
      <c r="A456" s="22"/>
      <c r="B456" s="22"/>
      <c r="C456" s="9"/>
      <c r="D456" s="107">
        <f ca="1">D453</f>
        <v>7.6162456255468074</v>
      </c>
      <c r="E456" s="107">
        <f ca="1">-E453</f>
        <v>-0.29932742782152233</v>
      </c>
      <c r="F456" s="26">
        <f t="shared" ref="F456:G460" ca="1" si="182">+D456</f>
        <v>7.6162456255468074</v>
      </c>
      <c r="G456" s="26">
        <f t="shared" ca="1" si="182"/>
        <v>-0.29932742782152233</v>
      </c>
      <c r="H456" s="10"/>
      <c r="I456" s="10"/>
    </row>
    <row r="457" spans="1:9" ht="10.199999999999999" customHeight="1">
      <c r="A457" s="22"/>
      <c r="B457" s="22"/>
      <c r="C457" s="9" t="s">
        <v>54</v>
      </c>
      <c r="D457" s="107">
        <f ca="1">+D454</f>
        <v>8.2149004811898525</v>
      </c>
      <c r="E457" s="107">
        <f ca="1">+C_6WTC-E453</f>
        <v>1.6877679352580928</v>
      </c>
      <c r="F457" s="26">
        <f t="shared" ca="1" si="182"/>
        <v>8.2149004811898525</v>
      </c>
      <c r="G457" s="26">
        <f t="shared" ca="1" si="182"/>
        <v>1.6877679352580928</v>
      </c>
      <c r="H457" s="10"/>
      <c r="I457" s="10"/>
    </row>
    <row r="458" spans="1:9" ht="10.199999999999999" customHeight="1">
      <c r="A458" s="22"/>
      <c r="B458" s="22"/>
      <c r="C458" s="9"/>
      <c r="D458" s="107">
        <f ca="1">+D453</f>
        <v>7.6162456255468074</v>
      </c>
      <c r="E458" s="107">
        <f ca="1">+C_6WTC+E453</f>
        <v>2.2864227909011374</v>
      </c>
      <c r="F458" s="26">
        <f t="shared" ca="1" si="182"/>
        <v>7.6162456255468074</v>
      </c>
      <c r="G458" s="26">
        <f t="shared" ca="1" si="182"/>
        <v>2.2864227909011374</v>
      </c>
      <c r="H458" s="10"/>
      <c r="I458" s="10"/>
    </row>
    <row r="459" spans="1:9" ht="10.199999999999999" customHeight="1">
      <c r="A459" s="22"/>
      <c r="B459" s="22"/>
      <c r="C459" s="9" t="s">
        <v>41</v>
      </c>
      <c r="D459" s="107">
        <f ca="1">+D454</f>
        <v>8.2149004811898525</v>
      </c>
      <c r="E459" s="107">
        <f ca="1">E458</f>
        <v>2.2864227909011374</v>
      </c>
      <c r="F459" s="26">
        <f t="shared" ca="1" si="182"/>
        <v>8.2149004811898525</v>
      </c>
      <c r="G459" s="26">
        <f t="shared" ca="1" si="182"/>
        <v>2.2864227909011374</v>
      </c>
      <c r="H459" s="10"/>
      <c r="I459" s="12"/>
    </row>
    <row r="460" spans="1:9" ht="10.199999999999999" customHeight="1">
      <c r="A460" s="22"/>
      <c r="B460" s="22"/>
      <c r="C460" s="9"/>
      <c r="D460" s="107">
        <f ca="1">D453</f>
        <v>7.6162456255468074</v>
      </c>
      <c r="E460" s="107">
        <f ca="1">+E457</f>
        <v>1.6877679352580928</v>
      </c>
      <c r="F460" s="26">
        <f t="shared" ca="1" si="182"/>
        <v>7.6162456255468074</v>
      </c>
      <c r="G460" s="26">
        <f t="shared" ca="1" si="182"/>
        <v>1.6877679352580928</v>
      </c>
      <c r="H460" s="10"/>
      <c r="I460" s="10"/>
    </row>
    <row r="461" spans="1:9" ht="10.199999999999999" customHeight="1">
      <c r="A461" s="22"/>
      <c r="B461" s="22"/>
      <c r="C461" s="9" t="s">
        <v>205</v>
      </c>
      <c r="D461" s="107">
        <f>0</f>
        <v>0</v>
      </c>
      <c r="E461" s="107">
        <f ca="1">+C_6L/2</f>
        <v>2.690288713910761</v>
      </c>
      <c r="F461" s="26">
        <f t="shared" ref="F461:F463" si="183">+D461</f>
        <v>0</v>
      </c>
      <c r="G461" s="26">
        <f t="shared" ref="G461:G463" ca="1" si="184">+E461</f>
        <v>2.690288713910761</v>
      </c>
      <c r="H461" s="10"/>
      <c r="I461" s="10"/>
    </row>
    <row r="462" spans="1:9" ht="10.199999999999999" customHeight="1">
      <c r="A462" s="22"/>
      <c r="B462" s="22"/>
      <c r="D462" s="107">
        <f ca="1">C_6W+C_6L</f>
        <v>8.6351706036745401</v>
      </c>
      <c r="E462" s="107">
        <f ca="1">+C_6W+C_6W/2</f>
        <v>4.8818897637795278</v>
      </c>
      <c r="F462" s="26">
        <f t="shared" ca="1" si="183"/>
        <v>8.6351706036745401</v>
      </c>
      <c r="G462" s="26">
        <f t="shared" ca="1" si="184"/>
        <v>4.8818897637795278</v>
      </c>
      <c r="H462" s="10"/>
      <c r="I462" s="10"/>
    </row>
    <row r="463" spans="1:9" ht="10.199999999999999" customHeight="1">
      <c r="A463" s="22"/>
      <c r="B463" s="22"/>
      <c r="D463" s="107">
        <f ca="1">D462</f>
        <v>8.6351706036745401</v>
      </c>
      <c r="E463" s="107">
        <f ca="1">-E462</f>
        <v>-4.8818897637795278</v>
      </c>
      <c r="F463" s="26">
        <f t="shared" ca="1" si="183"/>
        <v>8.6351706036745401</v>
      </c>
      <c r="G463" s="26">
        <f t="shared" ca="1" si="184"/>
        <v>-4.8818897637795278</v>
      </c>
    </row>
    <row r="464" spans="1:9" ht="10.199999999999999" customHeight="1">
      <c r="A464" s="22"/>
      <c r="B464" s="22"/>
      <c r="C464" s="9"/>
      <c r="D464" s="107">
        <f>0</f>
        <v>0</v>
      </c>
      <c r="E464" s="107">
        <f ca="1">-E461</f>
        <v>-2.690288713910761</v>
      </c>
      <c r="F464" s="26">
        <f t="shared" ref="F464" si="185">+D464</f>
        <v>0</v>
      </c>
      <c r="G464" s="26">
        <f t="shared" ref="G464" ca="1" si="186">+E464</f>
        <v>-2.690288713910761</v>
      </c>
      <c r="H464" s="10"/>
      <c r="I464" s="10"/>
    </row>
    <row r="465" spans="1:9" ht="10.199999999999999" customHeight="1">
      <c r="A465" s="22"/>
      <c r="B465" s="22"/>
      <c r="C465" s="9"/>
      <c r="D465" s="107"/>
      <c r="E465" s="107"/>
      <c r="F465" s="26"/>
      <c r="G465" s="26"/>
      <c r="H465" s="10"/>
      <c r="I465" s="10"/>
    </row>
    <row r="466" spans="1:9" ht="10.199999999999999" customHeight="1">
      <c r="A466" s="305" t="s">
        <v>322</v>
      </c>
      <c r="B466" s="304"/>
      <c r="C466" s="23" t="str">
        <f ca="1">PModel</f>
        <v>SS250-60P</v>
      </c>
      <c r="D466" s="300">
        <f ca="1">+PLFt</f>
        <v>5.3805774278215219</v>
      </c>
      <c r="E466" s="300">
        <f ca="1">+PWFt</f>
        <v>3.2545931758530187</v>
      </c>
      <c r="F466" s="26"/>
      <c r="G466" s="26"/>
    </row>
    <row r="467" spans="1:9" ht="10.199999999999999" customHeight="1">
      <c r="A467" s="286" t="s">
        <v>8</v>
      </c>
      <c r="B467" s="286"/>
      <c r="C467" s="283">
        <f ca="1">+C_10L*4+Spacing*3</f>
        <v>21.647309711286088</v>
      </c>
      <c r="D467" s="107">
        <f ca="1">+C_10L*4</f>
        <v>21.522309711286088</v>
      </c>
      <c r="E467" s="107">
        <f ca="1">C_10W*2</f>
        <v>6.5091863517060373</v>
      </c>
      <c r="F467" s="26">
        <f t="shared" ref="F467:F485" ca="1" si="187">+D467</f>
        <v>21.522309711286088</v>
      </c>
      <c r="G467" s="26">
        <f t="shared" ref="G467:G485" ca="1" si="188">+E467</f>
        <v>6.5091863517060373</v>
      </c>
      <c r="H467" s="10"/>
      <c r="I467" s="10"/>
    </row>
    <row r="468" spans="1:9" ht="10.199999999999999" customHeight="1">
      <c r="A468" s="286" t="s">
        <v>0</v>
      </c>
      <c r="B468" s="286"/>
      <c r="C468" s="284">
        <f ca="1">+C_10W</f>
        <v>3.2545931758530187</v>
      </c>
      <c r="D468" s="107">
        <f ca="1">+C_10L*3</f>
        <v>16.141732283464567</v>
      </c>
      <c r="E468" s="107">
        <f ca="1">C_10W*2</f>
        <v>6.5091863517060373</v>
      </c>
      <c r="F468" s="26">
        <f t="shared" ca="1" si="187"/>
        <v>16.141732283464567</v>
      </c>
      <c r="G468" s="26">
        <f t="shared" ca="1" si="188"/>
        <v>6.5091863517060373</v>
      </c>
      <c r="H468" s="10"/>
      <c r="I468" s="10"/>
    </row>
    <row r="469" spans="1:9" ht="10.199999999999999" customHeight="1">
      <c r="A469" s="286" t="s">
        <v>2</v>
      </c>
      <c r="B469" s="286"/>
      <c r="C469" s="284">
        <f ca="1">+C_10W*4+Spacing*3</f>
        <v>13.143372703412075</v>
      </c>
      <c r="D469" s="107">
        <f ca="1">+C_10L*3</f>
        <v>16.141732283464567</v>
      </c>
      <c r="E469" s="107">
        <f ca="1">C_10W*1.5</f>
        <v>4.8818897637795278</v>
      </c>
      <c r="F469" s="26">
        <f t="shared" ca="1" si="187"/>
        <v>16.141732283464567</v>
      </c>
      <c r="G469" s="26">
        <f t="shared" ca="1" si="188"/>
        <v>4.8818897637795278</v>
      </c>
      <c r="H469" s="10"/>
      <c r="I469" s="10"/>
    </row>
    <row r="470" spans="1:9" ht="10.199999999999999" customHeight="1">
      <c r="A470" s="286" t="s">
        <v>206</v>
      </c>
      <c r="B470" s="286"/>
      <c r="C470" s="284">
        <f ca="1">1/COS(RADIANS(C_10TA))*(C_10L*3+Spacing*3)</f>
        <v>17.019856764630795</v>
      </c>
      <c r="D470" s="107">
        <f ca="1">+C_10L*2</f>
        <v>10.761154855643044</v>
      </c>
      <c r="E470" s="107">
        <f ca="1">C_10W*1.5</f>
        <v>4.8818897637795278</v>
      </c>
      <c r="F470" s="26">
        <f t="shared" ca="1" si="187"/>
        <v>10.761154855643044</v>
      </c>
      <c r="G470" s="26">
        <f t="shared" ca="1" si="188"/>
        <v>4.8818897637795278</v>
      </c>
      <c r="H470" s="10"/>
      <c r="I470" s="10"/>
    </row>
    <row r="471" spans="1:9" ht="10.199999999999999" customHeight="1">
      <c r="A471" s="286" t="s">
        <v>207</v>
      </c>
      <c r="B471" s="286"/>
      <c r="C471" s="285">
        <f ca="1">+DEGREES(ATAN2(C_10L+Spacing,C_10W/2+Spacing))</f>
        <v>17.108331896465334</v>
      </c>
      <c r="D471" s="107">
        <f ca="1">+C_10L*2</f>
        <v>10.761154855643044</v>
      </c>
      <c r="E471" s="107">
        <f ca="1">C_10W*1</f>
        <v>3.2545931758530187</v>
      </c>
      <c r="F471" s="26">
        <f t="shared" ca="1" si="187"/>
        <v>10.761154855643044</v>
      </c>
      <c r="G471" s="26">
        <f t="shared" ca="1" si="188"/>
        <v>3.2545931758530187</v>
      </c>
      <c r="H471" s="10"/>
      <c r="I471" s="10"/>
    </row>
    <row r="472" spans="1:9" ht="10.199999999999999" customHeight="1">
      <c r="A472" s="105" t="s">
        <v>69</v>
      </c>
      <c r="B472" s="105"/>
      <c r="C472" s="163">
        <v>5</v>
      </c>
      <c r="D472" s="107">
        <f ca="1">+C_10L*1</f>
        <v>5.3805774278215219</v>
      </c>
      <c r="E472" s="107">
        <f ca="1">C_10W*1</f>
        <v>3.2545931758530187</v>
      </c>
      <c r="F472" s="26">
        <f t="shared" ca="1" si="187"/>
        <v>5.3805774278215219</v>
      </c>
      <c r="G472" s="26">
        <f t="shared" ca="1" si="188"/>
        <v>3.2545931758530187</v>
      </c>
      <c r="H472" s="10"/>
      <c r="I472" s="10"/>
    </row>
    <row r="473" spans="1:9" ht="10.199999999999999" customHeight="1">
      <c r="A473" s="105" t="s">
        <v>70</v>
      </c>
      <c r="B473" s="105"/>
      <c r="C473" s="164">
        <v>2</v>
      </c>
      <c r="D473" s="107">
        <f ca="1">+C_10L*1</f>
        <v>5.3805774278215219</v>
      </c>
      <c r="E473" s="107">
        <f ca="1">C_10W*0.5</f>
        <v>1.6272965879265093</v>
      </c>
      <c r="F473" s="26">
        <f t="shared" ca="1" si="187"/>
        <v>5.3805774278215219</v>
      </c>
      <c r="G473" s="26">
        <f t="shared" ca="1" si="188"/>
        <v>1.6272965879265093</v>
      </c>
      <c r="H473" s="10"/>
      <c r="I473" s="10"/>
    </row>
    <row r="474" spans="1:9" ht="10.199999999999999" customHeight="1">
      <c r="A474" s="105" t="s">
        <v>51</v>
      </c>
      <c r="B474" s="105"/>
      <c r="C474" s="98">
        <f ca="1">+C_10L*C_10W*C_10SC*C_10PC</f>
        <v>175.11590578736713</v>
      </c>
      <c r="D474" s="107">
        <f ca="1">+C_10L*0</f>
        <v>0</v>
      </c>
      <c r="E474" s="107">
        <f ca="1">C_10W*0.5</f>
        <v>1.6272965879265093</v>
      </c>
      <c r="F474" s="26">
        <f t="shared" ca="1" si="187"/>
        <v>0</v>
      </c>
      <c r="G474" s="26">
        <f t="shared" ca="1" si="188"/>
        <v>1.6272965879265093</v>
      </c>
      <c r="H474" s="10"/>
      <c r="I474" s="10"/>
    </row>
    <row r="475" spans="1:9" ht="10.199999999999999" customHeight="1">
      <c r="A475" s="105" t="s">
        <v>52</v>
      </c>
      <c r="B475" s="105"/>
      <c r="C475" s="281">
        <f ca="1">C_10PA*StraightLineWind</f>
        <v>1751.1590578736714</v>
      </c>
      <c r="D475" s="107">
        <f ca="1">+C_10L*0</f>
        <v>0</v>
      </c>
      <c r="E475" s="107">
        <f ca="1">C_10W*-0.5</f>
        <v>-1.6272965879265093</v>
      </c>
      <c r="F475" s="26">
        <f t="shared" ca="1" si="187"/>
        <v>0</v>
      </c>
      <c r="G475" s="26">
        <f t="shared" ca="1" si="188"/>
        <v>-1.6272965879265093</v>
      </c>
      <c r="H475" s="10"/>
      <c r="I475" s="10"/>
    </row>
    <row r="476" spans="1:9" ht="10.199999999999999" customHeight="1">
      <c r="A476" s="105" t="s">
        <v>57</v>
      </c>
      <c r="B476" s="105"/>
      <c r="C476" s="31">
        <f ca="1">+(C_10L/2*1+C_10L*1.5*2+C_10L*2.5*3+C_10L*3.5*4)/(10)</f>
        <v>13.451443569553806</v>
      </c>
      <c r="D476" s="107">
        <f ca="1">+C_10L*1</f>
        <v>5.3805774278215219</v>
      </c>
      <c r="E476" s="107">
        <f ca="1">C_10W*-0.5</f>
        <v>-1.6272965879265093</v>
      </c>
      <c r="F476" s="26">
        <f t="shared" ca="1" si="187"/>
        <v>5.3805774278215219</v>
      </c>
      <c r="G476" s="26">
        <f t="shared" ca="1" si="188"/>
        <v>-1.6272965879265093</v>
      </c>
      <c r="H476" s="10"/>
      <c r="I476" s="10"/>
    </row>
    <row r="477" spans="1:9" ht="10.199999999999999" customHeight="1">
      <c r="A477" s="105" t="s">
        <v>58</v>
      </c>
      <c r="B477" s="105"/>
      <c r="C477" s="31">
        <f ca="1">+(C_10W/4*1+C_10W/2*2+C_10W*0.75*3+C_10W*1*4)/(10)</f>
        <v>2.4409448818897639</v>
      </c>
      <c r="D477" s="107">
        <f ca="1">+C_10L*1</f>
        <v>5.3805774278215219</v>
      </c>
      <c r="E477" s="107">
        <f ca="1">C_10W*-1</f>
        <v>-3.2545931758530187</v>
      </c>
      <c r="F477" s="26">
        <f t="shared" ca="1" si="187"/>
        <v>5.3805774278215219</v>
      </c>
      <c r="G477" s="26">
        <f t="shared" ca="1" si="188"/>
        <v>-3.2545931758530187</v>
      </c>
      <c r="H477" s="10"/>
      <c r="I477" s="10"/>
    </row>
    <row r="478" spans="1:9" ht="10.199999999999999" customHeight="1">
      <c r="A478" s="105" t="s">
        <v>60</v>
      </c>
      <c r="B478" s="105"/>
      <c r="C478" s="282">
        <f ca="1">+C_10WL*C_10WTC</f>
        <v>4274.4827396916389</v>
      </c>
      <c r="D478" s="107">
        <f ca="1">+C_10L*2</f>
        <v>10.761154855643044</v>
      </c>
      <c r="E478" s="107">
        <f ca="1">C_10W*-1</f>
        <v>-3.2545931758530187</v>
      </c>
      <c r="F478" s="26">
        <f t="shared" ca="1" si="187"/>
        <v>10.761154855643044</v>
      </c>
      <c r="G478" s="26">
        <f t="shared" ca="1" si="188"/>
        <v>-3.2545931758530187</v>
      </c>
      <c r="H478" s="10"/>
      <c r="I478" s="10"/>
    </row>
    <row r="479" spans="1:9" ht="10.199999999999999" customHeight="1">
      <c r="A479" s="105" t="s">
        <v>42</v>
      </c>
      <c r="B479" s="105"/>
      <c r="C479" s="32">
        <f ca="1">PWatt*C_10SC*C_10PC</f>
        <v>2500</v>
      </c>
      <c r="D479" s="107">
        <f ca="1">+C_10L*2</f>
        <v>10.761154855643044</v>
      </c>
      <c r="E479" s="107">
        <f ca="1">C_10W*-1.5</f>
        <v>-4.8818897637795278</v>
      </c>
      <c r="F479" s="26">
        <f t="shared" ca="1" si="187"/>
        <v>10.761154855643044</v>
      </c>
      <c r="G479" s="26">
        <f t="shared" ca="1" si="188"/>
        <v>-4.8818897637795278</v>
      </c>
      <c r="H479" s="10"/>
      <c r="I479" s="10"/>
    </row>
    <row r="480" spans="1:9" ht="10.199999999999999" customHeight="1">
      <c r="A480" s="105" t="s">
        <v>36</v>
      </c>
      <c r="B480" s="105"/>
      <c r="C480" s="33">
        <f ca="1">PVmp*C_10SC</f>
        <v>152.5</v>
      </c>
      <c r="D480" s="107">
        <f ca="1">+C_10L*3</f>
        <v>16.141732283464567</v>
      </c>
      <c r="E480" s="107">
        <f ca="1">C_10W*-1.5</f>
        <v>-4.8818897637795278</v>
      </c>
      <c r="F480" s="26">
        <f t="shared" ca="1" si="187"/>
        <v>16.141732283464567</v>
      </c>
      <c r="G480" s="26">
        <f t="shared" ca="1" si="188"/>
        <v>-4.8818897637795278</v>
      </c>
      <c r="H480" s="10"/>
      <c r="I480" s="10"/>
    </row>
    <row r="481" spans="1:9" ht="10.199999999999999" customHeight="1">
      <c r="A481" s="105" t="s">
        <v>37</v>
      </c>
      <c r="B481" s="105"/>
      <c r="C481" s="34">
        <f ca="1">PVoc*C_10SC</f>
        <v>186</v>
      </c>
      <c r="D481" s="107">
        <f ca="1">+C_10L*3</f>
        <v>16.141732283464567</v>
      </c>
      <c r="E481" s="107">
        <f ca="1">C_10W*-2</f>
        <v>-6.5091863517060373</v>
      </c>
      <c r="F481" s="26">
        <f t="shared" ca="1" si="187"/>
        <v>16.141732283464567</v>
      </c>
      <c r="G481" s="26">
        <f t="shared" ca="1" si="188"/>
        <v>-6.5091863517060373</v>
      </c>
      <c r="H481" s="10"/>
      <c r="I481" s="10"/>
    </row>
    <row r="482" spans="1:9" ht="10.199999999999999" customHeight="1">
      <c r="A482" s="105" t="s">
        <v>43</v>
      </c>
      <c r="B482" s="105"/>
      <c r="C482" s="35">
        <f ca="1">PImp*C_10PC</f>
        <v>16.399999999999999</v>
      </c>
      <c r="D482" s="107">
        <f ca="1">+C_10L*4</f>
        <v>21.522309711286088</v>
      </c>
      <c r="E482" s="107">
        <f ca="1">C_10W*-2</f>
        <v>-6.5091863517060373</v>
      </c>
      <c r="F482" s="26">
        <f t="shared" ca="1" si="187"/>
        <v>21.522309711286088</v>
      </c>
      <c r="G482" s="26">
        <f t="shared" ca="1" si="188"/>
        <v>-6.5091863517060373</v>
      </c>
      <c r="H482" s="10"/>
      <c r="I482" s="10"/>
    </row>
    <row r="483" spans="1:9" ht="10.199999999999999" customHeight="1">
      <c r="A483" s="105" t="s">
        <v>44</v>
      </c>
      <c r="B483" s="105"/>
      <c r="C483" s="36">
        <f ca="1">PIsc*C_10PC</f>
        <v>17.600000000000001</v>
      </c>
      <c r="D483" s="107">
        <f ca="1">+C_10L*4</f>
        <v>21.522309711286088</v>
      </c>
      <c r="E483" s="107">
        <f ca="1">C_10W*-1</f>
        <v>-3.2545931758530187</v>
      </c>
      <c r="F483" s="26">
        <f t="shared" ca="1" si="187"/>
        <v>21.522309711286088</v>
      </c>
      <c r="G483" s="26">
        <f t="shared" ca="1" si="188"/>
        <v>-3.2545931758530187</v>
      </c>
      <c r="H483" s="10"/>
      <c r="I483" s="10"/>
    </row>
    <row r="484" spans="1:9" ht="10.199999999999999" customHeight="1">
      <c r="A484" s="22"/>
      <c r="B484" s="22"/>
      <c r="C484" s="9"/>
      <c r="D484" s="107">
        <f ca="1">+C_10L*3</f>
        <v>16.141732283464567</v>
      </c>
      <c r="E484" s="107">
        <f ca="1">C_10W*-1</f>
        <v>-3.2545931758530187</v>
      </c>
      <c r="F484" s="26">
        <f t="shared" ca="1" si="187"/>
        <v>16.141732283464567</v>
      </c>
      <c r="G484" s="26">
        <f t="shared" ca="1" si="188"/>
        <v>-3.2545931758530187</v>
      </c>
      <c r="H484" s="10"/>
      <c r="I484" s="10"/>
    </row>
    <row r="485" spans="1:9" ht="10.199999999999999" customHeight="1">
      <c r="A485" s="22"/>
      <c r="B485" s="22"/>
      <c r="C485" s="9"/>
      <c r="D485" s="107">
        <f ca="1">+C_10L*3</f>
        <v>16.141732283464567</v>
      </c>
      <c r="E485" s="107">
        <f ca="1">C_10W*-0.5</f>
        <v>-1.6272965879265093</v>
      </c>
      <c r="F485" s="26">
        <f t="shared" ca="1" si="187"/>
        <v>16.141732283464567</v>
      </c>
      <c r="G485" s="26">
        <f t="shared" ca="1" si="188"/>
        <v>-1.6272965879265093</v>
      </c>
      <c r="H485" s="10"/>
      <c r="I485" s="10"/>
    </row>
    <row r="486" spans="1:9" ht="10.199999999999999" customHeight="1">
      <c r="A486" s="22"/>
      <c r="B486" s="22"/>
      <c r="C486" s="9"/>
      <c r="D486" s="107">
        <f ca="1">+C_10L*2</f>
        <v>10.761154855643044</v>
      </c>
      <c r="E486" s="107">
        <f ca="1">C_10W*-0.5</f>
        <v>-1.6272965879265093</v>
      </c>
      <c r="F486" s="26">
        <f ca="1">+D486</f>
        <v>10.761154855643044</v>
      </c>
      <c r="G486" s="26">
        <f ca="1">+E486</f>
        <v>-1.6272965879265093</v>
      </c>
      <c r="H486" s="10"/>
      <c r="I486" s="10"/>
    </row>
    <row r="487" spans="1:9" ht="10.199999999999999" customHeight="1">
      <c r="A487" s="22"/>
      <c r="B487" s="22"/>
      <c r="C487" s="9"/>
      <c r="D487" s="107">
        <f ca="1">+C_10L*2</f>
        <v>10.761154855643044</v>
      </c>
      <c r="E487" s="107">
        <f ca="1">C_10W*0.5</f>
        <v>1.6272965879265093</v>
      </c>
      <c r="F487" s="26">
        <f t="shared" ref="F487:F503" ca="1" si="189">+D487</f>
        <v>10.761154855643044</v>
      </c>
      <c r="G487" s="26">
        <f t="shared" ref="G487:G503" ca="1" si="190">+E487</f>
        <v>1.6272965879265093</v>
      </c>
      <c r="H487" s="10"/>
      <c r="I487" s="10"/>
    </row>
    <row r="488" spans="1:9" ht="10.199999999999999" customHeight="1">
      <c r="A488" s="22"/>
      <c r="B488" s="22"/>
      <c r="C488" s="9"/>
      <c r="D488" s="107">
        <f ca="1">+C_10L*3</f>
        <v>16.141732283464567</v>
      </c>
      <c r="E488" s="107">
        <f ca="1">C_10W*0.5</f>
        <v>1.6272965879265093</v>
      </c>
      <c r="F488" s="26">
        <f t="shared" ca="1" si="189"/>
        <v>16.141732283464567</v>
      </c>
      <c r="G488" s="26">
        <f t="shared" ca="1" si="190"/>
        <v>1.6272965879265093</v>
      </c>
      <c r="H488" s="10"/>
      <c r="I488" s="10"/>
    </row>
    <row r="489" spans="1:9" ht="10.199999999999999" customHeight="1">
      <c r="A489" s="22"/>
      <c r="B489" s="22"/>
      <c r="C489" s="9"/>
      <c r="D489" s="107">
        <f ca="1">+C_10L*3</f>
        <v>16.141732283464567</v>
      </c>
      <c r="E489" s="107">
        <f ca="1">C_10W*1</f>
        <v>3.2545931758530187</v>
      </c>
      <c r="F489" s="26">
        <f t="shared" ca="1" si="189"/>
        <v>16.141732283464567</v>
      </c>
      <c r="G489" s="26">
        <f t="shared" ca="1" si="190"/>
        <v>3.2545931758530187</v>
      </c>
      <c r="H489" s="10"/>
      <c r="I489" s="10"/>
    </row>
    <row r="490" spans="1:9" ht="10.199999999999999" customHeight="1">
      <c r="A490" s="22"/>
      <c r="B490" s="22"/>
      <c r="C490" s="9"/>
      <c r="D490" s="107">
        <f ca="1">+C_10L*4</f>
        <v>21.522309711286088</v>
      </c>
      <c r="E490" s="107">
        <f ca="1">C_10W*1</f>
        <v>3.2545931758530187</v>
      </c>
      <c r="F490" s="26">
        <f t="shared" ca="1" si="189"/>
        <v>21.522309711286088</v>
      </c>
      <c r="G490" s="26">
        <f t="shared" ca="1" si="190"/>
        <v>3.2545931758530187</v>
      </c>
      <c r="H490" s="10"/>
      <c r="I490" s="10"/>
    </row>
    <row r="491" spans="1:9" ht="10.199999999999999" customHeight="1">
      <c r="A491" s="22"/>
      <c r="B491" s="22"/>
      <c r="C491" s="9"/>
      <c r="D491" s="107">
        <f ca="1">+C_10L*4</f>
        <v>21.522309711286088</v>
      </c>
      <c r="E491" s="107">
        <f ca="1">C_10W*0</f>
        <v>0</v>
      </c>
      <c r="F491" s="26">
        <f t="shared" ca="1" si="189"/>
        <v>21.522309711286088</v>
      </c>
      <c r="G491" s="26">
        <f t="shared" ca="1" si="190"/>
        <v>0</v>
      </c>
      <c r="H491" s="10"/>
      <c r="I491" s="10"/>
    </row>
    <row r="492" spans="1:9" ht="10.199999999999999" customHeight="1">
      <c r="A492" s="22"/>
      <c r="B492" s="22"/>
      <c r="C492" s="9"/>
      <c r="D492" s="107">
        <f ca="1">+C_10L*3</f>
        <v>16.141732283464567</v>
      </c>
      <c r="E492" s="107">
        <f ca="1">C_10W*0</f>
        <v>0</v>
      </c>
      <c r="F492" s="26">
        <f t="shared" ref="F492:F495" ca="1" si="191">+D492</f>
        <v>16.141732283464567</v>
      </c>
      <c r="G492" s="26">
        <f t="shared" ref="G492:G495" ca="1" si="192">+E492</f>
        <v>0</v>
      </c>
      <c r="H492" s="10"/>
      <c r="I492" s="10"/>
    </row>
    <row r="493" spans="1:9" ht="10.199999999999999" customHeight="1">
      <c r="A493" s="22"/>
      <c r="B493" s="22"/>
      <c r="C493" s="9"/>
      <c r="D493" s="107">
        <f ca="1">+C_10L*4</f>
        <v>21.522309711286088</v>
      </c>
      <c r="E493" s="107">
        <f ca="1">C_10W*2</f>
        <v>6.5091863517060373</v>
      </c>
      <c r="F493" s="26">
        <f t="shared" ca="1" si="191"/>
        <v>21.522309711286088</v>
      </c>
      <c r="G493" s="26">
        <f t="shared" ca="1" si="192"/>
        <v>6.5091863517060373</v>
      </c>
      <c r="H493" s="10"/>
      <c r="I493" s="10"/>
    </row>
    <row r="494" spans="1:9" ht="10.199999999999999" customHeight="1">
      <c r="A494" s="22"/>
      <c r="B494" s="22"/>
      <c r="C494" s="9"/>
      <c r="D494" s="107">
        <f ca="1">+C_10L*4</f>
        <v>21.522309711286088</v>
      </c>
      <c r="E494" s="107">
        <f ca="1">C_10W*-1</f>
        <v>-3.2545931758530187</v>
      </c>
      <c r="F494" s="26">
        <f t="shared" ca="1" si="191"/>
        <v>21.522309711286088</v>
      </c>
      <c r="G494" s="26">
        <f t="shared" ca="1" si="192"/>
        <v>-3.2545931758530187</v>
      </c>
      <c r="H494" s="10"/>
      <c r="I494" s="10"/>
    </row>
    <row r="495" spans="1:9" ht="10.199999999999999" customHeight="1">
      <c r="A495" s="22"/>
      <c r="B495" s="22"/>
      <c r="C495" s="9"/>
      <c r="D495" s="107">
        <f ca="1">+C_10L*3</f>
        <v>16.141732283464567</v>
      </c>
      <c r="E495" s="107">
        <f ca="1">C_10W*1.5</f>
        <v>4.8818897637795278</v>
      </c>
      <c r="F495" s="26">
        <f t="shared" ca="1" si="191"/>
        <v>16.141732283464567</v>
      </c>
      <c r="G495" s="26">
        <f t="shared" ca="1" si="192"/>
        <v>4.8818897637795278</v>
      </c>
      <c r="H495" s="10"/>
      <c r="I495" s="10"/>
    </row>
    <row r="496" spans="1:9" ht="10.199999999999999" customHeight="1">
      <c r="A496" s="22"/>
      <c r="B496" s="22"/>
      <c r="C496" s="9"/>
      <c r="D496" s="107">
        <f ca="1">+C_10L*3</f>
        <v>16.141732283464567</v>
      </c>
      <c r="E496" s="107">
        <f ca="1">C_10W*-1.5</f>
        <v>-4.8818897637795278</v>
      </c>
      <c r="F496" s="26">
        <f t="shared" ref="F496:F499" ca="1" si="193">+D496</f>
        <v>16.141732283464567</v>
      </c>
      <c r="G496" s="26">
        <f t="shared" ref="G496:G501" ca="1" si="194">+E496</f>
        <v>-4.8818897637795278</v>
      </c>
      <c r="H496" s="10"/>
      <c r="I496" s="10"/>
    </row>
    <row r="497" spans="1:9" ht="10.199999999999999" customHeight="1">
      <c r="A497" s="22"/>
      <c r="B497" s="22"/>
      <c r="C497" s="9"/>
      <c r="D497" s="107">
        <f ca="1">+C_10L*2</f>
        <v>10.761154855643044</v>
      </c>
      <c r="E497" s="107">
        <f ca="1">C_10W*1</f>
        <v>3.2545931758530187</v>
      </c>
      <c r="F497" s="26">
        <f t="shared" ca="1" si="193"/>
        <v>10.761154855643044</v>
      </c>
      <c r="G497" s="26">
        <f t="shared" ca="1" si="194"/>
        <v>3.2545931758530187</v>
      </c>
      <c r="H497" s="10"/>
      <c r="I497" s="10"/>
    </row>
    <row r="498" spans="1:9" ht="10.199999999999999" customHeight="1">
      <c r="A498" s="22"/>
      <c r="B498" s="22"/>
      <c r="C498" s="9"/>
      <c r="D498" s="107">
        <f ca="1">+C_10L*2</f>
        <v>10.761154855643044</v>
      </c>
      <c r="E498" s="107">
        <f ca="1">C_10W*-1</f>
        <v>-3.2545931758530187</v>
      </c>
      <c r="F498" s="26">
        <f t="shared" ca="1" si="193"/>
        <v>10.761154855643044</v>
      </c>
      <c r="G498" s="26">
        <f t="shared" ca="1" si="194"/>
        <v>-3.2545931758530187</v>
      </c>
      <c r="H498" s="10"/>
      <c r="I498" s="10"/>
    </row>
    <row r="499" spans="1:9" ht="10.199999999999999" customHeight="1">
      <c r="A499" s="22"/>
      <c r="B499" s="22"/>
      <c r="C499" s="9"/>
      <c r="D499" s="107">
        <f ca="1">+C_10L*1</f>
        <v>5.3805774278215219</v>
      </c>
      <c r="E499" s="107">
        <f ca="1">C_10W*0.5</f>
        <v>1.6272965879265093</v>
      </c>
      <c r="F499" s="26">
        <f t="shared" ca="1" si="193"/>
        <v>5.3805774278215219</v>
      </c>
      <c r="G499" s="26">
        <f t="shared" ca="1" si="194"/>
        <v>1.6272965879265093</v>
      </c>
      <c r="H499" s="10"/>
      <c r="I499" s="10"/>
    </row>
    <row r="500" spans="1:9" ht="10.199999999999999" customHeight="1">
      <c r="A500" s="22"/>
      <c r="B500" s="22"/>
      <c r="C500" s="9"/>
      <c r="D500" s="107">
        <f ca="1">+C_10L*1</f>
        <v>5.3805774278215219</v>
      </c>
      <c r="E500" s="107">
        <f ca="1">C_10W*-0.5</f>
        <v>-1.6272965879265093</v>
      </c>
      <c r="F500" s="26">
        <f ca="1">+D500</f>
        <v>5.3805774278215219</v>
      </c>
      <c r="G500" s="26">
        <f t="shared" ca="1" si="194"/>
        <v>-1.6272965879265093</v>
      </c>
      <c r="H500" s="10"/>
      <c r="I500" s="10"/>
    </row>
    <row r="501" spans="1:9" ht="10.199999999999999" customHeight="1">
      <c r="A501" s="22"/>
      <c r="B501" s="22"/>
      <c r="C501" s="9"/>
      <c r="D501" s="107">
        <f ca="1">+C_10L*1</f>
        <v>5.3805774278215219</v>
      </c>
      <c r="E501" s="107">
        <f ca="1">C_10W*0</f>
        <v>0</v>
      </c>
      <c r="F501" s="26">
        <f ca="1">+D501</f>
        <v>5.3805774278215219</v>
      </c>
      <c r="G501" s="26">
        <f t="shared" ca="1" si="194"/>
        <v>0</v>
      </c>
      <c r="H501" s="10"/>
      <c r="I501" s="10"/>
    </row>
    <row r="502" spans="1:9" ht="10.199999999999999" customHeight="1">
      <c r="A502" s="22"/>
      <c r="B502" s="22"/>
      <c r="C502" s="9"/>
      <c r="D502" s="107">
        <f ca="1">+C_10L*2</f>
        <v>10.761154855643044</v>
      </c>
      <c r="E502" s="107">
        <f ca="1">C_10W*0</f>
        <v>0</v>
      </c>
      <c r="F502" s="26">
        <f ca="1">+D502</f>
        <v>10.761154855643044</v>
      </c>
      <c r="G502" s="26">
        <f t="shared" ref="G502" ca="1" si="195">+E502</f>
        <v>0</v>
      </c>
      <c r="H502" s="10"/>
      <c r="I502" s="10"/>
    </row>
    <row r="503" spans="1:9" ht="10.199999999999999" customHeight="1">
      <c r="A503" s="22"/>
      <c r="B503" s="22"/>
      <c r="C503" s="9" t="s">
        <v>53</v>
      </c>
      <c r="D503" s="107">
        <f ca="1">+C_10WC-E503</f>
        <v>13.016560039370079</v>
      </c>
      <c r="E503" s="107">
        <f ca="1">AVERAGE(C_10PL,C_10PWHE)/CM</f>
        <v>0.434883530183727</v>
      </c>
      <c r="F503" s="26">
        <f t="shared" ca="1" si="189"/>
        <v>13.016560039370079</v>
      </c>
      <c r="G503" s="26">
        <f t="shared" ca="1" si="190"/>
        <v>0.434883530183727</v>
      </c>
      <c r="H503" s="10"/>
      <c r="I503" s="10"/>
    </row>
    <row r="504" spans="1:9" ht="10.199999999999999" customHeight="1">
      <c r="A504" s="22"/>
      <c r="B504" s="22"/>
      <c r="C504" s="9"/>
      <c r="D504" s="107">
        <f ca="1">+C_10WC+E503</f>
        <v>13.886327099737533</v>
      </c>
      <c r="E504" s="107">
        <f ca="1">-E503</f>
        <v>-0.434883530183727</v>
      </c>
      <c r="F504" s="26">
        <f ca="1">+D504</f>
        <v>13.886327099737533</v>
      </c>
      <c r="G504" s="26">
        <f ca="1">+E504</f>
        <v>-0.434883530183727</v>
      </c>
      <c r="H504" s="10"/>
      <c r="I504" s="10"/>
    </row>
    <row r="505" spans="1:9" ht="10.199999999999999" customHeight="1">
      <c r="A505" s="22"/>
      <c r="B505" s="22"/>
      <c r="C505" s="9" t="s">
        <v>41</v>
      </c>
      <c r="D505" s="107">
        <f ca="1">D504</f>
        <v>13.886327099737533</v>
      </c>
      <c r="E505" s="107">
        <f ca="1">+E503</f>
        <v>0.434883530183727</v>
      </c>
      <c r="F505" s="26">
        <f t="shared" ref="F505:F514" ca="1" si="196">+D505</f>
        <v>13.886327099737533</v>
      </c>
      <c r="G505" s="26">
        <f t="shared" ref="G505:G514" ca="1" si="197">+E505</f>
        <v>0.434883530183727</v>
      </c>
      <c r="H505" s="10"/>
      <c r="I505" s="10"/>
    </row>
    <row r="506" spans="1:9" ht="10.199999999999999" customHeight="1">
      <c r="A506" s="22"/>
      <c r="B506" s="22"/>
      <c r="C506" s="9"/>
      <c r="D506" s="107">
        <f ca="1">D503</f>
        <v>13.016560039370079</v>
      </c>
      <c r="E506" s="107">
        <f ca="1">E504</f>
        <v>-0.434883530183727</v>
      </c>
      <c r="F506" s="26">
        <f t="shared" ca="1" si="196"/>
        <v>13.016560039370079</v>
      </c>
      <c r="G506" s="26">
        <f t="shared" ca="1" si="197"/>
        <v>-0.434883530183727</v>
      </c>
      <c r="H506" s="10"/>
      <c r="I506" s="10"/>
    </row>
    <row r="507" spans="1:9" ht="10.199999999999999" customHeight="1">
      <c r="A507" s="22"/>
      <c r="B507" s="22"/>
      <c r="C507" s="9" t="s">
        <v>54</v>
      </c>
      <c r="D507" s="107">
        <f ca="1">+D504</f>
        <v>13.886327099737533</v>
      </c>
      <c r="E507" s="107">
        <f ca="1">+C_10WTC-E503</f>
        <v>2.0060613517060371</v>
      </c>
      <c r="F507" s="26">
        <f t="shared" ca="1" si="196"/>
        <v>13.886327099737533</v>
      </c>
      <c r="G507" s="26">
        <f t="shared" ca="1" si="197"/>
        <v>2.0060613517060371</v>
      </c>
      <c r="H507" s="10"/>
      <c r="I507" s="10"/>
    </row>
    <row r="508" spans="1:9" ht="10.199999999999999" customHeight="1">
      <c r="A508" s="22"/>
      <c r="B508" s="22"/>
      <c r="C508" s="9"/>
      <c r="D508" s="107">
        <f ca="1">D503</f>
        <v>13.016560039370079</v>
      </c>
      <c r="E508" s="107">
        <f ca="1">+C_10WTC+E503</f>
        <v>2.8758284120734907</v>
      </c>
      <c r="F508" s="26">
        <f t="shared" ca="1" si="196"/>
        <v>13.016560039370079</v>
      </c>
      <c r="G508" s="26">
        <f t="shared" ca="1" si="197"/>
        <v>2.8758284120734907</v>
      </c>
      <c r="H508" s="10"/>
      <c r="I508" s="10"/>
    </row>
    <row r="509" spans="1:9" ht="10.199999999999999" customHeight="1">
      <c r="A509" s="22"/>
      <c r="B509" s="22"/>
      <c r="C509" s="9"/>
      <c r="D509" s="107">
        <f ca="1">D504</f>
        <v>13.886327099737533</v>
      </c>
      <c r="E509" s="107">
        <f ca="1">E508</f>
        <v>2.8758284120734907</v>
      </c>
      <c r="F509" s="26">
        <f t="shared" ca="1" si="196"/>
        <v>13.886327099737533</v>
      </c>
      <c r="G509" s="26">
        <f t="shared" ca="1" si="197"/>
        <v>2.8758284120734907</v>
      </c>
      <c r="H509" s="10"/>
      <c r="I509" s="12"/>
    </row>
    <row r="510" spans="1:9" ht="10.199999999999999" customHeight="1">
      <c r="A510" s="22"/>
      <c r="B510" s="22"/>
      <c r="C510" s="9" t="s">
        <v>41</v>
      </c>
      <c r="D510" s="107">
        <f ca="1">+D503</f>
        <v>13.016560039370079</v>
      </c>
      <c r="E510" s="107">
        <f ca="1">+E507</f>
        <v>2.0060613517060371</v>
      </c>
      <c r="F510" s="26">
        <f t="shared" ca="1" si="196"/>
        <v>13.016560039370079</v>
      </c>
      <c r="G510" s="26">
        <f t="shared" ca="1" si="197"/>
        <v>2.0060613517060371</v>
      </c>
      <c r="H510" s="10"/>
      <c r="I510" s="10"/>
    </row>
    <row r="511" spans="1:9" ht="10.199999999999999" customHeight="1">
      <c r="A511" s="22"/>
      <c r="B511" s="22"/>
      <c r="C511" s="9" t="s">
        <v>205</v>
      </c>
      <c r="D511" s="107">
        <v>0</v>
      </c>
      <c r="E511" s="107">
        <f ca="1">+C_10W/2</f>
        <v>1.6272965879265093</v>
      </c>
      <c r="F511" s="26">
        <f t="shared" si="196"/>
        <v>0</v>
      </c>
      <c r="G511" s="26">
        <f t="shared" ca="1" si="197"/>
        <v>1.6272965879265093</v>
      </c>
      <c r="H511" s="10"/>
      <c r="I511" s="10"/>
    </row>
    <row r="512" spans="1:9" ht="10.199999999999999" customHeight="1">
      <c r="A512" s="22"/>
      <c r="B512" s="22"/>
      <c r="D512" s="107">
        <f ca="1">+C_10L*3</f>
        <v>16.141732283464567</v>
      </c>
      <c r="E512" s="107">
        <f ca="1">C_10W*2</f>
        <v>6.5091863517060373</v>
      </c>
      <c r="F512" s="26">
        <f t="shared" ca="1" si="196"/>
        <v>16.141732283464567</v>
      </c>
      <c r="G512" s="26">
        <f t="shared" ca="1" si="197"/>
        <v>6.5091863517060373</v>
      </c>
      <c r="H512" s="10"/>
      <c r="I512" s="10"/>
    </row>
    <row r="513" spans="1:9" ht="10.199999999999999" customHeight="1">
      <c r="A513" s="22"/>
      <c r="B513" s="22"/>
      <c r="C513" s="9"/>
      <c r="D513" s="107">
        <f ca="1">D512</f>
        <v>16.141732283464567</v>
      </c>
      <c r="E513" s="107">
        <f ca="1">-E512</f>
        <v>-6.5091863517060373</v>
      </c>
      <c r="F513" s="26">
        <f t="shared" ca="1" si="196"/>
        <v>16.141732283464567</v>
      </c>
      <c r="G513" s="26">
        <f t="shared" ca="1" si="197"/>
        <v>-6.5091863517060373</v>
      </c>
    </row>
    <row r="514" spans="1:9" ht="10.199999999999999" customHeight="1">
      <c r="A514" s="22"/>
      <c r="B514" s="22"/>
      <c r="D514" s="107">
        <f>0</f>
        <v>0</v>
      </c>
      <c r="E514" s="107">
        <f ca="1">-E511</f>
        <v>-1.6272965879265093</v>
      </c>
      <c r="F514" s="26">
        <f t="shared" si="196"/>
        <v>0</v>
      </c>
      <c r="G514" s="26">
        <f t="shared" ca="1" si="197"/>
        <v>-1.6272965879265093</v>
      </c>
      <c r="H514" s="10"/>
      <c r="I514" s="10"/>
    </row>
    <row r="515" spans="1:9" ht="10.199999999999999" customHeight="1">
      <c r="A515" s="22"/>
      <c r="B515" s="22"/>
      <c r="C515" s="9"/>
      <c r="D515" s="107"/>
      <c r="E515" s="107"/>
      <c r="F515" s="26"/>
      <c r="G515" s="26"/>
      <c r="H515" s="10"/>
      <c r="I515" s="10"/>
    </row>
    <row r="516" spans="1:9" ht="10.199999999999999" customHeight="1">
      <c r="A516" s="305" t="s">
        <v>323</v>
      </c>
      <c r="B516" s="305"/>
      <c r="C516" s="304" t="str">
        <f ca="1">PModel</f>
        <v>SS250-60P</v>
      </c>
      <c r="D516" s="300">
        <f ca="1">+PLFt</f>
        <v>5.3805774278215219</v>
      </c>
      <c r="E516" s="300">
        <f ca="1">+PWFt</f>
        <v>3.2545931758530187</v>
      </c>
      <c r="F516" s="26"/>
      <c r="G516" s="26"/>
    </row>
    <row r="517" spans="1:9" ht="10.199999999999999" customHeight="1">
      <c r="A517" s="286" t="s">
        <v>8</v>
      </c>
      <c r="B517" s="286"/>
      <c r="C517" s="283">
        <f ca="1">+D_10W*4+Spacing*3</f>
        <v>13.143372703412075</v>
      </c>
      <c r="D517" s="107">
        <f ca="1">+D_10W*4</f>
        <v>13.018372703412075</v>
      </c>
      <c r="E517" s="107">
        <f ca="1">D_10L*2</f>
        <v>10.761154855643044</v>
      </c>
      <c r="F517" s="26">
        <f t="shared" ref="F517:F535" ca="1" si="198">+D517</f>
        <v>13.018372703412075</v>
      </c>
      <c r="G517" s="26">
        <f t="shared" ref="G517:G535" ca="1" si="199">+E517</f>
        <v>10.761154855643044</v>
      </c>
      <c r="H517" s="10"/>
      <c r="I517" s="10"/>
    </row>
    <row r="518" spans="1:9" ht="10.199999999999999" customHeight="1">
      <c r="A518" s="286" t="s">
        <v>0</v>
      </c>
      <c r="B518" s="286"/>
      <c r="C518" s="284">
        <f ca="1">+D_10L</f>
        <v>5.3805774278215219</v>
      </c>
      <c r="D518" s="107">
        <f ca="1">+D_10W*3</f>
        <v>9.7637795275590555</v>
      </c>
      <c r="E518" s="107">
        <f ca="1">D_10L*2</f>
        <v>10.761154855643044</v>
      </c>
      <c r="F518" s="26">
        <f t="shared" ca="1" si="198"/>
        <v>9.7637795275590555</v>
      </c>
      <c r="G518" s="26">
        <f t="shared" ca="1" si="199"/>
        <v>10.761154855643044</v>
      </c>
      <c r="H518" s="10"/>
      <c r="I518" s="10"/>
    </row>
    <row r="519" spans="1:9" ht="10.199999999999999" customHeight="1">
      <c r="A519" s="286" t="s">
        <v>2</v>
      </c>
      <c r="B519" s="286"/>
      <c r="C519" s="284">
        <f ca="1">+D_10L*4+Spacing*3</f>
        <v>21.647309711286088</v>
      </c>
      <c r="D519" s="107">
        <f ca="1">+D_10W*3</f>
        <v>9.7637795275590555</v>
      </c>
      <c r="E519" s="107">
        <f ca="1">D_10L*1.5</f>
        <v>8.0708661417322833</v>
      </c>
      <c r="F519" s="26">
        <f t="shared" ca="1" si="198"/>
        <v>9.7637795275590555</v>
      </c>
      <c r="G519" s="26">
        <f t="shared" ca="1" si="199"/>
        <v>8.0708661417322833</v>
      </c>
      <c r="H519" s="10"/>
      <c r="I519" s="10"/>
    </row>
    <row r="520" spans="1:9" ht="10.199999999999999" customHeight="1">
      <c r="A520" s="286" t="s">
        <v>206</v>
      </c>
      <c r="B520" s="286"/>
      <c r="C520" s="284">
        <f ca="1">1/COS(RADIANS(D_10TA))*(D_10W*3+Spacing*3)</f>
        <v>12.843682585530704</v>
      </c>
      <c r="D520" s="107">
        <f ca="1">+D_10W*2</f>
        <v>6.5091863517060373</v>
      </c>
      <c r="E520" s="107">
        <f ca="1">D_10L*1.5</f>
        <v>8.0708661417322833</v>
      </c>
      <c r="F520" s="26">
        <f t="shared" ca="1" si="198"/>
        <v>6.5091863517060373</v>
      </c>
      <c r="G520" s="26">
        <f t="shared" ca="1" si="199"/>
        <v>8.0708661417322833</v>
      </c>
      <c r="H520" s="10"/>
      <c r="I520" s="10"/>
    </row>
    <row r="521" spans="1:9" ht="10.199999999999999" customHeight="1">
      <c r="A521" s="286" t="s">
        <v>207</v>
      </c>
      <c r="B521" s="286"/>
      <c r="C521" s="285">
        <f ca="1">+DEGREES(ATAN2(D_10W+Spacing,D_10L/2+Spacing))</f>
        <v>39.652096103828384</v>
      </c>
      <c r="D521" s="107">
        <f ca="1">+D_10W*2</f>
        <v>6.5091863517060373</v>
      </c>
      <c r="E521" s="107">
        <f ca="1">D_10L*1</f>
        <v>5.3805774278215219</v>
      </c>
      <c r="F521" s="26">
        <f t="shared" ca="1" si="198"/>
        <v>6.5091863517060373</v>
      </c>
      <c r="G521" s="26">
        <f t="shared" ca="1" si="199"/>
        <v>5.3805774278215219</v>
      </c>
      <c r="H521" s="10"/>
      <c r="I521" s="10"/>
    </row>
    <row r="522" spans="1:9" ht="10.199999999999999" customHeight="1">
      <c r="A522" s="105" t="s">
        <v>69</v>
      </c>
      <c r="B522" s="105"/>
      <c r="C522" s="163">
        <v>5</v>
      </c>
      <c r="D522" s="107">
        <f ca="1">+D_10W*1</f>
        <v>3.2545931758530187</v>
      </c>
      <c r="E522" s="107">
        <f ca="1">D_10L*1</f>
        <v>5.3805774278215219</v>
      </c>
      <c r="F522" s="26">
        <f t="shared" ca="1" si="198"/>
        <v>3.2545931758530187</v>
      </c>
      <c r="G522" s="26">
        <f t="shared" ca="1" si="199"/>
        <v>5.3805774278215219</v>
      </c>
      <c r="H522" s="10"/>
      <c r="I522" s="10"/>
    </row>
    <row r="523" spans="1:9" ht="10.199999999999999" customHeight="1">
      <c r="A523" s="105" t="s">
        <v>70</v>
      </c>
      <c r="B523" s="105"/>
      <c r="C523" s="164">
        <v>2</v>
      </c>
      <c r="D523" s="107">
        <f ca="1">+D_10W*1</f>
        <v>3.2545931758530187</v>
      </c>
      <c r="E523" s="107">
        <f ca="1">D_10L*0.5</f>
        <v>2.690288713910761</v>
      </c>
      <c r="F523" s="26">
        <f t="shared" ca="1" si="198"/>
        <v>3.2545931758530187</v>
      </c>
      <c r="G523" s="26">
        <f t="shared" ca="1" si="199"/>
        <v>2.690288713910761</v>
      </c>
      <c r="H523" s="10"/>
      <c r="I523" s="10"/>
    </row>
    <row r="524" spans="1:9" ht="10.199999999999999" customHeight="1">
      <c r="A524" s="105" t="s">
        <v>51</v>
      </c>
      <c r="B524" s="105"/>
      <c r="C524" s="98">
        <f ca="1">+D_10L*D_10W*D_10SC*D_10PC</f>
        <v>175.11590578736713</v>
      </c>
      <c r="D524" s="107">
        <f ca="1">+D_10L*0</f>
        <v>0</v>
      </c>
      <c r="E524" s="107">
        <f ca="1">D_10L*0.5</f>
        <v>2.690288713910761</v>
      </c>
      <c r="F524" s="26">
        <f t="shared" ca="1" si="198"/>
        <v>0</v>
      </c>
      <c r="G524" s="26">
        <f t="shared" ca="1" si="199"/>
        <v>2.690288713910761</v>
      </c>
      <c r="H524" s="10"/>
      <c r="I524" s="10"/>
    </row>
    <row r="525" spans="1:9" ht="10.199999999999999" customHeight="1">
      <c r="A525" s="105" t="s">
        <v>52</v>
      </c>
      <c r="B525" s="105"/>
      <c r="C525" s="281">
        <f ca="1">D_10PA*StraightLineWind</f>
        <v>1751.1590578736714</v>
      </c>
      <c r="D525" s="107">
        <f ca="1">+D_10L*0</f>
        <v>0</v>
      </c>
      <c r="E525" s="107">
        <f ca="1">-D_10L*0.5</f>
        <v>-2.690288713910761</v>
      </c>
      <c r="F525" s="26">
        <f t="shared" ca="1" si="198"/>
        <v>0</v>
      </c>
      <c r="G525" s="26">
        <f t="shared" ca="1" si="199"/>
        <v>-2.690288713910761</v>
      </c>
      <c r="H525" s="10"/>
      <c r="I525" s="10"/>
    </row>
    <row r="526" spans="1:9" ht="10.199999999999999" customHeight="1">
      <c r="A526" s="105" t="s">
        <v>57</v>
      </c>
      <c r="B526" s="105"/>
      <c r="C526" s="31">
        <f ca="1">+(D_10W/2*1+D_10W*1.5*2+D_10W*2.5*3+D_10W*3.5*4)/(10)</f>
        <v>8.1364829396325469</v>
      </c>
      <c r="D526" s="107">
        <f ca="1">+D_10W*1</f>
        <v>3.2545931758530187</v>
      </c>
      <c r="E526" s="107">
        <f ca="1">-D_10L*0.5</f>
        <v>-2.690288713910761</v>
      </c>
      <c r="F526" s="26">
        <f t="shared" ca="1" si="198"/>
        <v>3.2545931758530187</v>
      </c>
      <c r="G526" s="26">
        <f t="shared" ca="1" si="199"/>
        <v>-2.690288713910761</v>
      </c>
      <c r="H526" s="10"/>
      <c r="I526" s="10"/>
    </row>
    <row r="527" spans="1:9" ht="10.199999999999999" customHeight="1">
      <c r="A527" s="105" t="s">
        <v>58</v>
      </c>
      <c r="B527" s="105"/>
      <c r="C527" s="31">
        <f ca="1">+(D_10L/4*1+D_10L/2*2+D_10L*0.75*3+D_10L*1*4)/(10)</f>
        <v>4.0354330708661417</v>
      </c>
      <c r="D527" s="107">
        <f ca="1">+D_10W*1</f>
        <v>3.2545931758530187</v>
      </c>
      <c r="E527" s="107">
        <f ca="1">-D_10L*1</f>
        <v>-5.3805774278215219</v>
      </c>
      <c r="F527" s="26">
        <f t="shared" ca="1" si="198"/>
        <v>3.2545931758530187</v>
      </c>
      <c r="G527" s="26">
        <f t="shared" ca="1" si="199"/>
        <v>-5.3805774278215219</v>
      </c>
      <c r="H527" s="10"/>
      <c r="I527" s="10"/>
    </row>
    <row r="528" spans="1:9" ht="10.199999999999999" customHeight="1">
      <c r="A528" s="105" t="s">
        <v>60</v>
      </c>
      <c r="B528" s="105"/>
      <c r="C528" s="282">
        <f ca="1">+D_10WL*D_10WTC</f>
        <v>7066.6851744902087</v>
      </c>
      <c r="D528" s="107">
        <f ca="1">+D_10W*2</f>
        <v>6.5091863517060373</v>
      </c>
      <c r="E528" s="107">
        <f ca="1">-D_10L*1</f>
        <v>-5.3805774278215219</v>
      </c>
      <c r="F528" s="26">
        <f t="shared" ca="1" si="198"/>
        <v>6.5091863517060373</v>
      </c>
      <c r="G528" s="26">
        <f t="shared" ca="1" si="199"/>
        <v>-5.3805774278215219</v>
      </c>
      <c r="H528" s="10"/>
      <c r="I528" s="10"/>
    </row>
    <row r="529" spans="1:9" ht="10.199999999999999" customHeight="1">
      <c r="A529" s="105" t="s">
        <v>42</v>
      </c>
      <c r="B529" s="105"/>
      <c r="C529" s="32">
        <f ca="1">PWatt*D_10SC*D_10PC</f>
        <v>2500</v>
      </c>
      <c r="D529" s="107">
        <f ca="1">+D_10W*2</f>
        <v>6.5091863517060373</v>
      </c>
      <c r="E529" s="107">
        <f ca="1">-D_10L*1.5</f>
        <v>-8.0708661417322833</v>
      </c>
      <c r="F529" s="26">
        <f t="shared" ca="1" si="198"/>
        <v>6.5091863517060373</v>
      </c>
      <c r="G529" s="26">
        <f t="shared" ca="1" si="199"/>
        <v>-8.0708661417322833</v>
      </c>
      <c r="H529" s="10"/>
      <c r="I529" s="10"/>
    </row>
    <row r="530" spans="1:9" ht="10.199999999999999" customHeight="1">
      <c r="A530" s="105" t="s">
        <v>36</v>
      </c>
      <c r="B530" s="105"/>
      <c r="C530" s="33">
        <f ca="1">PVmp*D_10SC</f>
        <v>152.5</v>
      </c>
      <c r="D530" s="107">
        <f ca="1">+D_10W*3</f>
        <v>9.7637795275590555</v>
      </c>
      <c r="E530" s="107">
        <f ca="1">-D_10L*1.5</f>
        <v>-8.0708661417322833</v>
      </c>
      <c r="F530" s="26">
        <f t="shared" ca="1" si="198"/>
        <v>9.7637795275590555</v>
      </c>
      <c r="G530" s="26">
        <f t="shared" ca="1" si="199"/>
        <v>-8.0708661417322833</v>
      </c>
      <c r="H530" s="10"/>
      <c r="I530" s="10"/>
    </row>
    <row r="531" spans="1:9" ht="10.199999999999999" customHeight="1">
      <c r="A531" s="105" t="s">
        <v>37</v>
      </c>
      <c r="B531" s="105"/>
      <c r="C531" s="34">
        <f ca="1">PVoc*D_10SC</f>
        <v>186</v>
      </c>
      <c r="D531" s="107">
        <f ca="1">+D_10W*3</f>
        <v>9.7637795275590555</v>
      </c>
      <c r="E531" s="107">
        <f ca="1">D_10L*-2</f>
        <v>-10.761154855643044</v>
      </c>
      <c r="F531" s="26">
        <f t="shared" ca="1" si="198"/>
        <v>9.7637795275590555</v>
      </c>
      <c r="G531" s="26">
        <f t="shared" ca="1" si="199"/>
        <v>-10.761154855643044</v>
      </c>
      <c r="H531" s="10"/>
      <c r="I531" s="10"/>
    </row>
    <row r="532" spans="1:9" ht="10.199999999999999" customHeight="1">
      <c r="A532" s="105" t="s">
        <v>43</v>
      </c>
      <c r="B532" s="105"/>
      <c r="C532" s="35">
        <f ca="1">PImp*D_10PC</f>
        <v>16.399999999999999</v>
      </c>
      <c r="D532" s="107">
        <f ca="1">+D_10W*4</f>
        <v>13.018372703412075</v>
      </c>
      <c r="E532" s="107">
        <f ca="1">D_10L*-2</f>
        <v>-10.761154855643044</v>
      </c>
      <c r="F532" s="26">
        <f t="shared" ca="1" si="198"/>
        <v>13.018372703412075</v>
      </c>
      <c r="G532" s="26">
        <f t="shared" ca="1" si="199"/>
        <v>-10.761154855643044</v>
      </c>
      <c r="H532" s="10"/>
      <c r="I532" s="10"/>
    </row>
    <row r="533" spans="1:9" ht="10.199999999999999" customHeight="1">
      <c r="A533" s="105" t="s">
        <v>44</v>
      </c>
      <c r="B533" s="105"/>
      <c r="C533" s="36">
        <f ca="1">PIsc*D_10PC</f>
        <v>17.600000000000001</v>
      </c>
      <c r="D533" s="107">
        <f ca="1">+D_10W*4</f>
        <v>13.018372703412075</v>
      </c>
      <c r="E533" s="107">
        <f ca="1">-D_10L*1</f>
        <v>-5.3805774278215219</v>
      </c>
      <c r="F533" s="26">
        <f t="shared" ca="1" si="198"/>
        <v>13.018372703412075</v>
      </c>
      <c r="G533" s="26">
        <f t="shared" ca="1" si="199"/>
        <v>-5.3805774278215219</v>
      </c>
      <c r="H533" s="10"/>
      <c r="I533" s="10"/>
    </row>
    <row r="534" spans="1:9" ht="10.199999999999999" customHeight="1">
      <c r="A534" s="22"/>
      <c r="B534" s="22"/>
      <c r="C534" s="9"/>
      <c r="D534" s="107">
        <f ca="1">+D_10W*3</f>
        <v>9.7637795275590555</v>
      </c>
      <c r="E534" s="107">
        <f ca="1">-D_10L*1</f>
        <v>-5.3805774278215219</v>
      </c>
      <c r="F534" s="26">
        <f t="shared" ca="1" si="198"/>
        <v>9.7637795275590555</v>
      </c>
      <c r="G534" s="26">
        <f t="shared" ca="1" si="199"/>
        <v>-5.3805774278215219</v>
      </c>
      <c r="H534" s="10"/>
      <c r="I534" s="10"/>
    </row>
    <row r="535" spans="1:9" ht="10.199999999999999" customHeight="1">
      <c r="A535" s="22"/>
      <c r="B535" s="22"/>
      <c r="C535" s="9"/>
      <c r="D535" s="107">
        <f ca="1">+D_10W*3</f>
        <v>9.7637795275590555</v>
      </c>
      <c r="E535" s="107">
        <f ca="1">-D_10L*0.5</f>
        <v>-2.690288713910761</v>
      </c>
      <c r="F535" s="26">
        <f t="shared" ca="1" si="198"/>
        <v>9.7637795275590555</v>
      </c>
      <c r="G535" s="26">
        <f t="shared" ca="1" si="199"/>
        <v>-2.690288713910761</v>
      </c>
      <c r="H535" s="10"/>
      <c r="I535" s="10"/>
    </row>
    <row r="536" spans="1:9" ht="10.199999999999999" customHeight="1">
      <c r="A536" s="22"/>
      <c r="B536" s="22"/>
      <c r="C536" s="9"/>
      <c r="D536" s="107">
        <f ca="1">+D_10W*2</f>
        <v>6.5091863517060373</v>
      </c>
      <c r="E536" s="107">
        <f ca="1">-D_10L*0.5</f>
        <v>-2.690288713910761</v>
      </c>
      <c r="F536" s="26">
        <f ca="1">+D536</f>
        <v>6.5091863517060373</v>
      </c>
      <c r="G536" s="26">
        <f ca="1">+E536</f>
        <v>-2.690288713910761</v>
      </c>
      <c r="H536" s="10"/>
      <c r="I536" s="10"/>
    </row>
    <row r="537" spans="1:9" ht="10.199999999999999" customHeight="1">
      <c r="A537" s="22"/>
      <c r="B537" s="22"/>
      <c r="C537" s="9"/>
      <c r="D537" s="107">
        <f ca="1">+D_10W*2</f>
        <v>6.5091863517060373</v>
      </c>
      <c r="E537" s="107">
        <f ca="1">D_10L*0.5</f>
        <v>2.690288713910761</v>
      </c>
      <c r="F537" s="26">
        <f t="shared" ref="F537:F549" ca="1" si="200">+D537</f>
        <v>6.5091863517060373</v>
      </c>
      <c r="G537" s="26">
        <f t="shared" ref="G537:G553" ca="1" si="201">+E537</f>
        <v>2.690288713910761</v>
      </c>
      <c r="H537" s="10"/>
      <c r="I537" s="10"/>
    </row>
    <row r="538" spans="1:9" ht="10.199999999999999" customHeight="1">
      <c r="A538" s="22"/>
      <c r="B538" s="22"/>
      <c r="C538" s="9"/>
      <c r="D538" s="107">
        <f ca="1">+D_10W*3</f>
        <v>9.7637795275590555</v>
      </c>
      <c r="E538" s="107">
        <f ca="1">D_10L*0.5</f>
        <v>2.690288713910761</v>
      </c>
      <c r="F538" s="26">
        <f t="shared" ca="1" si="200"/>
        <v>9.7637795275590555</v>
      </c>
      <c r="G538" s="26">
        <f t="shared" ca="1" si="201"/>
        <v>2.690288713910761</v>
      </c>
      <c r="H538" s="10"/>
      <c r="I538" s="10"/>
    </row>
    <row r="539" spans="1:9" ht="10.199999999999999" customHeight="1">
      <c r="A539" s="22"/>
      <c r="B539" s="22"/>
      <c r="C539" s="9"/>
      <c r="D539" s="107">
        <f ca="1">+D_10W*3</f>
        <v>9.7637795275590555</v>
      </c>
      <c r="E539" s="107">
        <f ca="1">D_10L*1</f>
        <v>5.3805774278215219</v>
      </c>
      <c r="F539" s="26">
        <f t="shared" ca="1" si="200"/>
        <v>9.7637795275590555</v>
      </c>
      <c r="G539" s="26">
        <f t="shared" ca="1" si="201"/>
        <v>5.3805774278215219</v>
      </c>
      <c r="H539" s="10"/>
      <c r="I539" s="10"/>
    </row>
    <row r="540" spans="1:9" ht="10.199999999999999" customHeight="1">
      <c r="A540" s="22"/>
      <c r="B540" s="22"/>
      <c r="C540" s="9"/>
      <c r="D540" s="107">
        <f ca="1">+D_10W*4</f>
        <v>13.018372703412075</v>
      </c>
      <c r="E540" s="107">
        <f ca="1">D_10L*1</f>
        <v>5.3805774278215219</v>
      </c>
      <c r="F540" s="26">
        <f t="shared" ca="1" si="200"/>
        <v>13.018372703412075</v>
      </c>
      <c r="G540" s="26">
        <f t="shared" ca="1" si="201"/>
        <v>5.3805774278215219</v>
      </c>
      <c r="H540" s="10"/>
      <c r="I540" s="10"/>
    </row>
    <row r="541" spans="1:9" ht="10.199999999999999" customHeight="1">
      <c r="A541" s="22"/>
      <c r="B541" s="22"/>
      <c r="C541" s="9"/>
      <c r="D541" s="107">
        <f ca="1">+D_10W*4</f>
        <v>13.018372703412075</v>
      </c>
      <c r="E541" s="107">
        <f ca="1">C_10W*0</f>
        <v>0</v>
      </c>
      <c r="F541" s="26">
        <f t="shared" ca="1" si="200"/>
        <v>13.018372703412075</v>
      </c>
      <c r="G541" s="26">
        <f t="shared" ca="1" si="201"/>
        <v>0</v>
      </c>
      <c r="H541" s="10"/>
      <c r="I541" s="10"/>
    </row>
    <row r="542" spans="1:9" ht="10.199999999999999" customHeight="1">
      <c r="A542" s="22"/>
      <c r="B542" s="22"/>
      <c r="C542" s="9"/>
      <c r="D542" s="107">
        <f ca="1">+D_10W*3</f>
        <v>9.7637795275590555</v>
      </c>
      <c r="E542" s="107">
        <f ca="1">C_10W*0</f>
        <v>0</v>
      </c>
      <c r="F542" s="26">
        <f t="shared" ca="1" si="200"/>
        <v>9.7637795275590555</v>
      </c>
      <c r="G542" s="26">
        <f t="shared" ca="1" si="201"/>
        <v>0</v>
      </c>
      <c r="H542" s="10"/>
      <c r="I542" s="10"/>
    </row>
    <row r="543" spans="1:9" ht="10.199999999999999" customHeight="1">
      <c r="A543" s="22"/>
      <c r="B543" s="22"/>
      <c r="C543" s="9"/>
      <c r="D543" s="107">
        <f ca="1">+D_10W*4</f>
        <v>13.018372703412075</v>
      </c>
      <c r="E543" s="107">
        <f ca="1">D_10L*2</f>
        <v>10.761154855643044</v>
      </c>
      <c r="F543" s="26">
        <f t="shared" ca="1" si="200"/>
        <v>13.018372703412075</v>
      </c>
      <c r="G543" s="26">
        <f t="shared" ca="1" si="201"/>
        <v>10.761154855643044</v>
      </c>
      <c r="H543" s="10"/>
      <c r="I543" s="10"/>
    </row>
    <row r="544" spans="1:9" ht="10.199999999999999" customHeight="1">
      <c r="A544" s="22"/>
      <c r="B544" s="22"/>
      <c r="C544" s="9"/>
      <c r="D544" s="107">
        <f ca="1">+D_10W*4</f>
        <v>13.018372703412075</v>
      </c>
      <c r="E544" s="107">
        <f ca="1">-D_10L*1</f>
        <v>-5.3805774278215219</v>
      </c>
      <c r="F544" s="26">
        <f t="shared" ca="1" si="200"/>
        <v>13.018372703412075</v>
      </c>
      <c r="G544" s="26">
        <f t="shared" ca="1" si="201"/>
        <v>-5.3805774278215219</v>
      </c>
      <c r="H544" s="10"/>
      <c r="I544" s="10"/>
    </row>
    <row r="545" spans="1:9" ht="10.199999999999999" customHeight="1">
      <c r="A545" s="22"/>
      <c r="B545" s="22"/>
      <c r="C545" s="9"/>
      <c r="D545" s="107">
        <f ca="1">+D_10W*3</f>
        <v>9.7637795275590555</v>
      </c>
      <c r="E545" s="107">
        <f ca="1">D_10L*1.5</f>
        <v>8.0708661417322833</v>
      </c>
      <c r="F545" s="26">
        <f t="shared" ca="1" si="200"/>
        <v>9.7637795275590555</v>
      </c>
      <c r="G545" s="26">
        <f t="shared" ca="1" si="201"/>
        <v>8.0708661417322833</v>
      </c>
      <c r="H545" s="10"/>
      <c r="I545" s="10"/>
    </row>
    <row r="546" spans="1:9" ht="10.199999999999999" customHeight="1">
      <c r="A546" s="22"/>
      <c r="B546" s="22"/>
      <c r="C546" s="9"/>
      <c r="D546" s="107">
        <f ca="1">+D_10W*3</f>
        <v>9.7637795275590555</v>
      </c>
      <c r="E546" s="107">
        <f ca="1">-D_10L*1.5</f>
        <v>-8.0708661417322833</v>
      </c>
      <c r="F546" s="26">
        <f t="shared" ca="1" si="200"/>
        <v>9.7637795275590555</v>
      </c>
      <c r="G546" s="26">
        <f t="shared" ca="1" si="201"/>
        <v>-8.0708661417322833</v>
      </c>
      <c r="H546" s="10"/>
      <c r="I546" s="10"/>
    </row>
    <row r="547" spans="1:9" ht="10.199999999999999" customHeight="1">
      <c r="A547" s="22"/>
      <c r="B547" s="22"/>
      <c r="C547" s="9"/>
      <c r="D547" s="107">
        <f ca="1">+D_10W*2</f>
        <v>6.5091863517060373</v>
      </c>
      <c r="E547" s="107">
        <f ca="1">D_10L*1</f>
        <v>5.3805774278215219</v>
      </c>
      <c r="F547" s="26">
        <f t="shared" ca="1" si="200"/>
        <v>6.5091863517060373</v>
      </c>
      <c r="G547" s="26">
        <f t="shared" ca="1" si="201"/>
        <v>5.3805774278215219</v>
      </c>
      <c r="H547" s="10"/>
      <c r="I547" s="10"/>
    </row>
    <row r="548" spans="1:9" ht="10.199999999999999" customHeight="1">
      <c r="A548" s="22"/>
      <c r="B548" s="22"/>
      <c r="C548" s="9"/>
      <c r="D548" s="107">
        <f ca="1">+D_10W*2</f>
        <v>6.5091863517060373</v>
      </c>
      <c r="E548" s="107">
        <f ca="1">-D_10L*1</f>
        <v>-5.3805774278215219</v>
      </c>
      <c r="F548" s="26">
        <f t="shared" ca="1" si="200"/>
        <v>6.5091863517060373</v>
      </c>
      <c r="G548" s="26">
        <f t="shared" ca="1" si="201"/>
        <v>-5.3805774278215219</v>
      </c>
      <c r="H548" s="10"/>
      <c r="I548" s="10"/>
    </row>
    <row r="549" spans="1:9" ht="10.199999999999999" customHeight="1">
      <c r="A549" s="22"/>
      <c r="B549" s="22"/>
      <c r="C549" s="9"/>
      <c r="D549" s="107">
        <f ca="1">+D_10W*1</f>
        <v>3.2545931758530187</v>
      </c>
      <c r="E549" s="107">
        <f ca="1">D_10L*0.5</f>
        <v>2.690288713910761</v>
      </c>
      <c r="F549" s="26">
        <f t="shared" ca="1" si="200"/>
        <v>3.2545931758530187</v>
      </c>
      <c r="G549" s="26">
        <f t="shared" ca="1" si="201"/>
        <v>2.690288713910761</v>
      </c>
      <c r="H549" s="10"/>
      <c r="I549" s="10"/>
    </row>
    <row r="550" spans="1:9" ht="10.199999999999999" customHeight="1">
      <c r="A550" s="22"/>
      <c r="B550" s="22"/>
      <c r="C550" s="9"/>
      <c r="D550" s="107">
        <f ca="1">+D_10W*1</f>
        <v>3.2545931758530187</v>
      </c>
      <c r="E550" s="107">
        <f ca="1">-D_10L*0.5</f>
        <v>-2.690288713910761</v>
      </c>
      <c r="F550" s="26">
        <f ca="1">+D550</f>
        <v>3.2545931758530187</v>
      </c>
      <c r="G550" s="26">
        <f t="shared" ca="1" si="201"/>
        <v>-2.690288713910761</v>
      </c>
      <c r="H550" s="10"/>
      <c r="I550" s="10"/>
    </row>
    <row r="551" spans="1:9" ht="10.199999999999999" customHeight="1">
      <c r="A551" s="22"/>
      <c r="B551" s="22"/>
      <c r="C551" s="9"/>
      <c r="D551" s="107">
        <f ca="1">+D_10W*1</f>
        <v>3.2545931758530187</v>
      </c>
      <c r="E551" s="107">
        <f ca="1">C_10W*0</f>
        <v>0</v>
      </c>
      <c r="F551" s="26">
        <f ca="1">+D551</f>
        <v>3.2545931758530187</v>
      </c>
      <c r="G551" s="26">
        <f t="shared" ca="1" si="201"/>
        <v>0</v>
      </c>
      <c r="H551" s="10"/>
      <c r="I551" s="10"/>
    </row>
    <row r="552" spans="1:9" ht="10.199999999999999" customHeight="1">
      <c r="A552" s="22"/>
      <c r="B552" s="22"/>
      <c r="C552" s="9"/>
      <c r="D552" s="107">
        <f ca="1">+D_10W*2</f>
        <v>6.5091863517060373</v>
      </c>
      <c r="E552" s="107">
        <f ca="1">C_10W*0</f>
        <v>0</v>
      </c>
      <c r="F552" s="26">
        <f ca="1">+D552</f>
        <v>6.5091863517060373</v>
      </c>
      <c r="G552" s="26">
        <f t="shared" ca="1" si="201"/>
        <v>0</v>
      </c>
      <c r="H552" s="10"/>
      <c r="I552" s="10"/>
    </row>
    <row r="553" spans="1:9" ht="10.199999999999999" customHeight="1">
      <c r="A553" s="22"/>
      <c r="B553" s="22"/>
      <c r="C553" s="9" t="s">
        <v>53</v>
      </c>
      <c r="D553" s="107">
        <f ca="1">+D_10WC-E553</f>
        <v>7.7015994094488196</v>
      </c>
      <c r="E553" s="107">
        <f ca="1">AVERAGE(D_10PL,D_10PWHE)/CM</f>
        <v>0.434883530183727</v>
      </c>
      <c r="F553" s="26">
        <f t="shared" ref="F553" ca="1" si="202">+D553</f>
        <v>7.7015994094488196</v>
      </c>
      <c r="G553" s="26">
        <f t="shared" ca="1" si="201"/>
        <v>0.434883530183727</v>
      </c>
      <c r="H553" s="10"/>
      <c r="I553" s="10"/>
    </row>
    <row r="554" spans="1:9" ht="10.199999999999999" customHeight="1">
      <c r="A554" s="22"/>
      <c r="B554" s="22"/>
      <c r="C554" s="9"/>
      <c r="D554" s="107">
        <f ca="1">+D_10WC+E553</f>
        <v>8.5713664698162741</v>
      </c>
      <c r="E554" s="107">
        <f ca="1">-E553</f>
        <v>-0.434883530183727</v>
      </c>
      <c r="F554" s="26">
        <f ca="1">+D554</f>
        <v>8.5713664698162741</v>
      </c>
      <c r="G554" s="26">
        <f ca="1">+E554</f>
        <v>-0.434883530183727</v>
      </c>
      <c r="H554" s="10"/>
      <c r="I554" s="10"/>
    </row>
    <row r="555" spans="1:9" ht="10.199999999999999" customHeight="1">
      <c r="A555" s="22"/>
      <c r="B555" s="22"/>
      <c r="C555" s="9" t="s">
        <v>41</v>
      </c>
      <c r="D555" s="107">
        <f ca="1">D554</f>
        <v>8.5713664698162741</v>
      </c>
      <c r="E555" s="107">
        <f ca="1">+E553</f>
        <v>0.434883530183727</v>
      </c>
      <c r="F555" s="26">
        <f t="shared" ref="F555:F564" ca="1" si="203">+D555</f>
        <v>8.5713664698162741</v>
      </c>
      <c r="G555" s="26">
        <f t="shared" ref="G555:G564" ca="1" si="204">+E555</f>
        <v>0.434883530183727</v>
      </c>
      <c r="H555" s="10"/>
      <c r="I555" s="10"/>
    </row>
    <row r="556" spans="1:9" ht="10.199999999999999" customHeight="1">
      <c r="A556" s="22"/>
      <c r="B556" s="22"/>
      <c r="C556" s="9"/>
      <c r="D556" s="107">
        <f ca="1">D553</f>
        <v>7.7015994094488196</v>
      </c>
      <c r="E556" s="107">
        <f ca="1">E554</f>
        <v>-0.434883530183727</v>
      </c>
      <c r="F556" s="26">
        <f t="shared" ca="1" si="203"/>
        <v>7.7015994094488196</v>
      </c>
      <c r="G556" s="26">
        <f t="shared" ca="1" si="204"/>
        <v>-0.434883530183727</v>
      </c>
      <c r="H556" s="10"/>
      <c r="I556" s="10"/>
    </row>
    <row r="557" spans="1:9" ht="10.199999999999999" customHeight="1">
      <c r="A557" s="22"/>
      <c r="B557" s="22"/>
      <c r="C557" s="9" t="s">
        <v>54</v>
      </c>
      <c r="D557" s="107">
        <f ca="1">+D554</f>
        <v>8.5713664698162741</v>
      </c>
      <c r="E557" s="107">
        <f ca="1">+D_10WTC-E553</f>
        <v>3.6005495406824148</v>
      </c>
      <c r="F557" s="26">
        <f t="shared" ca="1" si="203"/>
        <v>8.5713664698162741</v>
      </c>
      <c r="G557" s="26">
        <f t="shared" ca="1" si="204"/>
        <v>3.6005495406824148</v>
      </c>
      <c r="H557" s="10"/>
      <c r="I557" s="10"/>
    </row>
    <row r="558" spans="1:9" ht="10.199999999999999" customHeight="1">
      <c r="A558" s="22"/>
      <c r="B558" s="22"/>
      <c r="C558" s="9"/>
      <c r="D558" s="107">
        <f ca="1">D553</f>
        <v>7.7015994094488196</v>
      </c>
      <c r="E558" s="107">
        <f ca="1">+D_10WTC+E553</f>
        <v>4.4703166010498689</v>
      </c>
      <c r="F558" s="26">
        <f t="shared" ca="1" si="203"/>
        <v>7.7015994094488196</v>
      </c>
      <c r="G558" s="26">
        <f t="shared" ca="1" si="204"/>
        <v>4.4703166010498689</v>
      </c>
      <c r="H558" s="10"/>
      <c r="I558" s="10"/>
    </row>
    <row r="559" spans="1:9" ht="10.199999999999999" customHeight="1">
      <c r="A559" s="22"/>
      <c r="B559" s="22"/>
      <c r="C559" s="9"/>
      <c r="D559" s="107">
        <f ca="1">D554</f>
        <v>8.5713664698162741</v>
      </c>
      <c r="E559" s="107">
        <f ca="1">E558</f>
        <v>4.4703166010498689</v>
      </c>
      <c r="F559" s="26">
        <f t="shared" ca="1" si="203"/>
        <v>8.5713664698162741</v>
      </c>
      <c r="G559" s="26">
        <f t="shared" ca="1" si="204"/>
        <v>4.4703166010498689</v>
      </c>
      <c r="H559" s="10"/>
      <c r="I559" s="12"/>
    </row>
    <row r="560" spans="1:9" ht="10.199999999999999" customHeight="1">
      <c r="A560" s="22"/>
      <c r="B560" s="22"/>
      <c r="C560" s="9" t="s">
        <v>41</v>
      </c>
      <c r="D560" s="107">
        <f ca="1">+D553</f>
        <v>7.7015994094488196</v>
      </c>
      <c r="E560" s="107">
        <f ca="1">+E557</f>
        <v>3.6005495406824148</v>
      </c>
      <c r="F560" s="26">
        <f t="shared" ca="1" si="203"/>
        <v>7.7015994094488196</v>
      </c>
      <c r="G560" s="26">
        <f t="shared" ca="1" si="204"/>
        <v>3.6005495406824148</v>
      </c>
      <c r="H560" s="10"/>
      <c r="I560" s="10"/>
    </row>
    <row r="561" spans="1:9" ht="10.199999999999999" customHeight="1">
      <c r="A561" s="22"/>
      <c r="B561" s="22"/>
      <c r="C561" s="9" t="s">
        <v>205</v>
      </c>
      <c r="D561" s="107">
        <v>0</v>
      </c>
      <c r="E561" s="107">
        <f ca="1">+D_10L/2</f>
        <v>2.690288713910761</v>
      </c>
      <c r="F561" s="26">
        <f t="shared" si="203"/>
        <v>0</v>
      </c>
      <c r="G561" s="26">
        <f t="shared" ca="1" si="204"/>
        <v>2.690288713910761</v>
      </c>
      <c r="H561" s="10"/>
      <c r="I561" s="10"/>
    </row>
    <row r="562" spans="1:9" ht="10.199999999999999" customHeight="1">
      <c r="A562" s="22"/>
      <c r="B562" s="22"/>
      <c r="D562" s="107">
        <f ca="1">+D_10W*3</f>
        <v>9.7637795275590555</v>
      </c>
      <c r="E562" s="107">
        <f ca="1">D_10L*2</f>
        <v>10.761154855643044</v>
      </c>
      <c r="F562" s="26">
        <f t="shared" ca="1" si="203"/>
        <v>9.7637795275590555</v>
      </c>
      <c r="G562" s="26">
        <f t="shared" ca="1" si="204"/>
        <v>10.761154855643044</v>
      </c>
      <c r="H562" s="10"/>
      <c r="I562" s="10"/>
    </row>
    <row r="563" spans="1:9" ht="10.199999999999999" customHeight="1">
      <c r="A563" s="22"/>
      <c r="B563" s="22"/>
      <c r="C563" s="9"/>
      <c r="D563" s="107">
        <f ca="1">D562</f>
        <v>9.7637795275590555</v>
      </c>
      <c r="E563" s="107">
        <f ca="1">-E562</f>
        <v>-10.761154855643044</v>
      </c>
      <c r="F563" s="26">
        <f t="shared" ca="1" si="203"/>
        <v>9.7637795275590555</v>
      </c>
      <c r="G563" s="26">
        <f t="shared" ca="1" si="204"/>
        <v>-10.761154855643044</v>
      </c>
    </row>
    <row r="564" spans="1:9" ht="10.199999999999999" customHeight="1">
      <c r="A564" s="22"/>
      <c r="B564" s="22"/>
      <c r="D564" s="107">
        <f>0</f>
        <v>0</v>
      </c>
      <c r="E564" s="107">
        <f ca="1">-E561</f>
        <v>-2.690288713910761</v>
      </c>
      <c r="F564" s="26">
        <f t="shared" si="203"/>
        <v>0</v>
      </c>
      <c r="G564" s="26">
        <f t="shared" ca="1" si="204"/>
        <v>-2.690288713910761</v>
      </c>
      <c r="H564" s="10"/>
      <c r="I564" s="10"/>
    </row>
    <row r="565" spans="1:9" ht="10.199999999999999" customHeight="1">
      <c r="A565" s="22"/>
      <c r="B565" s="22"/>
      <c r="C565" s="9"/>
      <c r="D565" s="107"/>
      <c r="E565" s="107"/>
      <c r="F565" s="26"/>
      <c r="G565" s="26"/>
      <c r="H565" s="10"/>
      <c r="I565" s="10"/>
    </row>
    <row r="566" spans="1:9" ht="10.199999999999999" customHeight="1">
      <c r="A566" s="305" t="s">
        <v>222</v>
      </c>
      <c r="B566" s="304"/>
      <c r="C566" s="23" t="str">
        <f ca="1">PModel</f>
        <v>SS250-60P</v>
      </c>
      <c r="D566" s="300">
        <f ca="1">+PLFt</f>
        <v>5.3805774278215219</v>
      </c>
      <c r="E566" s="300">
        <f ca="1">+PWFt</f>
        <v>3.2545931758530187</v>
      </c>
      <c r="F566" s="26"/>
      <c r="G566" s="26"/>
    </row>
    <row r="567" spans="1:9" ht="10.199999999999999" customHeight="1">
      <c r="A567" s="286" t="s">
        <v>8</v>
      </c>
      <c r="B567" s="286"/>
      <c r="C567" s="283">
        <f ca="1">C_4L*2+Spacing*1</f>
        <v>10.80282152230971</v>
      </c>
      <c r="D567" s="107">
        <f>0</f>
        <v>0</v>
      </c>
      <c r="E567" s="107">
        <f>0</f>
        <v>0</v>
      </c>
      <c r="F567" s="26">
        <f t="shared" ref="F567:F575" si="205">+D567</f>
        <v>0</v>
      </c>
      <c r="G567" s="26">
        <f t="shared" ref="G567:G575" si="206">+E567</f>
        <v>0</v>
      </c>
      <c r="H567" s="10"/>
      <c r="I567" s="10"/>
    </row>
    <row r="568" spans="1:9" ht="10.199999999999999" customHeight="1">
      <c r="A568" s="286" t="s">
        <v>0</v>
      </c>
      <c r="B568" s="286"/>
      <c r="C568" s="284">
        <f ca="1">+C_4W*2+Spacing*1</f>
        <v>6.5508530183727043</v>
      </c>
      <c r="D568" s="107">
        <f>0</f>
        <v>0</v>
      </c>
      <c r="E568" s="107">
        <f ca="1">C_4W</f>
        <v>3.2545931758530187</v>
      </c>
      <c r="F568" s="26">
        <f t="shared" si="205"/>
        <v>0</v>
      </c>
      <c r="G568" s="26">
        <f t="shared" ca="1" si="206"/>
        <v>3.2545931758530187</v>
      </c>
      <c r="H568" s="10"/>
      <c r="I568" s="10"/>
    </row>
    <row r="569" spans="1:9" ht="10.199999999999999" customHeight="1">
      <c r="A569" s="286" t="s">
        <v>2</v>
      </c>
      <c r="B569" s="286"/>
      <c r="C569" s="284">
        <f ca="1">+C_4W*2+Spacing*1</f>
        <v>6.5508530183727043</v>
      </c>
      <c r="D569" s="107">
        <f ca="1">C_4L*2</f>
        <v>10.761154855643044</v>
      </c>
      <c r="E569" s="107">
        <f ca="1">C_4W</f>
        <v>3.2545931758530187</v>
      </c>
      <c r="F569" s="26">
        <f t="shared" ca="1" si="205"/>
        <v>10.761154855643044</v>
      </c>
      <c r="G569" s="26">
        <f t="shared" ca="1" si="206"/>
        <v>3.2545931758530187</v>
      </c>
      <c r="H569" s="10"/>
      <c r="I569" s="10"/>
    </row>
    <row r="570" spans="1:9" ht="10.199999999999999" customHeight="1">
      <c r="A570" s="286" t="s">
        <v>206</v>
      </c>
      <c r="B570" s="286"/>
      <c r="C570" s="284">
        <f>0</f>
        <v>0</v>
      </c>
      <c r="D570" s="107">
        <f ca="1">C_4L*2</f>
        <v>10.761154855643044</v>
      </c>
      <c r="E570" s="107">
        <f ca="1">-C_4W</f>
        <v>-3.2545931758530187</v>
      </c>
      <c r="F570" s="26">
        <f t="shared" ca="1" si="205"/>
        <v>10.761154855643044</v>
      </c>
      <c r="G570" s="26">
        <f t="shared" ca="1" si="206"/>
        <v>-3.2545931758530187</v>
      </c>
      <c r="H570" s="10"/>
      <c r="I570" s="10"/>
    </row>
    <row r="571" spans="1:9" ht="10.199999999999999" customHeight="1">
      <c r="A571" s="286" t="s">
        <v>207</v>
      </c>
      <c r="B571" s="286"/>
      <c r="C571" s="285">
        <f>0</f>
        <v>0</v>
      </c>
      <c r="D571" s="107">
        <f>0</f>
        <v>0</v>
      </c>
      <c r="E571" s="107">
        <f ca="1">-C_4W</f>
        <v>-3.2545931758530187</v>
      </c>
      <c r="F571" s="26">
        <f t="shared" si="205"/>
        <v>0</v>
      </c>
      <c r="G571" s="26">
        <f t="shared" ca="1" si="206"/>
        <v>-3.2545931758530187</v>
      </c>
      <c r="H571" s="10"/>
      <c r="I571" s="10"/>
    </row>
    <row r="572" spans="1:9" ht="10.199999999999999" customHeight="1">
      <c r="A572" s="105" t="s">
        <v>69</v>
      </c>
      <c r="B572" s="105"/>
      <c r="C572" s="163">
        <v>2</v>
      </c>
      <c r="D572" s="107">
        <f>0</f>
        <v>0</v>
      </c>
      <c r="E572" s="107">
        <f>0</f>
        <v>0</v>
      </c>
      <c r="F572" s="26">
        <f t="shared" si="205"/>
        <v>0</v>
      </c>
      <c r="G572" s="26">
        <f t="shared" si="206"/>
        <v>0</v>
      </c>
      <c r="H572" s="10"/>
      <c r="I572" s="10"/>
    </row>
    <row r="573" spans="1:9" ht="10.199999999999999" customHeight="1">
      <c r="A573" s="105" t="s">
        <v>70</v>
      </c>
      <c r="B573" s="105"/>
      <c r="C573" s="164">
        <v>2</v>
      </c>
      <c r="D573" s="107">
        <f ca="1">C_4L*2</f>
        <v>10.761154855643044</v>
      </c>
      <c r="E573" s="107">
        <f>0</f>
        <v>0</v>
      </c>
      <c r="F573" s="26">
        <f t="shared" ca="1" si="205"/>
        <v>10.761154855643044</v>
      </c>
      <c r="G573" s="26">
        <f t="shared" si="206"/>
        <v>0</v>
      </c>
      <c r="H573" s="10"/>
      <c r="I573" s="10"/>
    </row>
    <row r="574" spans="1:9" ht="10.199999999999999" customHeight="1">
      <c r="A574" s="105" t="s">
        <v>51</v>
      </c>
      <c r="B574" s="105"/>
      <c r="C574" s="98">
        <f ca="1">+C_4L*C_4W*C_4SC*C_4PC</f>
        <v>70.046362314946848</v>
      </c>
      <c r="D574" s="107">
        <f ca="1">C_4L</f>
        <v>5.3805774278215219</v>
      </c>
      <c r="E574" s="107">
        <f ca="1">C_4W</f>
        <v>3.2545931758530187</v>
      </c>
      <c r="F574" s="26">
        <f t="shared" ca="1" si="205"/>
        <v>5.3805774278215219</v>
      </c>
      <c r="G574" s="26">
        <f t="shared" ca="1" si="206"/>
        <v>3.2545931758530187</v>
      </c>
      <c r="H574" s="10"/>
      <c r="I574" s="10"/>
    </row>
    <row r="575" spans="1:9" ht="10.199999999999999" customHeight="1">
      <c r="A575" s="105" t="s">
        <v>52</v>
      </c>
      <c r="B575" s="105"/>
      <c r="C575" s="281">
        <f ca="1">C_4PA*StraightLineWind</f>
        <v>700.4636231494685</v>
      </c>
      <c r="D575" s="107">
        <f ca="1">C_4L</f>
        <v>5.3805774278215219</v>
      </c>
      <c r="E575" s="107">
        <f ca="1">-C_4W</f>
        <v>-3.2545931758530187</v>
      </c>
      <c r="F575" s="26">
        <f t="shared" ca="1" si="205"/>
        <v>5.3805774278215219</v>
      </c>
      <c r="G575" s="26">
        <f t="shared" ca="1" si="206"/>
        <v>-3.2545931758530187</v>
      </c>
      <c r="H575" s="10"/>
      <c r="I575" s="10"/>
    </row>
    <row r="576" spans="1:9" ht="10.199999999999999" customHeight="1">
      <c r="A576" s="105" t="s">
        <v>82</v>
      </c>
      <c r="B576" s="105"/>
      <c r="C576" s="31">
        <f ca="1">+C_4L*2/2</f>
        <v>5.3805774278215219</v>
      </c>
      <c r="D576" s="107">
        <f>0</f>
        <v>0</v>
      </c>
      <c r="E576" s="107">
        <f ca="1">C_4W</f>
        <v>3.2545931758530187</v>
      </c>
      <c r="F576" s="26">
        <f t="shared" ref="F576:F585" si="207">+D576</f>
        <v>0</v>
      </c>
      <c r="G576" s="26">
        <f t="shared" ref="G576:G585" ca="1" si="208">+E576</f>
        <v>3.2545931758530187</v>
      </c>
      <c r="H576" s="10"/>
      <c r="I576" s="10"/>
    </row>
    <row r="577" spans="1:9" ht="10.199999999999999" customHeight="1">
      <c r="A577" s="105" t="s">
        <v>83</v>
      </c>
      <c r="B577" s="105"/>
      <c r="C577" s="31">
        <f ca="1">+C_4W*2/4</f>
        <v>1.6272965879265093</v>
      </c>
      <c r="D577" s="107">
        <f>0</f>
        <v>0</v>
      </c>
      <c r="E577" s="107">
        <f ca="1">-C_4W</f>
        <v>-3.2545931758530187</v>
      </c>
      <c r="F577" s="26">
        <f t="shared" si="207"/>
        <v>0</v>
      </c>
      <c r="G577" s="26">
        <f t="shared" ca="1" si="208"/>
        <v>-3.2545931758530187</v>
      </c>
      <c r="H577" s="10"/>
      <c r="I577" s="10"/>
    </row>
    <row r="578" spans="1:9" ht="10.199999999999999" customHeight="1">
      <c r="A578" s="105" t="s">
        <v>60</v>
      </c>
      <c r="B578" s="105"/>
      <c r="C578" s="282">
        <f ca="1">+C_4WL*C_4WTC</f>
        <v>1139.8620639177705</v>
      </c>
      <c r="D578" s="107">
        <f ca="1">+C_4L-E578</f>
        <v>5.163656496062992</v>
      </c>
      <c r="E578" s="107">
        <f ca="1">AVERAGE(C_4PL,C_4PWHE)/CM</f>
        <v>0.21692093175853017</v>
      </c>
      <c r="F578" s="26">
        <f t="shared" ca="1" si="207"/>
        <v>5.163656496062992</v>
      </c>
      <c r="G578" s="26">
        <f t="shared" ca="1" si="208"/>
        <v>0.21692093175853017</v>
      </c>
      <c r="H578" s="10"/>
      <c r="I578" s="10"/>
    </row>
    <row r="579" spans="1:9" ht="10.199999999999999" customHeight="1">
      <c r="A579" s="105" t="s">
        <v>42</v>
      </c>
      <c r="B579" s="105"/>
      <c r="C579" s="32">
        <f ca="1">PWatt*C_4SC*C_4PC</f>
        <v>1000</v>
      </c>
      <c r="D579" s="107">
        <f ca="1">+C_4L+E578</f>
        <v>5.5974983595800518</v>
      </c>
      <c r="E579" s="107">
        <f ca="1">-E578</f>
        <v>-0.21692093175853017</v>
      </c>
      <c r="F579" s="26">
        <f t="shared" ca="1" si="207"/>
        <v>5.5974983595800518</v>
      </c>
      <c r="G579" s="26">
        <f t="shared" ca="1" si="208"/>
        <v>-0.21692093175853017</v>
      </c>
      <c r="H579" s="10"/>
      <c r="I579" s="10"/>
    </row>
    <row r="580" spans="1:9" ht="10.199999999999999" customHeight="1">
      <c r="A580" s="105" t="s">
        <v>36</v>
      </c>
      <c r="B580" s="105"/>
      <c r="C580" s="33">
        <f ca="1">PVmp*C_4SC</f>
        <v>61</v>
      </c>
      <c r="D580" s="107">
        <f ca="1">D579</f>
        <v>5.5974983595800518</v>
      </c>
      <c r="E580" s="107">
        <f ca="1">+E578</f>
        <v>0.21692093175853017</v>
      </c>
      <c r="F580" s="26">
        <f t="shared" ca="1" si="207"/>
        <v>5.5974983595800518</v>
      </c>
      <c r="G580" s="26">
        <f t="shared" ca="1" si="208"/>
        <v>0.21692093175853017</v>
      </c>
      <c r="H580" s="10"/>
      <c r="I580" s="10"/>
    </row>
    <row r="581" spans="1:9" ht="10.199999999999999" customHeight="1">
      <c r="A581" s="105" t="s">
        <v>37</v>
      </c>
      <c r="B581" s="105"/>
      <c r="C581" s="34">
        <f ca="1">PVoc*C_4SC</f>
        <v>74.400000000000006</v>
      </c>
      <c r="D581" s="107">
        <f ca="1">D578</f>
        <v>5.163656496062992</v>
      </c>
      <c r="E581" s="107">
        <f ca="1">-E578</f>
        <v>-0.21692093175853017</v>
      </c>
      <c r="F581" s="26">
        <f t="shared" ca="1" si="207"/>
        <v>5.163656496062992</v>
      </c>
      <c r="G581" s="26">
        <f t="shared" ca="1" si="208"/>
        <v>-0.21692093175853017</v>
      </c>
      <c r="H581" s="10"/>
      <c r="I581" s="10"/>
    </row>
    <row r="582" spans="1:9" ht="10.199999999999999" customHeight="1">
      <c r="A582" s="105" t="s">
        <v>43</v>
      </c>
      <c r="B582" s="105"/>
      <c r="C582" s="35">
        <f ca="1">PImp*C_4PC</f>
        <v>16.399999999999999</v>
      </c>
      <c r="D582" s="107">
        <f ca="1">+D579</f>
        <v>5.5974983595800518</v>
      </c>
      <c r="E582" s="107">
        <f ca="1">+C_4WTC-E578</f>
        <v>1.4103756561679792</v>
      </c>
      <c r="F582" s="26">
        <f t="shared" ca="1" si="207"/>
        <v>5.5974983595800518</v>
      </c>
      <c r="G582" s="26">
        <f t="shared" ca="1" si="208"/>
        <v>1.4103756561679792</v>
      </c>
      <c r="H582" s="10"/>
      <c r="I582" s="10"/>
    </row>
    <row r="583" spans="1:9" ht="10.199999999999999" customHeight="1">
      <c r="A583" s="105" t="s">
        <v>44</v>
      </c>
      <c r="B583" s="105"/>
      <c r="C583" s="36">
        <f ca="1">PIsc*C_4PC</f>
        <v>17.600000000000001</v>
      </c>
      <c r="D583" s="107">
        <f ca="1">+D578</f>
        <v>5.163656496062992</v>
      </c>
      <c r="E583" s="107">
        <f ca="1">+C_4WTC+E578</f>
        <v>1.8442175196850394</v>
      </c>
      <c r="F583" s="26">
        <f t="shared" ca="1" si="207"/>
        <v>5.163656496062992</v>
      </c>
      <c r="G583" s="26">
        <f t="shared" ca="1" si="208"/>
        <v>1.8442175196850394</v>
      </c>
      <c r="H583" s="10"/>
      <c r="I583" s="10"/>
    </row>
    <row r="584" spans="1:9" ht="10.199999999999999" customHeight="1">
      <c r="C584" s="9" t="s">
        <v>53</v>
      </c>
      <c r="D584" s="107">
        <f ca="1">+D579</f>
        <v>5.5974983595800518</v>
      </c>
      <c r="E584" s="107">
        <f ca="1">E583</f>
        <v>1.8442175196850394</v>
      </c>
      <c r="F584" s="26">
        <f t="shared" ca="1" si="207"/>
        <v>5.5974983595800518</v>
      </c>
      <c r="G584" s="26">
        <f t="shared" ca="1" si="208"/>
        <v>1.8442175196850394</v>
      </c>
      <c r="H584" s="10"/>
      <c r="I584" s="10"/>
    </row>
    <row r="585" spans="1:9" ht="10.199999999999999" customHeight="1">
      <c r="A585" s="22"/>
      <c r="B585" s="22"/>
      <c r="C585" s="9" t="s">
        <v>54</v>
      </c>
      <c r="D585" s="107">
        <f ca="1">D578</f>
        <v>5.163656496062992</v>
      </c>
      <c r="E585" s="107">
        <f ca="1">+E582</f>
        <v>1.4103756561679792</v>
      </c>
      <c r="F585" s="26">
        <f t="shared" ca="1" si="207"/>
        <v>5.163656496062992</v>
      </c>
      <c r="G585" s="26">
        <f t="shared" ca="1" si="208"/>
        <v>1.4103756561679792</v>
      </c>
      <c r="H585" s="10"/>
      <c r="I585" s="10"/>
    </row>
    <row r="586" spans="1:9" ht="10.199999999999999" customHeight="1">
      <c r="A586" s="22"/>
      <c r="B586" s="22"/>
      <c r="C586" s="9"/>
      <c r="D586" s="107"/>
      <c r="E586" s="107"/>
      <c r="F586" s="10"/>
      <c r="G586" s="10"/>
      <c r="H586" s="10"/>
      <c r="I586" s="10"/>
    </row>
    <row r="587" spans="1:9" ht="10.199999999999999" customHeight="1">
      <c r="A587" s="305" t="s">
        <v>219</v>
      </c>
      <c r="B587" s="304"/>
      <c r="C587" s="23" t="str">
        <f ca="1">PModel</f>
        <v>SS250-60P</v>
      </c>
      <c r="D587" s="300">
        <f ca="1">+PLFt</f>
        <v>5.3805774278215219</v>
      </c>
      <c r="E587" s="300">
        <f ca="1">+PWFt</f>
        <v>3.2545931758530187</v>
      </c>
      <c r="F587" s="26"/>
      <c r="G587" s="26"/>
    </row>
    <row r="588" spans="1:9" ht="10.199999999999999" customHeight="1">
      <c r="A588" s="286" t="s">
        <v>8</v>
      </c>
      <c r="B588" s="286"/>
      <c r="C588" s="283">
        <f ca="1">D_6L*2+Spacing</f>
        <v>10.80282152230971</v>
      </c>
      <c r="D588" s="107">
        <f>0</f>
        <v>0</v>
      </c>
      <c r="E588" s="107">
        <f ca="1">D_6W/2</f>
        <v>1.6272965879265093</v>
      </c>
      <c r="F588" s="26">
        <f t="shared" ref="F588" si="209">+D588</f>
        <v>0</v>
      </c>
      <c r="G588" s="26">
        <f t="shared" ref="G588" ca="1" si="210">+E588</f>
        <v>1.6272965879265093</v>
      </c>
      <c r="H588" s="10"/>
      <c r="I588" s="10"/>
    </row>
    <row r="589" spans="1:9" ht="10.199999999999999" customHeight="1">
      <c r="A589" s="286" t="s">
        <v>0</v>
      </c>
      <c r="B589" s="286"/>
      <c r="C589" s="284">
        <f ca="1">+D_6W*3+Spacing*2</f>
        <v>9.8471128608923895</v>
      </c>
      <c r="D589" s="107">
        <f>0</f>
        <v>0</v>
      </c>
      <c r="E589" s="107">
        <f ca="1">D_6W*3/2</f>
        <v>4.8818897637795278</v>
      </c>
      <c r="F589" s="26">
        <f t="shared" ref="F589:F610" si="211">+D589</f>
        <v>0</v>
      </c>
      <c r="G589" s="26">
        <f t="shared" ref="G589:G610" ca="1" si="212">+E589</f>
        <v>4.8818897637795278</v>
      </c>
      <c r="H589" s="10"/>
      <c r="I589" s="10"/>
    </row>
    <row r="590" spans="1:9" ht="10.199999999999999" customHeight="1">
      <c r="A590" s="286" t="s">
        <v>2</v>
      </c>
      <c r="B590" s="286"/>
      <c r="C590" s="284">
        <f ca="1">+D_6W*3+Spacing*2</f>
        <v>9.8471128608923895</v>
      </c>
      <c r="D590" s="107">
        <f ca="1">D_6L</f>
        <v>5.3805774278215219</v>
      </c>
      <c r="E590" s="107">
        <f ca="1">D_6W*3/2</f>
        <v>4.8818897637795278</v>
      </c>
      <c r="F590" s="26">
        <f t="shared" ca="1" si="211"/>
        <v>5.3805774278215219</v>
      </c>
      <c r="G590" s="26">
        <f t="shared" ca="1" si="212"/>
        <v>4.8818897637795278</v>
      </c>
      <c r="H590" s="10"/>
      <c r="I590" s="10"/>
    </row>
    <row r="591" spans="1:9" ht="10.199999999999999" customHeight="1">
      <c r="A591" s="286" t="s">
        <v>206</v>
      </c>
      <c r="B591" s="286"/>
      <c r="C591" s="284">
        <f>0</f>
        <v>0</v>
      </c>
      <c r="D591" s="107">
        <f ca="1">D_6L</f>
        <v>5.3805774278215219</v>
      </c>
      <c r="E591" s="107">
        <f ca="1">D_6W/2</f>
        <v>1.6272965879265093</v>
      </c>
      <c r="F591" s="26">
        <f t="shared" ca="1" si="211"/>
        <v>5.3805774278215219</v>
      </c>
      <c r="G591" s="26">
        <f t="shared" ca="1" si="212"/>
        <v>1.6272965879265093</v>
      </c>
      <c r="H591" s="10"/>
      <c r="I591" s="10"/>
    </row>
    <row r="592" spans="1:9" ht="10.199999999999999" customHeight="1">
      <c r="A592" s="286" t="s">
        <v>207</v>
      </c>
      <c r="B592" s="286"/>
      <c r="C592" s="285">
        <f>0</f>
        <v>0</v>
      </c>
      <c r="D592" s="107">
        <f>0</f>
        <v>0</v>
      </c>
      <c r="E592" s="107">
        <f ca="1">D_6W/2</f>
        <v>1.6272965879265093</v>
      </c>
      <c r="F592" s="26">
        <f t="shared" si="211"/>
        <v>0</v>
      </c>
      <c r="G592" s="26">
        <f t="shared" ca="1" si="212"/>
        <v>1.6272965879265093</v>
      </c>
      <c r="H592" s="10"/>
      <c r="I592" s="10"/>
    </row>
    <row r="593" spans="1:9" ht="10.199999999999999" customHeight="1">
      <c r="A593" s="105" t="s">
        <v>69</v>
      </c>
      <c r="B593" s="105"/>
      <c r="C593" s="163">
        <v>6</v>
      </c>
      <c r="D593" s="107">
        <f>0</f>
        <v>0</v>
      </c>
      <c r="E593" s="107">
        <f ca="1">-D_6W/2</f>
        <v>-1.6272965879265093</v>
      </c>
      <c r="F593" s="26">
        <f t="shared" si="211"/>
        <v>0</v>
      </c>
      <c r="G593" s="26">
        <f t="shared" ca="1" si="212"/>
        <v>-1.6272965879265093</v>
      </c>
      <c r="H593" s="10"/>
      <c r="I593" s="10"/>
    </row>
    <row r="594" spans="1:9" ht="10.199999999999999" customHeight="1">
      <c r="A594" s="105" t="s">
        <v>70</v>
      </c>
      <c r="B594" s="105"/>
      <c r="C594" s="164">
        <v>1</v>
      </c>
      <c r="D594" s="107">
        <f ca="1">D_6L</f>
        <v>5.3805774278215219</v>
      </c>
      <c r="E594" s="107">
        <f ca="1">-D_6W/2</f>
        <v>-1.6272965879265093</v>
      </c>
      <c r="F594" s="26">
        <f t="shared" ca="1" si="211"/>
        <v>5.3805774278215219</v>
      </c>
      <c r="G594" s="26">
        <f t="shared" ca="1" si="212"/>
        <v>-1.6272965879265093</v>
      </c>
      <c r="H594" s="10"/>
      <c r="I594" s="10"/>
    </row>
    <row r="595" spans="1:9" ht="10.199999999999999" customHeight="1">
      <c r="A595" s="105" t="s">
        <v>51</v>
      </c>
      <c r="B595" s="105"/>
      <c r="C595" s="98">
        <f ca="1">+D_6L*D_6W*D_6SC*D_6PC</f>
        <v>105.06954347242026</v>
      </c>
      <c r="D595" s="107">
        <f ca="1">D_6L</f>
        <v>5.3805774278215219</v>
      </c>
      <c r="E595" s="107">
        <f ca="1">-D_6W*3/2</f>
        <v>-4.8818897637795278</v>
      </c>
      <c r="F595" s="26">
        <f t="shared" ca="1" si="211"/>
        <v>5.3805774278215219</v>
      </c>
      <c r="G595" s="26">
        <f t="shared" ca="1" si="212"/>
        <v>-4.8818897637795278</v>
      </c>
      <c r="H595" s="10"/>
      <c r="I595" s="10"/>
    </row>
    <row r="596" spans="1:9" ht="10.199999999999999" customHeight="1">
      <c r="A596" s="105" t="s">
        <v>52</v>
      </c>
      <c r="B596" s="105"/>
      <c r="C596" s="281">
        <f ca="1">D_6PA*StraightLineWind</f>
        <v>1050.6954347242026</v>
      </c>
      <c r="D596" s="107">
        <f ca="1">+D_6L*2</f>
        <v>10.761154855643044</v>
      </c>
      <c r="E596" s="107">
        <f ca="1">-D_6W*3/2</f>
        <v>-4.8818897637795278</v>
      </c>
      <c r="F596" s="26">
        <f t="shared" ca="1" si="211"/>
        <v>10.761154855643044</v>
      </c>
      <c r="G596" s="26">
        <f t="shared" ca="1" si="212"/>
        <v>-4.8818897637795278</v>
      </c>
      <c r="H596" s="10"/>
      <c r="I596" s="10"/>
    </row>
    <row r="597" spans="1:9" ht="10.199999999999999" customHeight="1">
      <c r="A597" s="105" t="s">
        <v>82</v>
      </c>
      <c r="B597" s="105"/>
      <c r="C597" s="31">
        <f ca="1">+D_6L*2/2</f>
        <v>5.3805774278215219</v>
      </c>
      <c r="D597" s="107">
        <f ca="1">+D_6L*2</f>
        <v>10.761154855643044</v>
      </c>
      <c r="E597" s="107">
        <f ca="1">-D_6W/2</f>
        <v>-1.6272965879265093</v>
      </c>
      <c r="F597" s="26">
        <f t="shared" ca="1" si="211"/>
        <v>10.761154855643044</v>
      </c>
      <c r="G597" s="26">
        <f t="shared" ca="1" si="212"/>
        <v>-1.6272965879265093</v>
      </c>
      <c r="H597" s="10"/>
      <c r="I597" s="10"/>
    </row>
    <row r="598" spans="1:9" ht="10.199999999999999" customHeight="1">
      <c r="A598" s="105" t="s">
        <v>83</v>
      </c>
      <c r="B598" s="105"/>
      <c r="C598" s="31">
        <f ca="1">+D_6W*3/4</f>
        <v>2.4409448818897639</v>
      </c>
      <c r="D598" s="107">
        <f ca="1">+D_6L</f>
        <v>5.3805774278215219</v>
      </c>
      <c r="E598" s="107">
        <f ca="1">-D_6W/2</f>
        <v>-1.6272965879265093</v>
      </c>
      <c r="F598" s="26">
        <f t="shared" ca="1" si="211"/>
        <v>5.3805774278215219</v>
      </c>
      <c r="G598" s="26">
        <f t="shared" ca="1" si="212"/>
        <v>-1.6272965879265093</v>
      </c>
      <c r="H598" s="10"/>
      <c r="I598" s="10"/>
    </row>
    <row r="599" spans="1:9" ht="10.199999999999999" customHeight="1">
      <c r="A599" s="105" t="s">
        <v>60</v>
      </c>
      <c r="B599" s="105"/>
      <c r="C599" s="282">
        <f ca="1">+D_6WL*D_6WTC</f>
        <v>2564.6896438149829</v>
      </c>
      <c r="D599" s="107">
        <f ca="1">+D_6L</f>
        <v>5.3805774278215219</v>
      </c>
      <c r="E599" s="107">
        <f ca="1">D_6W/2</f>
        <v>1.6272965879265093</v>
      </c>
      <c r="F599" s="26">
        <f t="shared" ca="1" si="211"/>
        <v>5.3805774278215219</v>
      </c>
      <c r="G599" s="26">
        <f t="shared" ca="1" si="212"/>
        <v>1.6272965879265093</v>
      </c>
      <c r="H599" s="10"/>
      <c r="I599" s="10"/>
    </row>
    <row r="600" spans="1:9" ht="10.199999999999999" customHeight="1">
      <c r="A600" s="105" t="s">
        <v>42</v>
      </c>
      <c r="B600" s="105"/>
      <c r="C600" s="32">
        <f ca="1">PWatt*D_6SC*D_6PC</f>
        <v>1500</v>
      </c>
      <c r="D600" s="107">
        <f ca="1">+D_6L*2</f>
        <v>10.761154855643044</v>
      </c>
      <c r="E600" s="107">
        <f ca="1">D_6W/2</f>
        <v>1.6272965879265093</v>
      </c>
      <c r="F600" s="26">
        <f t="shared" ca="1" si="211"/>
        <v>10.761154855643044</v>
      </c>
      <c r="G600" s="26">
        <f t="shared" ca="1" si="212"/>
        <v>1.6272965879265093</v>
      </c>
      <c r="H600" s="10"/>
      <c r="I600" s="10"/>
    </row>
    <row r="601" spans="1:9" ht="10.199999999999999" customHeight="1">
      <c r="A601" s="105" t="s">
        <v>36</v>
      </c>
      <c r="B601" s="105"/>
      <c r="C601" s="33">
        <f ca="1">PVmp*D_6SC</f>
        <v>183</v>
      </c>
      <c r="D601" s="107">
        <f ca="1">+D_6L*2</f>
        <v>10.761154855643044</v>
      </c>
      <c r="E601" s="107">
        <f ca="1">D_6W*3/2</f>
        <v>4.8818897637795278</v>
      </c>
      <c r="F601" s="26">
        <f t="shared" ca="1" si="211"/>
        <v>10.761154855643044</v>
      </c>
      <c r="G601" s="26">
        <f t="shared" ca="1" si="212"/>
        <v>4.8818897637795278</v>
      </c>
      <c r="H601" s="10"/>
      <c r="I601" s="10"/>
    </row>
    <row r="602" spans="1:9" ht="10.199999999999999" customHeight="1">
      <c r="A602" s="105" t="s">
        <v>37</v>
      </c>
      <c r="B602" s="105"/>
      <c r="C602" s="34">
        <f ca="1">PVoc*D_6SC</f>
        <v>223.20000000000002</v>
      </c>
      <c r="D602" s="107">
        <f ca="1">+D_6L</f>
        <v>5.3805774278215219</v>
      </c>
      <c r="E602" s="107">
        <f ca="1">D_6W*3/2</f>
        <v>4.8818897637795278</v>
      </c>
      <c r="F602" s="26">
        <f t="shared" ca="1" si="211"/>
        <v>5.3805774278215219</v>
      </c>
      <c r="G602" s="26">
        <f t="shared" ca="1" si="212"/>
        <v>4.8818897637795278</v>
      </c>
      <c r="H602" s="10"/>
      <c r="I602" s="10"/>
    </row>
    <row r="603" spans="1:9" ht="10.199999999999999" customHeight="1">
      <c r="A603" s="105" t="s">
        <v>43</v>
      </c>
      <c r="B603" s="105"/>
      <c r="C603" s="35">
        <f ca="1">PImp*D_6PC</f>
        <v>8.1999999999999993</v>
      </c>
      <c r="D603" s="107">
        <f ca="1">+D_6L*2</f>
        <v>10.761154855643044</v>
      </c>
      <c r="E603" s="107">
        <f ca="1">D_6W/2</f>
        <v>1.6272965879265093</v>
      </c>
      <c r="F603" s="26">
        <f t="shared" ca="1" si="211"/>
        <v>10.761154855643044</v>
      </c>
      <c r="G603" s="26">
        <f t="shared" ca="1" si="212"/>
        <v>1.6272965879265093</v>
      </c>
      <c r="H603" s="10"/>
      <c r="I603" s="10"/>
    </row>
    <row r="604" spans="1:9" ht="10.199999999999999" customHeight="1">
      <c r="A604" s="105" t="s">
        <v>44</v>
      </c>
      <c r="B604" s="105"/>
      <c r="C604" s="36">
        <f ca="1">PIsc*D_6PC</f>
        <v>8.8000000000000007</v>
      </c>
      <c r="D604" s="107">
        <f ca="1">+D_6L*2</f>
        <v>10.761154855643044</v>
      </c>
      <c r="E604" s="107">
        <f ca="1">-D_6W/2</f>
        <v>-1.6272965879265093</v>
      </c>
      <c r="F604" s="26">
        <f t="shared" ca="1" si="211"/>
        <v>10.761154855643044</v>
      </c>
      <c r="G604" s="26">
        <f t="shared" ca="1" si="212"/>
        <v>-1.6272965879265093</v>
      </c>
      <c r="H604" s="10"/>
      <c r="I604" s="10"/>
    </row>
    <row r="605" spans="1:9" ht="10.199999999999999" customHeight="1">
      <c r="D605" s="107">
        <f ca="1">+D_6L</f>
        <v>5.3805774278215219</v>
      </c>
      <c r="E605" s="107">
        <f ca="1">-D_6W*3/2</f>
        <v>-4.8818897637795278</v>
      </c>
      <c r="F605" s="26">
        <f t="shared" ca="1" si="211"/>
        <v>5.3805774278215219</v>
      </c>
      <c r="G605" s="26">
        <f t="shared" ca="1" si="212"/>
        <v>-4.8818897637795278</v>
      </c>
      <c r="H605" s="10"/>
      <c r="I605" s="10"/>
    </row>
    <row r="606" spans="1:9" ht="10.199999999999999" customHeight="1">
      <c r="A606" s="22"/>
      <c r="B606" s="22"/>
      <c r="C606" s="9"/>
      <c r="D606" s="107">
        <f>0</f>
        <v>0</v>
      </c>
      <c r="E606" s="107">
        <f ca="1">-D_6W*3/2</f>
        <v>-4.8818897637795278</v>
      </c>
      <c r="F606" s="26">
        <f t="shared" si="211"/>
        <v>0</v>
      </c>
      <c r="G606" s="26">
        <f t="shared" ca="1" si="212"/>
        <v>-4.8818897637795278</v>
      </c>
      <c r="H606" s="10"/>
      <c r="I606" s="10"/>
    </row>
    <row r="607" spans="1:9" ht="10.199999999999999" customHeight="1">
      <c r="A607" s="22"/>
      <c r="B607" s="22"/>
      <c r="C607" s="9"/>
      <c r="D607" s="107">
        <f>0</f>
        <v>0</v>
      </c>
      <c r="E607" s="107">
        <f ca="1">-D_6W/2</f>
        <v>-1.6272965879265093</v>
      </c>
      <c r="F607" s="26">
        <f t="shared" si="211"/>
        <v>0</v>
      </c>
      <c r="G607" s="26">
        <f t="shared" ca="1" si="212"/>
        <v>-1.6272965879265093</v>
      </c>
      <c r="H607" s="10"/>
      <c r="I607" s="10"/>
    </row>
    <row r="608" spans="1:9" ht="10.199999999999999" customHeight="1">
      <c r="A608" s="22"/>
      <c r="B608" s="22"/>
      <c r="C608" s="9"/>
      <c r="D608" s="107">
        <f>0</f>
        <v>0</v>
      </c>
      <c r="E608" s="107">
        <f>0</f>
        <v>0</v>
      </c>
      <c r="F608" s="26">
        <f t="shared" si="211"/>
        <v>0</v>
      </c>
      <c r="G608" s="26">
        <f t="shared" si="212"/>
        <v>0</v>
      </c>
      <c r="H608" s="10"/>
      <c r="I608" s="10"/>
    </row>
    <row r="609" spans="1:9" ht="10.199999999999999" customHeight="1">
      <c r="A609" s="22"/>
      <c r="B609" s="22"/>
      <c r="C609" s="9" t="s">
        <v>53</v>
      </c>
      <c r="D609" s="107">
        <f ca="1">+D_6WC-E609</f>
        <v>5.1224532480314959</v>
      </c>
      <c r="E609" s="107">
        <f ca="1">AVERAGE(D_6PL,D_6PWHE)/CM</f>
        <v>0.25812417979002628</v>
      </c>
      <c r="F609" s="26">
        <f t="shared" ca="1" si="211"/>
        <v>5.1224532480314959</v>
      </c>
      <c r="G609" s="26">
        <f t="shared" ca="1" si="212"/>
        <v>0.25812417979002628</v>
      </c>
      <c r="H609" s="10"/>
      <c r="I609" s="12"/>
    </row>
    <row r="610" spans="1:9" ht="10.199999999999999" customHeight="1">
      <c r="A610" s="22"/>
      <c r="B610" s="22"/>
      <c r="C610" s="9"/>
      <c r="D610" s="107">
        <f ca="1">+D_6WC+E609</f>
        <v>5.6387016076115479</v>
      </c>
      <c r="E610" s="107">
        <f ca="1">-E609</f>
        <v>-0.25812417979002628</v>
      </c>
      <c r="F610" s="26">
        <f t="shared" ca="1" si="211"/>
        <v>5.6387016076115479</v>
      </c>
      <c r="G610" s="26">
        <f t="shared" ca="1" si="212"/>
        <v>-0.25812417979002628</v>
      </c>
      <c r="H610" s="10"/>
      <c r="I610" s="10"/>
    </row>
    <row r="611" spans="1:9" ht="10.199999999999999" customHeight="1">
      <c r="A611" s="22"/>
      <c r="B611" s="22"/>
      <c r="C611" s="9" t="s">
        <v>41</v>
      </c>
      <c r="D611" s="107">
        <f ca="1">D610</f>
        <v>5.6387016076115479</v>
      </c>
      <c r="E611" s="107">
        <f ca="1">+E609</f>
        <v>0.25812417979002628</v>
      </c>
      <c r="F611" s="26">
        <f t="shared" ref="F611" ca="1" si="213">+D611</f>
        <v>5.6387016076115479</v>
      </c>
      <c r="G611" s="26">
        <f t="shared" ref="G611" ca="1" si="214">+E611</f>
        <v>0.25812417979002628</v>
      </c>
      <c r="H611" s="10"/>
      <c r="I611" s="10"/>
    </row>
    <row r="612" spans="1:9" ht="10.199999999999999" customHeight="1">
      <c r="A612" s="22"/>
      <c r="B612" s="22"/>
      <c r="C612" s="9"/>
      <c r="D612" s="107">
        <f ca="1">D609</f>
        <v>5.1224532480314959</v>
      </c>
      <c r="E612" s="107">
        <f ca="1">-E609</f>
        <v>-0.25812417979002628</v>
      </c>
      <c r="F612" s="26">
        <f t="shared" ref="F612:G616" ca="1" si="215">+D612</f>
        <v>5.1224532480314959</v>
      </c>
      <c r="G612" s="26">
        <f t="shared" ca="1" si="215"/>
        <v>-0.25812417979002628</v>
      </c>
    </row>
    <row r="613" spans="1:9" ht="10.199999999999999" customHeight="1">
      <c r="A613" s="22"/>
      <c r="B613" s="22"/>
      <c r="C613" s="9" t="s">
        <v>54</v>
      </c>
      <c r="D613" s="107">
        <f ca="1">+D610</f>
        <v>5.6387016076115479</v>
      </c>
      <c r="E613" s="107">
        <f ca="1">+D_6WTC-E609</f>
        <v>2.1828207020997374</v>
      </c>
      <c r="F613" s="26">
        <f t="shared" ca="1" si="215"/>
        <v>5.6387016076115479</v>
      </c>
      <c r="G613" s="26">
        <f t="shared" ca="1" si="215"/>
        <v>2.1828207020997374</v>
      </c>
    </row>
    <row r="614" spans="1:9" ht="10.199999999999999" customHeight="1">
      <c r="A614" s="22"/>
      <c r="B614" s="22"/>
      <c r="C614" s="9"/>
      <c r="D614" s="107">
        <f ca="1">+D609</f>
        <v>5.1224532480314959</v>
      </c>
      <c r="E614" s="107">
        <f ca="1">+D_6WTC+E609</f>
        <v>2.6990690616797903</v>
      </c>
      <c r="F614" s="26">
        <f t="shared" ca="1" si="215"/>
        <v>5.1224532480314959</v>
      </c>
      <c r="G614" s="26">
        <f t="shared" ca="1" si="215"/>
        <v>2.6990690616797903</v>
      </c>
    </row>
    <row r="615" spans="1:9" ht="10.199999999999999" customHeight="1">
      <c r="A615" s="22"/>
      <c r="B615" s="22"/>
      <c r="C615" s="9" t="s">
        <v>41</v>
      </c>
      <c r="D615" s="107">
        <f ca="1">+D610</f>
        <v>5.6387016076115479</v>
      </c>
      <c r="E615" s="107">
        <f ca="1">E614</f>
        <v>2.6990690616797903</v>
      </c>
      <c r="F615" s="26">
        <f t="shared" ca="1" si="215"/>
        <v>5.6387016076115479</v>
      </c>
      <c r="G615" s="26">
        <f t="shared" ca="1" si="215"/>
        <v>2.6990690616797903</v>
      </c>
      <c r="I615" s="10"/>
    </row>
    <row r="616" spans="1:9" ht="10.199999999999999" customHeight="1">
      <c r="A616" s="22"/>
      <c r="B616" s="22"/>
      <c r="C616" s="9"/>
      <c r="D616" s="107">
        <f ca="1">D609</f>
        <v>5.1224532480314959</v>
      </c>
      <c r="E616" s="107">
        <f ca="1">+E613</f>
        <v>2.1828207020997374</v>
      </c>
      <c r="F616" s="26">
        <f t="shared" ca="1" si="215"/>
        <v>5.1224532480314959</v>
      </c>
      <c r="G616" s="26">
        <f t="shared" ca="1" si="215"/>
        <v>2.1828207020997374</v>
      </c>
      <c r="I616" s="10"/>
    </row>
    <row r="617" spans="1:9" ht="10.199999999999999" customHeight="1">
      <c r="A617" s="22"/>
      <c r="B617" s="22"/>
      <c r="C617" s="9"/>
      <c r="D617" s="107"/>
      <c r="E617" s="107"/>
      <c r="F617" s="10"/>
      <c r="G617" s="10"/>
      <c r="H617" s="10"/>
      <c r="I617" s="10"/>
    </row>
    <row r="618" spans="1:9" ht="10.199999999999999" customHeight="1">
      <c r="A618" s="305" t="s">
        <v>223</v>
      </c>
      <c r="B618" s="304"/>
      <c r="C618" s="23" t="str">
        <f ca="1">PModel</f>
        <v>SS250-60P</v>
      </c>
      <c r="D618" s="300">
        <f ca="1">+PLFt</f>
        <v>5.3805774278215219</v>
      </c>
      <c r="E618" s="300">
        <f ca="1">+PWFt</f>
        <v>3.2545931758530187</v>
      </c>
      <c r="F618" s="26"/>
      <c r="G618" s="26"/>
    </row>
    <row r="619" spans="1:9" ht="10.199999999999999" customHeight="1">
      <c r="A619" s="286" t="s">
        <v>8</v>
      </c>
      <c r="B619" s="286"/>
      <c r="C619" s="283">
        <f ca="1">F_6L*3+Spacing*2</f>
        <v>16.225065616797899</v>
      </c>
      <c r="D619" s="107">
        <f>0</f>
        <v>0</v>
      </c>
      <c r="E619" s="107">
        <f>0</f>
        <v>0</v>
      </c>
      <c r="F619" s="26">
        <f t="shared" ref="F619" si="216">+D619</f>
        <v>0</v>
      </c>
      <c r="G619" s="26">
        <f t="shared" ref="G619" si="217">+E619</f>
        <v>0</v>
      </c>
      <c r="H619" s="10"/>
      <c r="I619" s="10"/>
    </row>
    <row r="620" spans="1:9" ht="10.199999999999999" customHeight="1">
      <c r="A620" s="286" t="s">
        <v>0</v>
      </c>
      <c r="B620" s="286"/>
      <c r="C620" s="284">
        <f ca="1">+F_6W*2+Spacing</f>
        <v>6.5508530183727043</v>
      </c>
      <c r="D620" s="107">
        <f>0</f>
        <v>0</v>
      </c>
      <c r="E620" s="107">
        <f ca="1">F_6W</f>
        <v>3.2545931758530187</v>
      </c>
      <c r="F620" s="26">
        <f t="shared" ref="F620:F627" si="218">+D620</f>
        <v>0</v>
      </c>
      <c r="G620" s="26">
        <f t="shared" ref="G620:G627" ca="1" si="219">+E620</f>
        <v>3.2545931758530187</v>
      </c>
      <c r="H620" s="10"/>
      <c r="I620" s="10"/>
    </row>
    <row r="621" spans="1:9" ht="10.199999999999999" customHeight="1">
      <c r="A621" s="286" t="s">
        <v>2</v>
      </c>
      <c r="B621" s="286"/>
      <c r="C621" s="284">
        <f ca="1">+F_6W*2+Spacing</f>
        <v>6.5508530183727043</v>
      </c>
      <c r="D621" s="107">
        <f ca="1">F_6L</f>
        <v>5.3805774278215219</v>
      </c>
      <c r="E621" s="107">
        <f ca="1">F_6W</f>
        <v>3.2545931758530187</v>
      </c>
      <c r="F621" s="26">
        <f t="shared" ca="1" si="218"/>
        <v>5.3805774278215219</v>
      </c>
      <c r="G621" s="26">
        <f t="shared" ca="1" si="219"/>
        <v>3.2545931758530187</v>
      </c>
      <c r="H621" s="10"/>
      <c r="I621" s="10"/>
    </row>
    <row r="622" spans="1:9" ht="10.199999999999999" customHeight="1">
      <c r="A622" s="286" t="s">
        <v>206</v>
      </c>
      <c r="B622" s="286"/>
      <c r="C622" s="284">
        <v>0</v>
      </c>
      <c r="D622" s="107">
        <f ca="1">F_6L</f>
        <v>5.3805774278215219</v>
      </c>
      <c r="E622" s="107">
        <f ca="1">-F_6W</f>
        <v>-3.2545931758530187</v>
      </c>
      <c r="F622" s="26">
        <f t="shared" ca="1" si="218"/>
        <v>5.3805774278215219</v>
      </c>
      <c r="G622" s="26">
        <f t="shared" ca="1" si="219"/>
        <v>-3.2545931758530187</v>
      </c>
      <c r="H622" s="10"/>
      <c r="I622" s="10"/>
    </row>
    <row r="623" spans="1:9" ht="10.199999999999999" customHeight="1">
      <c r="A623" s="286" t="s">
        <v>207</v>
      </c>
      <c r="B623" s="286"/>
      <c r="C623" s="285">
        <v>0</v>
      </c>
      <c r="D623" s="107">
        <f ca="1">F_6L*2</f>
        <v>10.761154855643044</v>
      </c>
      <c r="E623" s="107">
        <f ca="1">-F_6W</f>
        <v>-3.2545931758530187</v>
      </c>
      <c r="F623" s="26">
        <f t="shared" ca="1" si="218"/>
        <v>10.761154855643044</v>
      </c>
      <c r="G623" s="26">
        <f t="shared" ca="1" si="219"/>
        <v>-3.2545931758530187</v>
      </c>
      <c r="H623" s="10"/>
      <c r="I623" s="10"/>
    </row>
    <row r="624" spans="1:9" ht="10.199999999999999" customHeight="1">
      <c r="A624" s="105" t="s">
        <v>69</v>
      </c>
      <c r="B624" s="105"/>
      <c r="C624" s="163">
        <v>3</v>
      </c>
      <c r="D624" s="107">
        <f ca="1">F_6L*2</f>
        <v>10.761154855643044</v>
      </c>
      <c r="E624" s="107">
        <f ca="1">F_6W</f>
        <v>3.2545931758530187</v>
      </c>
      <c r="F624" s="26">
        <f t="shared" ca="1" si="218"/>
        <v>10.761154855643044</v>
      </c>
      <c r="G624" s="26">
        <f t="shared" ca="1" si="219"/>
        <v>3.2545931758530187</v>
      </c>
      <c r="H624" s="10"/>
      <c r="I624" s="10"/>
    </row>
    <row r="625" spans="1:9" ht="10.199999999999999" customHeight="1">
      <c r="A625" s="105" t="s">
        <v>70</v>
      </c>
      <c r="B625" s="105"/>
      <c r="C625" s="164">
        <v>2</v>
      </c>
      <c r="D625" s="107">
        <f ca="1">F_6L*3</f>
        <v>16.141732283464567</v>
      </c>
      <c r="E625" s="107">
        <f ca="1">F_6W</f>
        <v>3.2545931758530187</v>
      </c>
      <c r="F625" s="26">
        <f t="shared" ca="1" si="218"/>
        <v>16.141732283464567</v>
      </c>
      <c r="G625" s="26">
        <f t="shared" ca="1" si="219"/>
        <v>3.2545931758530187</v>
      </c>
      <c r="H625" s="10"/>
      <c r="I625" s="10"/>
    </row>
    <row r="626" spans="1:9" ht="10.199999999999999" customHeight="1">
      <c r="A626" s="105" t="s">
        <v>51</v>
      </c>
      <c r="B626" s="105"/>
      <c r="C626" s="98">
        <f ca="1">+F_6L*F_6W*F_6SC*F_6PC</f>
        <v>105.06954347242026</v>
      </c>
      <c r="D626" s="107">
        <f ca="1">F_6L*3</f>
        <v>16.141732283464567</v>
      </c>
      <c r="E626" s="107">
        <f ca="1">-F_6W</f>
        <v>-3.2545931758530187</v>
      </c>
      <c r="F626" s="26">
        <f t="shared" ca="1" si="218"/>
        <v>16.141732283464567</v>
      </c>
      <c r="G626" s="26">
        <f t="shared" ca="1" si="219"/>
        <v>-3.2545931758530187</v>
      </c>
      <c r="H626" s="10"/>
      <c r="I626" s="10"/>
    </row>
    <row r="627" spans="1:9" ht="10.199999999999999" customHeight="1">
      <c r="A627" s="105" t="s">
        <v>52</v>
      </c>
      <c r="B627" s="105"/>
      <c r="C627" s="281">
        <f ca="1">F_6PA*StraightLineWind</f>
        <v>1050.6954347242026</v>
      </c>
      <c r="D627" s="107">
        <f>0</f>
        <v>0</v>
      </c>
      <c r="E627" s="107">
        <f ca="1">-F_6W</f>
        <v>-3.2545931758530187</v>
      </c>
      <c r="F627" s="26">
        <f t="shared" si="218"/>
        <v>0</v>
      </c>
      <c r="G627" s="26">
        <f t="shared" ca="1" si="219"/>
        <v>-3.2545931758530187</v>
      </c>
      <c r="H627" s="10"/>
      <c r="I627" s="10"/>
    </row>
    <row r="628" spans="1:9" ht="10.199999999999999" customHeight="1">
      <c r="A628" s="105" t="s">
        <v>82</v>
      </c>
      <c r="B628" s="105"/>
      <c r="C628" s="31">
        <f ca="1">+F_6L*3/2</f>
        <v>8.0708661417322833</v>
      </c>
      <c r="D628" s="107">
        <f>0</f>
        <v>0</v>
      </c>
      <c r="E628" s="107">
        <f>0</f>
        <v>0</v>
      </c>
      <c r="F628" s="26">
        <f t="shared" ref="F628:F631" si="220">+D628</f>
        <v>0</v>
      </c>
      <c r="G628" s="26">
        <f t="shared" ref="G628:G631" si="221">+E628</f>
        <v>0</v>
      </c>
      <c r="H628" s="10"/>
      <c r="I628" s="10"/>
    </row>
    <row r="629" spans="1:9" ht="10.199999999999999" customHeight="1">
      <c r="A629" s="105" t="s">
        <v>83</v>
      </c>
      <c r="B629" s="105"/>
      <c r="C629" s="31">
        <f ca="1">+F_6W*2/4</f>
        <v>1.6272965879265093</v>
      </c>
      <c r="D629" s="107">
        <f ca="1">F_6L*3</f>
        <v>16.141732283464567</v>
      </c>
      <c r="E629" s="107">
        <f>0</f>
        <v>0</v>
      </c>
      <c r="F629" s="26">
        <f t="shared" ca="1" si="220"/>
        <v>16.141732283464567</v>
      </c>
      <c r="G629" s="26">
        <f t="shared" si="221"/>
        <v>0</v>
      </c>
      <c r="H629" s="10"/>
      <c r="I629" s="10"/>
    </row>
    <row r="630" spans="1:9" ht="10.199999999999999" customHeight="1">
      <c r="A630" s="105" t="s">
        <v>60</v>
      </c>
      <c r="B630" s="105"/>
      <c r="C630" s="282">
        <f ca="1">+F_6WL*F_6WTC</f>
        <v>1709.7930958766553</v>
      </c>
      <c r="D630" s="107">
        <f ca="1">F_6L*2</f>
        <v>10.761154855643044</v>
      </c>
      <c r="E630" s="107">
        <f ca="1">F_6W</f>
        <v>3.2545931758530187</v>
      </c>
      <c r="F630" s="26">
        <f t="shared" ca="1" si="220"/>
        <v>10.761154855643044</v>
      </c>
      <c r="G630" s="26">
        <f t="shared" ca="1" si="221"/>
        <v>3.2545931758530187</v>
      </c>
      <c r="H630" s="10"/>
      <c r="I630" s="10"/>
    </row>
    <row r="631" spans="1:9" ht="10.199999999999999" customHeight="1">
      <c r="A631" s="105" t="s">
        <v>42</v>
      </c>
      <c r="B631" s="105"/>
      <c r="C631" s="32">
        <f ca="1">PWatt*F_6SC*F_6PC</f>
        <v>1500</v>
      </c>
      <c r="D631" s="107">
        <f ca="1">F_6L</f>
        <v>5.3805774278215219</v>
      </c>
      <c r="E631" s="107">
        <f ca="1">F_6W</f>
        <v>3.2545931758530187</v>
      </c>
      <c r="F631" s="26">
        <f t="shared" ca="1" si="220"/>
        <v>5.3805774278215219</v>
      </c>
      <c r="G631" s="26">
        <f t="shared" ca="1" si="221"/>
        <v>3.2545931758530187</v>
      </c>
      <c r="H631" s="10"/>
      <c r="I631" s="10"/>
    </row>
    <row r="632" spans="1:9" ht="10.199999999999999" customHeight="1">
      <c r="A632" s="105" t="s">
        <v>36</v>
      </c>
      <c r="B632" s="105"/>
      <c r="C632" s="33">
        <f ca="1">PVmp*F_6SC</f>
        <v>91.5</v>
      </c>
      <c r="D632" s="107">
        <f ca="1">+F_6WC-E632</f>
        <v>7.7861671587926509</v>
      </c>
      <c r="E632" s="107">
        <f ca="1">AVERAGE(F_6PL,F_6PWHE)/CM</f>
        <v>0.28469898293963258</v>
      </c>
      <c r="F632" s="26">
        <f t="shared" ref="F632:G639" ca="1" si="222">+D632</f>
        <v>7.7861671587926509</v>
      </c>
      <c r="G632" s="26">
        <f t="shared" ca="1" si="222"/>
        <v>0.28469898293963258</v>
      </c>
      <c r="H632" s="10"/>
      <c r="I632" s="10"/>
    </row>
    <row r="633" spans="1:9" ht="10.199999999999999" customHeight="1">
      <c r="A633" s="105" t="s">
        <v>37</v>
      </c>
      <c r="B633" s="105"/>
      <c r="C633" s="34">
        <f ca="1">PVoc*F_6SC</f>
        <v>111.60000000000001</v>
      </c>
      <c r="D633" s="107">
        <f ca="1">+F_6WC+E632</f>
        <v>8.3555651246719158</v>
      </c>
      <c r="E633" s="107">
        <f ca="1">-E632</f>
        <v>-0.28469898293963258</v>
      </c>
      <c r="F633" s="26">
        <f t="shared" ca="1" si="222"/>
        <v>8.3555651246719158</v>
      </c>
      <c r="G633" s="26">
        <f t="shared" ca="1" si="222"/>
        <v>-0.28469898293963258</v>
      </c>
      <c r="H633" s="10"/>
      <c r="I633" s="10"/>
    </row>
    <row r="634" spans="1:9" ht="10.199999999999999" customHeight="1">
      <c r="A634" s="105" t="s">
        <v>43</v>
      </c>
      <c r="B634" s="105"/>
      <c r="C634" s="35">
        <f ca="1">PImp*F_6PC</f>
        <v>16.399999999999999</v>
      </c>
      <c r="D634" s="107">
        <f ca="1">D633</f>
        <v>8.3555651246719158</v>
      </c>
      <c r="E634" s="107">
        <f ca="1">+E632</f>
        <v>0.28469898293963258</v>
      </c>
      <c r="F634" s="26">
        <f t="shared" ca="1" si="222"/>
        <v>8.3555651246719158</v>
      </c>
      <c r="G634" s="26">
        <f t="shared" ca="1" si="222"/>
        <v>0.28469898293963258</v>
      </c>
      <c r="H634" s="10"/>
      <c r="I634" s="10"/>
    </row>
    <row r="635" spans="1:9" ht="10.199999999999999" customHeight="1">
      <c r="A635" s="105" t="s">
        <v>44</v>
      </c>
      <c r="B635" s="105"/>
      <c r="C635" s="36">
        <f ca="1">PIsc*F_6PC</f>
        <v>17.600000000000001</v>
      </c>
      <c r="D635" s="107">
        <f ca="1">D632</f>
        <v>7.7861671587926509</v>
      </c>
      <c r="E635" s="107">
        <f ca="1">-E632</f>
        <v>-0.28469898293963258</v>
      </c>
      <c r="F635" s="26">
        <f t="shared" ca="1" si="222"/>
        <v>7.7861671587926509</v>
      </c>
      <c r="G635" s="26">
        <f t="shared" ca="1" si="222"/>
        <v>-0.28469898293963258</v>
      </c>
      <c r="H635" s="10"/>
      <c r="I635" s="10"/>
    </row>
    <row r="636" spans="1:9" ht="10.199999999999999" customHeight="1">
      <c r="C636" s="9" t="s">
        <v>53</v>
      </c>
      <c r="D636" s="107">
        <f ca="1">+D633</f>
        <v>8.3555651246719158</v>
      </c>
      <c r="E636" s="107">
        <f ca="1">+F_6WTC-E632</f>
        <v>1.3425976049868766</v>
      </c>
      <c r="F636" s="26">
        <f t="shared" ca="1" si="222"/>
        <v>8.3555651246719158</v>
      </c>
      <c r="G636" s="26">
        <f t="shared" ca="1" si="222"/>
        <v>1.3425976049868766</v>
      </c>
      <c r="H636" s="10"/>
      <c r="I636" s="10"/>
    </row>
    <row r="637" spans="1:9" ht="10.199999999999999" customHeight="1">
      <c r="A637" s="22"/>
      <c r="B637" s="22"/>
      <c r="C637" s="9" t="s">
        <v>54</v>
      </c>
      <c r="D637" s="107">
        <f ca="1">+D632</f>
        <v>7.7861671587926509</v>
      </c>
      <c r="E637" s="107">
        <f ca="1">+F_6WTC+E632</f>
        <v>1.911995570866142</v>
      </c>
      <c r="F637" s="26">
        <f t="shared" ca="1" si="222"/>
        <v>7.7861671587926509</v>
      </c>
      <c r="G637" s="26">
        <f t="shared" ca="1" si="222"/>
        <v>1.911995570866142</v>
      </c>
      <c r="H637" s="10"/>
      <c r="I637" s="10"/>
    </row>
    <row r="638" spans="1:9" ht="10.199999999999999" customHeight="1">
      <c r="A638" s="22"/>
      <c r="B638" s="22"/>
      <c r="C638" s="9"/>
      <c r="D638" s="107">
        <f ca="1">+D633</f>
        <v>8.3555651246719158</v>
      </c>
      <c r="E638" s="107">
        <f ca="1">E637</f>
        <v>1.911995570866142</v>
      </c>
      <c r="F638" s="26">
        <f t="shared" ca="1" si="222"/>
        <v>8.3555651246719158</v>
      </c>
      <c r="G638" s="26">
        <f t="shared" ca="1" si="222"/>
        <v>1.911995570866142</v>
      </c>
      <c r="H638" s="10"/>
      <c r="I638" s="10"/>
    </row>
    <row r="639" spans="1:9" ht="10.199999999999999" customHeight="1">
      <c r="A639" s="22"/>
      <c r="B639" s="22"/>
      <c r="D639" s="107">
        <f ca="1">D632</f>
        <v>7.7861671587926509</v>
      </c>
      <c r="E639" s="107">
        <f ca="1">+E636</f>
        <v>1.3425976049868766</v>
      </c>
      <c r="F639" s="26">
        <f t="shared" ca="1" si="222"/>
        <v>7.7861671587926509</v>
      </c>
      <c r="G639" s="26">
        <f t="shared" ca="1" si="222"/>
        <v>1.3425976049868766</v>
      </c>
      <c r="H639" s="10"/>
      <c r="I639" s="10"/>
    </row>
    <row r="640" spans="1:9" ht="10.199999999999999" customHeight="1">
      <c r="A640" s="22"/>
      <c r="B640" s="22"/>
      <c r="C640" s="9"/>
      <c r="D640" s="107"/>
      <c r="E640" s="107"/>
      <c r="F640" s="10"/>
      <c r="G640" s="10"/>
      <c r="H640" s="10"/>
      <c r="I640" s="10"/>
    </row>
    <row r="641" spans="1:9" ht="10.199999999999999" customHeight="1">
      <c r="A641" s="305" t="s">
        <v>224</v>
      </c>
      <c r="B641" s="304"/>
      <c r="C641" s="23" t="str">
        <f ca="1">PModel</f>
        <v>SS250-60P</v>
      </c>
      <c r="D641" s="300">
        <f ca="1">+PLFt</f>
        <v>5.3805774278215219</v>
      </c>
      <c r="E641" s="300">
        <f ca="1">+PWFt</f>
        <v>3.2545931758530187</v>
      </c>
      <c r="F641" s="26"/>
      <c r="G641" s="26"/>
    </row>
    <row r="642" spans="1:9" ht="10.199999999999999" customHeight="1">
      <c r="A642" s="286" t="s">
        <v>8</v>
      </c>
      <c r="B642" s="286"/>
      <c r="C642" s="283">
        <f ca="1">G_6W*3+Spacing*2</f>
        <v>9.8471128608923895</v>
      </c>
      <c r="D642" s="107">
        <f>0</f>
        <v>0</v>
      </c>
      <c r="E642" s="107">
        <f>0</f>
        <v>0</v>
      </c>
      <c r="F642" s="26">
        <f t="shared" ref="F642:F655" si="223">+D642</f>
        <v>0</v>
      </c>
      <c r="G642" s="26">
        <f t="shared" ref="G642:G655" si="224">+E642</f>
        <v>0</v>
      </c>
      <c r="H642" s="10"/>
      <c r="I642" s="10"/>
    </row>
    <row r="643" spans="1:9" ht="10.199999999999999" customHeight="1">
      <c r="A643" s="286" t="s">
        <v>0</v>
      </c>
      <c r="B643" s="286"/>
      <c r="C643" s="284">
        <f ca="1">+G_6L*2+Spacing</f>
        <v>10.80282152230971</v>
      </c>
      <c r="D643" s="107">
        <f>0</f>
        <v>0</v>
      </c>
      <c r="E643" s="107">
        <f ca="1">G_6L</f>
        <v>5.3805774278215219</v>
      </c>
      <c r="F643" s="26">
        <f t="shared" si="223"/>
        <v>0</v>
      </c>
      <c r="G643" s="26">
        <f t="shared" ca="1" si="224"/>
        <v>5.3805774278215219</v>
      </c>
      <c r="H643" s="10"/>
      <c r="I643" s="10"/>
    </row>
    <row r="644" spans="1:9" ht="10.199999999999999" customHeight="1">
      <c r="A644" s="286" t="s">
        <v>2</v>
      </c>
      <c r="B644" s="286"/>
      <c r="C644" s="284">
        <f ca="1">+G_6L*2+Spacing</f>
        <v>10.80282152230971</v>
      </c>
      <c r="D644" s="107">
        <f ca="1">G_6W</f>
        <v>3.2545931758530187</v>
      </c>
      <c r="E644" s="107">
        <f ca="1">G_6L</f>
        <v>5.3805774278215219</v>
      </c>
      <c r="F644" s="26">
        <f t="shared" ca="1" si="223"/>
        <v>3.2545931758530187</v>
      </c>
      <c r="G644" s="26">
        <f t="shared" ca="1" si="224"/>
        <v>5.3805774278215219</v>
      </c>
      <c r="H644" s="10"/>
      <c r="I644" s="10"/>
    </row>
    <row r="645" spans="1:9" ht="10.199999999999999" customHeight="1">
      <c r="A645" s="286" t="s">
        <v>206</v>
      </c>
      <c r="B645" s="286"/>
      <c r="C645" s="284">
        <f>0</f>
        <v>0</v>
      </c>
      <c r="D645" s="107">
        <f ca="1">G_6W</f>
        <v>3.2545931758530187</v>
      </c>
      <c r="E645" s="107">
        <f ca="1">-G_6L</f>
        <v>-5.3805774278215219</v>
      </c>
      <c r="F645" s="26">
        <f t="shared" ca="1" si="223"/>
        <v>3.2545931758530187</v>
      </c>
      <c r="G645" s="26">
        <f t="shared" ca="1" si="224"/>
        <v>-5.3805774278215219</v>
      </c>
      <c r="H645" s="10"/>
      <c r="I645" s="10"/>
    </row>
    <row r="646" spans="1:9" ht="10.199999999999999" customHeight="1">
      <c r="A646" s="286" t="s">
        <v>207</v>
      </c>
      <c r="B646" s="286"/>
      <c r="C646" s="285">
        <f>0</f>
        <v>0</v>
      </c>
      <c r="D646" s="107">
        <f ca="1">G_6W*2</f>
        <v>6.5091863517060373</v>
      </c>
      <c r="E646" s="107">
        <f ca="1">-G_6L</f>
        <v>-5.3805774278215219</v>
      </c>
      <c r="F646" s="26">
        <f t="shared" ca="1" si="223"/>
        <v>6.5091863517060373</v>
      </c>
      <c r="G646" s="26">
        <f t="shared" ca="1" si="224"/>
        <v>-5.3805774278215219</v>
      </c>
      <c r="H646" s="10"/>
      <c r="I646" s="10"/>
    </row>
    <row r="647" spans="1:9" ht="10.199999999999999" customHeight="1">
      <c r="A647" s="105" t="s">
        <v>69</v>
      </c>
      <c r="B647" s="105"/>
      <c r="C647" s="163">
        <v>3</v>
      </c>
      <c r="D647" s="107">
        <f ca="1">G_6W*2</f>
        <v>6.5091863517060373</v>
      </c>
      <c r="E647" s="107">
        <f ca="1">G_6L</f>
        <v>5.3805774278215219</v>
      </c>
      <c r="F647" s="26">
        <f t="shared" ca="1" si="223"/>
        <v>6.5091863517060373</v>
      </c>
      <c r="G647" s="26">
        <f t="shared" ca="1" si="224"/>
        <v>5.3805774278215219</v>
      </c>
      <c r="H647" s="10"/>
      <c r="I647" s="10"/>
    </row>
    <row r="648" spans="1:9" ht="10.199999999999999" customHeight="1">
      <c r="A648" s="105" t="s">
        <v>70</v>
      </c>
      <c r="B648" s="105"/>
      <c r="C648" s="164">
        <v>2</v>
      </c>
      <c r="D648" s="107">
        <f ca="1">G_6W*3</f>
        <v>9.7637795275590555</v>
      </c>
      <c r="E648" s="107">
        <f ca="1">G_6L</f>
        <v>5.3805774278215219</v>
      </c>
      <c r="F648" s="26">
        <f t="shared" ca="1" si="223"/>
        <v>9.7637795275590555</v>
      </c>
      <c r="G648" s="26">
        <f t="shared" ca="1" si="224"/>
        <v>5.3805774278215219</v>
      </c>
      <c r="H648" s="10"/>
      <c r="I648" s="10"/>
    </row>
    <row r="649" spans="1:9" ht="10.199999999999999" customHeight="1">
      <c r="A649" s="105" t="s">
        <v>51</v>
      </c>
      <c r="B649" s="105"/>
      <c r="C649" s="98">
        <f ca="1">+G_6L*G_6W*G_6SC*G_6PC</f>
        <v>105.06954347242026</v>
      </c>
      <c r="D649" s="107">
        <f ca="1">G_6W*3</f>
        <v>9.7637795275590555</v>
      </c>
      <c r="E649" s="107">
        <f ca="1">-G_6L</f>
        <v>-5.3805774278215219</v>
      </c>
      <c r="F649" s="26">
        <f t="shared" ca="1" si="223"/>
        <v>9.7637795275590555</v>
      </c>
      <c r="G649" s="26">
        <f t="shared" ca="1" si="224"/>
        <v>-5.3805774278215219</v>
      </c>
      <c r="H649" s="10"/>
      <c r="I649" s="10"/>
    </row>
    <row r="650" spans="1:9" ht="10.199999999999999" customHeight="1">
      <c r="A650" s="105" t="s">
        <v>52</v>
      </c>
      <c r="B650" s="105"/>
      <c r="C650" s="281">
        <f ca="1">G_6PA*StraightLineWind</f>
        <v>1050.6954347242026</v>
      </c>
      <c r="D650" s="107">
        <f ca="1">G_6W*2</f>
        <v>6.5091863517060373</v>
      </c>
      <c r="E650" s="107">
        <f ca="1">-G_6L</f>
        <v>-5.3805774278215219</v>
      </c>
      <c r="F650" s="26">
        <f t="shared" ca="1" si="223"/>
        <v>6.5091863517060373</v>
      </c>
      <c r="G650" s="26">
        <f t="shared" ca="1" si="224"/>
        <v>-5.3805774278215219</v>
      </c>
      <c r="H650" s="10"/>
      <c r="I650" s="10"/>
    </row>
    <row r="651" spans="1:9" ht="10.199999999999999" customHeight="1">
      <c r="A651" s="105" t="s">
        <v>82</v>
      </c>
      <c r="B651" s="105"/>
      <c r="C651" s="31">
        <f ca="1">+G_6W*3/2</f>
        <v>4.8818897637795278</v>
      </c>
      <c r="D651" s="107">
        <f ca="1">G_6W*2</f>
        <v>6.5091863517060373</v>
      </c>
      <c r="E651" s="107">
        <f ca="1">G_6L</f>
        <v>5.3805774278215219</v>
      </c>
      <c r="F651" s="26">
        <f t="shared" ca="1" si="223"/>
        <v>6.5091863517060373</v>
      </c>
      <c r="G651" s="26">
        <f t="shared" ca="1" si="224"/>
        <v>5.3805774278215219</v>
      </c>
      <c r="H651" s="10"/>
      <c r="I651" s="10"/>
    </row>
    <row r="652" spans="1:9" ht="10.199999999999999" customHeight="1">
      <c r="A652" s="105" t="s">
        <v>83</v>
      </c>
      <c r="B652" s="105"/>
      <c r="C652" s="31">
        <f ca="1">+G_6L*2/4</f>
        <v>2.690288713910761</v>
      </c>
      <c r="D652" s="107">
        <f ca="1">G_6W</f>
        <v>3.2545931758530187</v>
      </c>
      <c r="E652" s="107">
        <f ca="1">G_6L</f>
        <v>5.3805774278215219</v>
      </c>
      <c r="F652" s="26">
        <f t="shared" ca="1" si="223"/>
        <v>3.2545931758530187</v>
      </c>
      <c r="G652" s="26">
        <f t="shared" ca="1" si="224"/>
        <v>5.3805774278215219</v>
      </c>
      <c r="H652" s="10"/>
      <c r="I652" s="10"/>
    </row>
    <row r="653" spans="1:9" ht="10.199999999999999" customHeight="1">
      <c r="A653" s="105" t="s">
        <v>60</v>
      </c>
      <c r="B653" s="105"/>
      <c r="C653" s="282">
        <f ca="1">+G_6WL*G_6WTC</f>
        <v>2826.6740697960831</v>
      </c>
      <c r="D653" s="107">
        <f ca="1">G_6W</f>
        <v>3.2545931758530187</v>
      </c>
      <c r="E653" s="107">
        <f ca="1">-G_6L</f>
        <v>-5.3805774278215219</v>
      </c>
      <c r="F653" s="26">
        <f t="shared" ca="1" si="223"/>
        <v>3.2545931758530187</v>
      </c>
      <c r="G653" s="26">
        <f t="shared" ca="1" si="224"/>
        <v>-5.3805774278215219</v>
      </c>
      <c r="H653" s="10"/>
      <c r="I653" s="10"/>
    </row>
    <row r="654" spans="1:9" ht="10.199999999999999" customHeight="1">
      <c r="A654" s="105" t="s">
        <v>42</v>
      </c>
      <c r="B654" s="105"/>
      <c r="C654" s="32">
        <f ca="1">PWatt*G_6SC*G_6PC</f>
        <v>1500</v>
      </c>
      <c r="D654" s="107">
        <f>0</f>
        <v>0</v>
      </c>
      <c r="E654" s="107">
        <f ca="1">-G_6L</f>
        <v>-5.3805774278215219</v>
      </c>
      <c r="F654" s="26">
        <f t="shared" si="223"/>
        <v>0</v>
      </c>
      <c r="G654" s="26">
        <f t="shared" ca="1" si="224"/>
        <v>-5.3805774278215219</v>
      </c>
      <c r="H654" s="10"/>
      <c r="I654" s="10"/>
    </row>
    <row r="655" spans="1:9" ht="10.199999999999999" customHeight="1">
      <c r="A655" s="105" t="s">
        <v>36</v>
      </c>
      <c r="B655" s="105"/>
      <c r="C655" s="33">
        <f ca="1">PVmp*G_6SC</f>
        <v>91.5</v>
      </c>
      <c r="D655" s="107">
        <f>0</f>
        <v>0</v>
      </c>
      <c r="E655" s="107">
        <f>0</f>
        <v>0</v>
      </c>
      <c r="F655" s="26">
        <f t="shared" si="223"/>
        <v>0</v>
      </c>
      <c r="G655" s="26">
        <f t="shared" si="224"/>
        <v>0</v>
      </c>
      <c r="H655" s="10"/>
      <c r="I655" s="10"/>
    </row>
    <row r="656" spans="1:9" ht="10.199999999999999" customHeight="1">
      <c r="A656" s="105" t="s">
        <v>37</v>
      </c>
      <c r="B656" s="105"/>
      <c r="C656" s="34">
        <f ca="1">PVoc*G_6SC</f>
        <v>111.60000000000001</v>
      </c>
      <c r="D656" s="107">
        <f ca="1">G_6W*3</f>
        <v>9.7637795275590555</v>
      </c>
      <c r="E656" s="107">
        <f>0</f>
        <v>0</v>
      </c>
      <c r="F656" s="26">
        <f t="shared" ref="F656:F664" ca="1" si="225">+D656</f>
        <v>9.7637795275590555</v>
      </c>
      <c r="G656" s="26">
        <f t="shared" ref="G656:G664" si="226">+E656</f>
        <v>0</v>
      </c>
      <c r="H656" s="10"/>
      <c r="I656" s="10"/>
    </row>
    <row r="657" spans="1:9" ht="10.199999999999999" customHeight="1">
      <c r="A657" s="105" t="s">
        <v>43</v>
      </c>
      <c r="B657" s="105"/>
      <c r="C657" s="35">
        <f ca="1">PImp*G_6PC</f>
        <v>16.399999999999999</v>
      </c>
      <c r="D657" s="107">
        <f ca="1">+G_6WC-E657</f>
        <v>4.6237655839895018</v>
      </c>
      <c r="E657" s="107">
        <f ca="1">AVERAGE(G_6PL,G_6PWHE)/CM</f>
        <v>0.25812417979002628</v>
      </c>
      <c r="F657" s="26">
        <f t="shared" ca="1" si="225"/>
        <v>4.6237655839895018</v>
      </c>
      <c r="G657" s="26">
        <f t="shared" ca="1" si="226"/>
        <v>0.25812417979002628</v>
      </c>
      <c r="H657" s="10"/>
      <c r="I657" s="10"/>
    </row>
    <row r="658" spans="1:9" ht="10.199999999999999" customHeight="1">
      <c r="A658" s="105" t="s">
        <v>44</v>
      </c>
      <c r="B658" s="105"/>
      <c r="C658" s="36">
        <f ca="1">PIsc*G_6PC</f>
        <v>17.600000000000001</v>
      </c>
      <c r="D658" s="107">
        <f ca="1">+G_6WC+E657</f>
        <v>5.1400139435695538</v>
      </c>
      <c r="E658" s="107">
        <f ca="1">-E657</f>
        <v>-0.25812417979002628</v>
      </c>
      <c r="F658" s="26">
        <f t="shared" ca="1" si="225"/>
        <v>5.1400139435695538</v>
      </c>
      <c r="G658" s="26">
        <f t="shared" ca="1" si="226"/>
        <v>-0.25812417979002628</v>
      </c>
      <c r="H658" s="10"/>
      <c r="I658" s="10"/>
    </row>
    <row r="659" spans="1:9" ht="10.199999999999999" customHeight="1">
      <c r="C659" s="9" t="s">
        <v>53</v>
      </c>
      <c r="D659" s="107">
        <f ca="1">D658</f>
        <v>5.1400139435695538</v>
      </c>
      <c r="E659" s="107">
        <f ca="1">+E657</f>
        <v>0.25812417979002628</v>
      </c>
      <c r="F659" s="26">
        <f t="shared" ca="1" si="225"/>
        <v>5.1400139435695538</v>
      </c>
      <c r="G659" s="26">
        <f t="shared" ca="1" si="226"/>
        <v>0.25812417979002628</v>
      </c>
      <c r="H659" s="10"/>
      <c r="I659" s="10"/>
    </row>
    <row r="660" spans="1:9" ht="10.199999999999999" customHeight="1">
      <c r="A660" s="22"/>
      <c r="B660" s="22"/>
      <c r="C660" s="9" t="s">
        <v>54</v>
      </c>
      <c r="D660" s="107">
        <f ca="1">D657</f>
        <v>4.6237655839895018</v>
      </c>
      <c r="E660" s="107">
        <f ca="1">-E657</f>
        <v>-0.25812417979002628</v>
      </c>
      <c r="F660" s="26">
        <f t="shared" ca="1" si="225"/>
        <v>4.6237655839895018</v>
      </c>
      <c r="G660" s="26">
        <f t="shared" ca="1" si="226"/>
        <v>-0.25812417979002628</v>
      </c>
      <c r="H660" s="10"/>
      <c r="I660" s="10"/>
    </row>
    <row r="661" spans="1:9" ht="10.199999999999999" customHeight="1">
      <c r="A661" s="22"/>
      <c r="B661" s="22"/>
      <c r="C661" s="9"/>
      <c r="D661" s="107">
        <f ca="1">+D658</f>
        <v>5.1400139435695538</v>
      </c>
      <c r="E661" s="107">
        <f ca="1">+G_6WTC-E657</f>
        <v>2.4321645341207345</v>
      </c>
      <c r="F661" s="26">
        <f t="shared" ca="1" si="225"/>
        <v>5.1400139435695538</v>
      </c>
      <c r="G661" s="26">
        <f t="shared" ca="1" si="226"/>
        <v>2.4321645341207345</v>
      </c>
      <c r="H661" s="10"/>
      <c r="I661" s="10"/>
    </row>
    <row r="662" spans="1:9" ht="10.199999999999999" customHeight="1">
      <c r="A662" s="22"/>
      <c r="B662" s="22"/>
      <c r="C662" s="9"/>
      <c r="D662" s="107">
        <f ca="1">+D657</f>
        <v>4.6237655839895018</v>
      </c>
      <c r="E662" s="107">
        <f ca="1">+G_6WTC+E657</f>
        <v>2.9484128937007874</v>
      </c>
      <c r="F662" s="26">
        <f t="shared" ca="1" si="225"/>
        <v>4.6237655839895018</v>
      </c>
      <c r="G662" s="26">
        <f t="shared" ca="1" si="226"/>
        <v>2.9484128937007874</v>
      </c>
      <c r="H662" s="10"/>
      <c r="I662" s="10"/>
    </row>
    <row r="663" spans="1:9" ht="10.199999999999999" customHeight="1">
      <c r="A663" s="22"/>
      <c r="B663" s="22"/>
      <c r="D663" s="107">
        <f ca="1">+D658</f>
        <v>5.1400139435695538</v>
      </c>
      <c r="E663" s="107">
        <f ca="1">E662</f>
        <v>2.9484128937007874</v>
      </c>
      <c r="F663" s="26">
        <f t="shared" ca="1" si="225"/>
        <v>5.1400139435695538</v>
      </c>
      <c r="G663" s="26">
        <f t="shared" ca="1" si="226"/>
        <v>2.9484128937007874</v>
      </c>
      <c r="H663" s="10"/>
      <c r="I663" s="12"/>
    </row>
    <row r="664" spans="1:9" ht="10.199999999999999" customHeight="1">
      <c r="A664" s="22"/>
      <c r="B664" s="22"/>
      <c r="C664" s="9"/>
      <c r="D664" s="107">
        <f ca="1">D657</f>
        <v>4.6237655839895018</v>
      </c>
      <c r="E664" s="107">
        <f ca="1">+E661</f>
        <v>2.4321645341207345</v>
      </c>
      <c r="F664" s="26">
        <f t="shared" ca="1" si="225"/>
        <v>4.6237655839895018</v>
      </c>
      <c r="G664" s="26">
        <f t="shared" ca="1" si="226"/>
        <v>2.4321645341207345</v>
      </c>
      <c r="H664" s="10"/>
      <c r="I664" s="10"/>
    </row>
    <row r="665" spans="1:9" ht="10.199999999999999" customHeight="1">
      <c r="A665" s="22"/>
      <c r="B665" s="22"/>
      <c r="C665" s="9" t="s">
        <v>41</v>
      </c>
      <c r="H665" s="10"/>
      <c r="I665" s="10"/>
    </row>
    <row r="666" spans="1:9" ht="10.199999999999999" customHeight="1">
      <c r="A666" s="22"/>
      <c r="B666" s="22"/>
      <c r="C666" s="9"/>
      <c r="H666" s="10"/>
      <c r="I666" s="10"/>
    </row>
    <row r="667" spans="1:9" ht="10.199999999999999" customHeight="1">
      <c r="A667" s="22"/>
      <c r="B667" s="22"/>
      <c r="C667" s="9"/>
      <c r="H667" s="10"/>
      <c r="I667" s="10"/>
    </row>
    <row r="668" spans="1:9" ht="10.199999999999999" customHeight="1">
      <c r="A668" s="22"/>
      <c r="B668" s="22"/>
      <c r="C668" s="9"/>
      <c r="H668" s="10"/>
      <c r="I668" s="10"/>
    </row>
    <row r="669" spans="1:9" ht="10.199999999999999" customHeight="1">
      <c r="A669" s="22"/>
      <c r="B669" s="22"/>
      <c r="C669" s="9"/>
      <c r="D669" s="107"/>
      <c r="E669" s="107"/>
      <c r="F669" s="10"/>
      <c r="G669" s="10"/>
      <c r="H669" s="10"/>
      <c r="I669" s="10"/>
    </row>
    <row r="670" spans="1:9" ht="10.199999999999999" customHeight="1">
      <c r="A670" s="305" t="s">
        <v>234</v>
      </c>
      <c r="B670" s="304"/>
      <c r="C670" s="23" t="str">
        <f ca="1">PModel</f>
        <v>SS250-60P</v>
      </c>
      <c r="D670" s="300">
        <f ca="1">+PLFt</f>
        <v>5.3805774278215219</v>
      </c>
      <c r="E670" s="300">
        <f ca="1">+PWFt</f>
        <v>3.2545931758530187</v>
      </c>
      <c r="F670" s="26"/>
      <c r="G670" s="26"/>
    </row>
    <row r="671" spans="1:9" ht="10.199999999999999" customHeight="1">
      <c r="A671" s="286" t="s">
        <v>8</v>
      </c>
      <c r="B671" s="286"/>
      <c r="C671" s="283">
        <f ca="1">A_8L*4+Spacing*3</f>
        <v>21.647309711286088</v>
      </c>
      <c r="D671" s="107">
        <f>0</f>
        <v>0</v>
      </c>
      <c r="E671" s="107">
        <f>0</f>
        <v>0</v>
      </c>
      <c r="F671" s="26">
        <f t="shared" ref="F671:F678" si="227">+D671</f>
        <v>0</v>
      </c>
      <c r="G671" s="26">
        <f t="shared" ref="G671:G678" si="228">+E671</f>
        <v>0</v>
      </c>
      <c r="H671" s="10"/>
      <c r="I671" s="10"/>
    </row>
    <row r="672" spans="1:9" ht="10.199999999999999" customHeight="1">
      <c r="A672" s="286" t="s">
        <v>0</v>
      </c>
      <c r="B672" s="286"/>
      <c r="C672" s="284">
        <f ca="1">+A_8W*2+Spacing</f>
        <v>6.5508530183727043</v>
      </c>
      <c r="D672" s="107">
        <f>0</f>
        <v>0</v>
      </c>
      <c r="E672" s="107">
        <f ca="1">A_8W</f>
        <v>3.2545931758530187</v>
      </c>
      <c r="F672" s="26">
        <f t="shared" si="227"/>
        <v>0</v>
      </c>
      <c r="G672" s="26">
        <f t="shared" ca="1" si="228"/>
        <v>3.2545931758530187</v>
      </c>
      <c r="H672" s="10"/>
      <c r="I672" s="10"/>
    </row>
    <row r="673" spans="1:9" ht="10.199999999999999" customHeight="1">
      <c r="A673" s="286" t="s">
        <v>2</v>
      </c>
      <c r="B673" s="286"/>
      <c r="C673" s="284">
        <f ca="1">+A_8W*2+Spacing</f>
        <v>6.5508530183727043</v>
      </c>
      <c r="D673" s="107">
        <f ca="1">A_8L</f>
        <v>5.3805774278215219</v>
      </c>
      <c r="E673" s="107">
        <f ca="1">A_8W</f>
        <v>3.2545931758530187</v>
      </c>
      <c r="F673" s="26">
        <f t="shared" ca="1" si="227"/>
        <v>5.3805774278215219</v>
      </c>
      <c r="G673" s="26">
        <f t="shared" ca="1" si="228"/>
        <v>3.2545931758530187</v>
      </c>
      <c r="H673" s="10"/>
      <c r="I673" s="10"/>
    </row>
    <row r="674" spans="1:9" ht="10.199999999999999" customHeight="1">
      <c r="A674" s="286" t="s">
        <v>206</v>
      </c>
      <c r="B674" s="286"/>
      <c r="C674" s="284">
        <f>0</f>
        <v>0</v>
      </c>
      <c r="D674" s="107">
        <f ca="1">A_8L</f>
        <v>5.3805774278215219</v>
      </c>
      <c r="E674" s="107">
        <f ca="1">-A_8W</f>
        <v>-3.2545931758530187</v>
      </c>
      <c r="F674" s="26">
        <f t="shared" ca="1" si="227"/>
        <v>5.3805774278215219</v>
      </c>
      <c r="G674" s="26">
        <f t="shared" ca="1" si="228"/>
        <v>-3.2545931758530187</v>
      </c>
      <c r="H674" s="10"/>
      <c r="I674" s="10"/>
    </row>
    <row r="675" spans="1:9" ht="10.199999999999999" customHeight="1">
      <c r="A675" s="286" t="s">
        <v>207</v>
      </c>
      <c r="B675" s="286"/>
      <c r="C675" s="285">
        <f>0</f>
        <v>0</v>
      </c>
      <c r="D675" s="107">
        <f ca="1">A_8L*2</f>
        <v>10.761154855643044</v>
      </c>
      <c r="E675" s="107">
        <f ca="1">-A_8W</f>
        <v>-3.2545931758530187</v>
      </c>
      <c r="F675" s="26">
        <f t="shared" ca="1" si="227"/>
        <v>10.761154855643044</v>
      </c>
      <c r="G675" s="26">
        <f t="shared" ca="1" si="228"/>
        <v>-3.2545931758530187</v>
      </c>
      <c r="H675" s="10"/>
      <c r="I675" s="10"/>
    </row>
    <row r="676" spans="1:9" ht="10.199999999999999" customHeight="1">
      <c r="A676" s="105" t="s">
        <v>69</v>
      </c>
      <c r="B676" s="105"/>
      <c r="C676" s="163">
        <v>4</v>
      </c>
      <c r="D676" s="107">
        <f ca="1">A_8L*2</f>
        <v>10.761154855643044</v>
      </c>
      <c r="E676" s="107">
        <f ca="1">A_8W</f>
        <v>3.2545931758530187</v>
      </c>
      <c r="F676" s="26">
        <f t="shared" ca="1" si="227"/>
        <v>10.761154855643044</v>
      </c>
      <c r="G676" s="26">
        <f t="shared" ca="1" si="228"/>
        <v>3.2545931758530187</v>
      </c>
      <c r="H676" s="10"/>
      <c r="I676" s="10"/>
    </row>
    <row r="677" spans="1:9" ht="10.199999999999999" customHeight="1">
      <c r="A677" s="105" t="s">
        <v>70</v>
      </c>
      <c r="B677" s="105"/>
      <c r="C677" s="164">
        <v>2</v>
      </c>
      <c r="D677" s="107">
        <f ca="1">A_8L*3</f>
        <v>16.141732283464567</v>
      </c>
      <c r="E677" s="107">
        <f ca="1">A_8W</f>
        <v>3.2545931758530187</v>
      </c>
      <c r="F677" s="26">
        <f t="shared" ca="1" si="227"/>
        <v>16.141732283464567</v>
      </c>
      <c r="G677" s="26">
        <f t="shared" ca="1" si="228"/>
        <v>3.2545931758530187</v>
      </c>
      <c r="H677" s="10"/>
      <c r="I677" s="10"/>
    </row>
    <row r="678" spans="1:9" ht="10.199999999999999" customHeight="1">
      <c r="A678" s="105" t="s">
        <v>51</v>
      </c>
      <c r="B678" s="105"/>
      <c r="C678" s="98">
        <f ca="1">+A_8L*A_8W*A_8SC*A_8PC</f>
        <v>140.0927246298937</v>
      </c>
      <c r="D678" s="107">
        <f ca="1">A_8L*3</f>
        <v>16.141732283464567</v>
      </c>
      <c r="E678" s="107">
        <f ca="1">-A_8W</f>
        <v>-3.2545931758530187</v>
      </c>
      <c r="F678" s="26">
        <f t="shared" ca="1" si="227"/>
        <v>16.141732283464567</v>
      </c>
      <c r="G678" s="26">
        <f t="shared" ca="1" si="228"/>
        <v>-3.2545931758530187</v>
      </c>
      <c r="H678" s="10"/>
      <c r="I678" s="10"/>
    </row>
    <row r="679" spans="1:9" ht="10.199999999999999" customHeight="1">
      <c r="A679" s="105" t="s">
        <v>52</v>
      </c>
      <c r="B679" s="105"/>
      <c r="C679" s="281">
        <f ca="1">A_8PA*StraightLineWind</f>
        <v>1400.927246298937</v>
      </c>
      <c r="D679" s="107">
        <f ca="1">A_8L*4</f>
        <v>21.522309711286088</v>
      </c>
      <c r="E679" s="107">
        <f ca="1">-A_8W</f>
        <v>-3.2545931758530187</v>
      </c>
      <c r="F679" s="26">
        <f t="shared" ref="F679:F680" ca="1" si="229">+D679</f>
        <v>21.522309711286088</v>
      </c>
      <c r="G679" s="26">
        <f t="shared" ref="G679:G680" ca="1" si="230">+E679</f>
        <v>-3.2545931758530187</v>
      </c>
      <c r="H679" s="10"/>
      <c r="I679" s="10"/>
    </row>
    <row r="680" spans="1:9" ht="10.199999999999999" customHeight="1">
      <c r="A680" s="105" t="s">
        <v>82</v>
      </c>
      <c r="B680" s="105"/>
      <c r="C680" s="31">
        <f ca="1">+A_8L*4/2</f>
        <v>10.761154855643044</v>
      </c>
      <c r="D680" s="107">
        <f ca="1">A_8L*4</f>
        <v>21.522309711286088</v>
      </c>
      <c r="E680" s="107">
        <f ca="1">A_8W</f>
        <v>3.2545931758530187</v>
      </c>
      <c r="F680" s="26">
        <f t="shared" ca="1" si="229"/>
        <v>21.522309711286088</v>
      </c>
      <c r="G680" s="26">
        <f t="shared" ca="1" si="230"/>
        <v>3.2545931758530187</v>
      </c>
      <c r="H680" s="10"/>
      <c r="I680" s="10"/>
    </row>
    <row r="681" spans="1:9" ht="10.199999999999999" customHeight="1">
      <c r="A681" s="105" t="s">
        <v>83</v>
      </c>
      <c r="B681" s="105"/>
      <c r="C681" s="31">
        <f ca="1">+A_8W*2/4</f>
        <v>1.6272965879265093</v>
      </c>
      <c r="D681" s="107">
        <f ca="1">A_8L*3</f>
        <v>16.141732283464567</v>
      </c>
      <c r="E681" s="107">
        <f ca="1">A_8W</f>
        <v>3.2545931758530187</v>
      </c>
      <c r="F681" s="26">
        <f t="shared" ref="F681:G684" ca="1" si="231">+D681</f>
        <v>16.141732283464567</v>
      </c>
      <c r="G681" s="26">
        <f t="shared" ca="1" si="231"/>
        <v>3.2545931758530187</v>
      </c>
      <c r="H681" s="10"/>
      <c r="I681" s="10"/>
    </row>
    <row r="682" spans="1:9" ht="10.199999999999999" customHeight="1">
      <c r="A682" s="105" t="s">
        <v>60</v>
      </c>
      <c r="B682" s="105"/>
      <c r="C682" s="282">
        <f ca="1">+A_8WL*A_8WTC</f>
        <v>2279.7241278355409</v>
      </c>
      <c r="D682" s="107">
        <f ca="1">A_8L*3</f>
        <v>16.141732283464567</v>
      </c>
      <c r="E682" s="107">
        <f ca="1">-A_8W</f>
        <v>-3.2545931758530187</v>
      </c>
      <c r="F682" s="26">
        <f t="shared" ca="1" si="231"/>
        <v>16.141732283464567</v>
      </c>
      <c r="G682" s="26">
        <f t="shared" ca="1" si="231"/>
        <v>-3.2545931758530187</v>
      </c>
      <c r="H682" s="10"/>
      <c r="I682" s="10"/>
    </row>
    <row r="683" spans="1:9" ht="10.199999999999999" customHeight="1">
      <c r="A683" s="105" t="s">
        <v>42</v>
      </c>
      <c r="B683" s="105"/>
      <c r="C683" s="32">
        <f ca="1">PWatt*A_8SC*A_8PC</f>
        <v>2000</v>
      </c>
      <c r="D683" s="107">
        <f>0</f>
        <v>0</v>
      </c>
      <c r="E683" s="107">
        <f ca="1">-A_8W</f>
        <v>-3.2545931758530187</v>
      </c>
      <c r="F683" s="26">
        <f t="shared" si="231"/>
        <v>0</v>
      </c>
      <c r="G683" s="26">
        <f t="shared" ca="1" si="231"/>
        <v>-3.2545931758530187</v>
      </c>
      <c r="H683" s="10"/>
      <c r="I683" s="10"/>
    </row>
    <row r="684" spans="1:9" ht="10.199999999999999" customHeight="1">
      <c r="A684" s="105" t="s">
        <v>36</v>
      </c>
      <c r="B684" s="105"/>
      <c r="C684" s="33">
        <f ca="1">PVmp*A_8SC</f>
        <v>122</v>
      </c>
      <c r="D684" s="107">
        <f>0</f>
        <v>0</v>
      </c>
      <c r="E684" s="107">
        <f>0</f>
        <v>0</v>
      </c>
      <c r="F684" s="26">
        <f t="shared" si="231"/>
        <v>0</v>
      </c>
      <c r="G684" s="26">
        <f t="shared" si="231"/>
        <v>0</v>
      </c>
      <c r="H684" s="10"/>
      <c r="I684" s="10"/>
    </row>
    <row r="685" spans="1:9" ht="10.199999999999999" customHeight="1">
      <c r="A685" s="105" t="s">
        <v>37</v>
      </c>
      <c r="B685" s="105"/>
      <c r="C685" s="34">
        <f ca="1">PVoc*A_8SC</f>
        <v>148.80000000000001</v>
      </c>
      <c r="D685" s="107">
        <f ca="1">A_8L*4</f>
        <v>21.522309711286088</v>
      </c>
      <c r="E685" s="107">
        <f>0</f>
        <v>0</v>
      </c>
      <c r="F685" s="26">
        <f t="shared" ref="F685:F686" ca="1" si="232">+D685</f>
        <v>21.522309711286088</v>
      </c>
      <c r="G685" s="26">
        <f t="shared" ref="G685:G686" si="233">+E685</f>
        <v>0</v>
      </c>
      <c r="H685" s="10"/>
      <c r="I685" s="10"/>
    </row>
    <row r="686" spans="1:9" ht="10.199999999999999" customHeight="1">
      <c r="A686" s="105" t="s">
        <v>43</v>
      </c>
      <c r="B686" s="105"/>
      <c r="C686" s="35">
        <f ca="1">PImp*A_8PC</f>
        <v>16.399999999999999</v>
      </c>
      <c r="D686" s="107">
        <f ca="1">A_8L*2</f>
        <v>10.761154855643044</v>
      </c>
      <c r="E686" s="107">
        <f ca="1">A_8W</f>
        <v>3.2545931758530187</v>
      </c>
      <c r="F686" s="26">
        <f t="shared" ca="1" si="232"/>
        <v>10.761154855643044</v>
      </c>
      <c r="G686" s="26">
        <f t="shared" ca="1" si="233"/>
        <v>3.2545931758530187</v>
      </c>
      <c r="H686" s="10"/>
      <c r="I686" s="10"/>
    </row>
    <row r="687" spans="1:9" ht="10.199999999999999" customHeight="1">
      <c r="A687" s="105" t="s">
        <v>44</v>
      </c>
      <c r="B687" s="105"/>
      <c r="C687" s="36">
        <f ca="1">PIsc*A_8PC</f>
        <v>17.600000000000001</v>
      </c>
      <c r="D687" s="107">
        <f ca="1">A_8L</f>
        <v>5.3805774278215219</v>
      </c>
      <c r="E687" s="107">
        <f ca="1">A_8W</f>
        <v>3.2545931758530187</v>
      </c>
      <c r="F687" s="26">
        <f t="shared" ref="F687:F695" ca="1" si="234">+D687</f>
        <v>5.3805774278215219</v>
      </c>
      <c r="G687" s="26">
        <f t="shared" ref="G687:G695" ca="1" si="235">+E687</f>
        <v>3.2545931758530187</v>
      </c>
      <c r="H687" s="10"/>
      <c r="I687" s="10"/>
    </row>
    <row r="688" spans="1:9" ht="10.199999999999999" customHeight="1">
      <c r="C688" s="9" t="s">
        <v>53</v>
      </c>
      <c r="D688" s="107">
        <f ca="1">+A_8WC-E688</f>
        <v>10.408677821522309</v>
      </c>
      <c r="E688" s="107">
        <f ca="1">AVERAGE(A_8PL,A_8PWHE)/CM</f>
        <v>0.35247703412073489</v>
      </c>
      <c r="F688" s="26">
        <f t="shared" ca="1" si="234"/>
        <v>10.408677821522309</v>
      </c>
      <c r="G688" s="26">
        <f t="shared" ca="1" si="235"/>
        <v>0.35247703412073489</v>
      </c>
      <c r="H688" s="10"/>
      <c r="I688" s="10"/>
    </row>
    <row r="689" spans="1:9" ht="10.199999999999999" customHeight="1">
      <c r="A689" s="22"/>
      <c r="B689" s="22"/>
      <c r="D689" s="107">
        <f ca="1">+A_8WC+E688</f>
        <v>11.113631889763779</v>
      </c>
      <c r="E689" s="107">
        <f ca="1">-E688</f>
        <v>-0.35247703412073489</v>
      </c>
      <c r="F689" s="26">
        <f t="shared" ca="1" si="234"/>
        <v>11.113631889763779</v>
      </c>
      <c r="G689" s="26">
        <f t="shared" ca="1" si="235"/>
        <v>-0.35247703412073489</v>
      </c>
      <c r="H689" s="10"/>
      <c r="I689" s="10"/>
    </row>
    <row r="690" spans="1:9" ht="10.199999999999999" customHeight="1">
      <c r="A690" s="22"/>
      <c r="B690" s="22"/>
      <c r="C690" s="9"/>
      <c r="D690" s="107">
        <f ca="1">D689</f>
        <v>11.113631889763779</v>
      </c>
      <c r="E690" s="107">
        <f ca="1">+E688</f>
        <v>0.35247703412073489</v>
      </c>
      <c r="F690" s="26">
        <f t="shared" ca="1" si="234"/>
        <v>11.113631889763779</v>
      </c>
      <c r="G690" s="26">
        <f t="shared" ca="1" si="235"/>
        <v>0.35247703412073489</v>
      </c>
      <c r="H690" s="10"/>
      <c r="I690" s="10"/>
    </row>
    <row r="691" spans="1:9" ht="10.199999999999999" customHeight="1">
      <c r="A691" s="22"/>
      <c r="B691" s="22"/>
      <c r="D691" s="107">
        <f ca="1">D688</f>
        <v>10.408677821522309</v>
      </c>
      <c r="E691" s="107">
        <f ca="1">-E688</f>
        <v>-0.35247703412073489</v>
      </c>
      <c r="F691" s="26">
        <f t="shared" ca="1" si="234"/>
        <v>10.408677821522309</v>
      </c>
      <c r="G691" s="26">
        <f t="shared" ca="1" si="235"/>
        <v>-0.35247703412073489</v>
      </c>
      <c r="H691" s="10"/>
      <c r="I691" s="10"/>
    </row>
    <row r="692" spans="1:9" ht="10.199999999999999" customHeight="1">
      <c r="A692" s="22"/>
      <c r="B692" s="22"/>
      <c r="C692" s="9" t="s">
        <v>54</v>
      </c>
      <c r="D692" s="107">
        <f ca="1">+D689</f>
        <v>11.113631889763779</v>
      </c>
      <c r="E692" s="107">
        <f ca="1">+A_8WTC-E688</f>
        <v>1.2748195538057745</v>
      </c>
      <c r="F692" s="26">
        <f t="shared" ca="1" si="234"/>
        <v>11.113631889763779</v>
      </c>
      <c r="G692" s="26">
        <f t="shared" ca="1" si="235"/>
        <v>1.2748195538057745</v>
      </c>
      <c r="H692" s="10"/>
      <c r="I692" s="10"/>
    </row>
    <row r="693" spans="1:9" ht="10.199999999999999" customHeight="1">
      <c r="A693" s="22"/>
      <c r="B693" s="22"/>
      <c r="D693" s="107">
        <f ca="1">+D688</f>
        <v>10.408677821522309</v>
      </c>
      <c r="E693" s="107">
        <f ca="1">+A_8WTC+E688</f>
        <v>1.9797736220472442</v>
      </c>
      <c r="F693" s="26">
        <f t="shared" ca="1" si="234"/>
        <v>10.408677821522309</v>
      </c>
      <c r="G693" s="26">
        <f t="shared" ca="1" si="235"/>
        <v>1.9797736220472442</v>
      </c>
      <c r="H693" s="10"/>
      <c r="I693" s="10"/>
    </row>
    <row r="694" spans="1:9" ht="10.199999999999999" customHeight="1">
      <c r="A694" s="22"/>
      <c r="B694" s="22"/>
      <c r="D694" s="107">
        <f ca="1">+D689</f>
        <v>11.113631889763779</v>
      </c>
      <c r="E694" s="107">
        <f ca="1">E693</f>
        <v>1.9797736220472442</v>
      </c>
      <c r="F694" s="26">
        <f t="shared" ca="1" si="234"/>
        <v>11.113631889763779</v>
      </c>
      <c r="G694" s="26">
        <f t="shared" ca="1" si="235"/>
        <v>1.9797736220472442</v>
      </c>
      <c r="H694" s="10"/>
      <c r="I694" s="10"/>
    </row>
    <row r="695" spans="1:9" ht="10.199999999999999" customHeight="1">
      <c r="A695" s="22"/>
      <c r="B695" s="22"/>
      <c r="D695" s="107">
        <f ca="1">D688</f>
        <v>10.408677821522309</v>
      </c>
      <c r="E695" s="107">
        <f ca="1">+E692</f>
        <v>1.2748195538057745</v>
      </c>
      <c r="F695" s="26">
        <f t="shared" ca="1" si="234"/>
        <v>10.408677821522309</v>
      </c>
      <c r="G695" s="26">
        <f t="shared" ca="1" si="235"/>
        <v>1.2748195538057745</v>
      </c>
      <c r="H695" s="10"/>
      <c r="I695" s="10"/>
    </row>
    <row r="696" spans="1:9" ht="10.199999999999999" customHeight="1">
      <c r="A696" s="22"/>
      <c r="B696" s="22"/>
      <c r="C696" s="9"/>
      <c r="D696" s="107"/>
      <c r="E696" s="107"/>
      <c r="F696" s="10"/>
      <c r="G696" s="10"/>
      <c r="H696" s="10"/>
      <c r="I696" s="10"/>
    </row>
    <row r="697" spans="1:9" ht="10.199999999999999" customHeight="1">
      <c r="A697" s="305" t="s">
        <v>239</v>
      </c>
      <c r="B697" s="304"/>
      <c r="C697" s="23" t="str">
        <f ca="1">PModel</f>
        <v>SS250-60P</v>
      </c>
      <c r="D697" s="300">
        <f ca="1">+PLFt</f>
        <v>5.3805774278215219</v>
      </c>
      <c r="E697" s="300">
        <f ca="1">+PWFt</f>
        <v>3.2545931758530187</v>
      </c>
      <c r="F697" s="26"/>
      <c r="G697" s="26"/>
    </row>
    <row r="698" spans="1:9" ht="10.199999999999999" customHeight="1">
      <c r="A698" s="286" t="s">
        <v>8</v>
      </c>
      <c r="B698" s="286"/>
      <c r="C698" s="283">
        <f ca="1">B_8W*4+Spacing*3</f>
        <v>13.143372703412075</v>
      </c>
      <c r="D698" s="107">
        <f>0</f>
        <v>0</v>
      </c>
      <c r="E698" s="107">
        <f>0</f>
        <v>0</v>
      </c>
      <c r="F698" s="26">
        <f t="shared" ref="F698:F722" si="236">+D698</f>
        <v>0</v>
      </c>
      <c r="G698" s="26">
        <f t="shared" ref="G698:G722" si="237">+E698</f>
        <v>0</v>
      </c>
      <c r="H698" s="10"/>
      <c r="I698" s="10"/>
    </row>
    <row r="699" spans="1:9" ht="10.199999999999999" customHeight="1">
      <c r="A699" s="286" t="s">
        <v>0</v>
      </c>
      <c r="B699" s="286"/>
      <c r="C699" s="284">
        <f ca="1">+B_8L*2+Spacing</f>
        <v>10.80282152230971</v>
      </c>
      <c r="D699" s="107">
        <f>0</f>
        <v>0</v>
      </c>
      <c r="E699" s="107">
        <f ca="1">B_8L</f>
        <v>5.3805774278215219</v>
      </c>
      <c r="F699" s="26">
        <f t="shared" si="236"/>
        <v>0</v>
      </c>
      <c r="G699" s="26">
        <f t="shared" ca="1" si="237"/>
        <v>5.3805774278215219</v>
      </c>
      <c r="H699" s="10"/>
      <c r="I699" s="10"/>
    </row>
    <row r="700" spans="1:9" ht="10.199999999999999" customHeight="1">
      <c r="A700" s="286" t="s">
        <v>2</v>
      </c>
      <c r="B700" s="286"/>
      <c r="C700" s="284">
        <f ca="1">+B_8L*2+Spacing</f>
        <v>10.80282152230971</v>
      </c>
      <c r="D700" s="107">
        <f ca="1">B_8W</f>
        <v>3.2545931758530187</v>
      </c>
      <c r="E700" s="107">
        <f ca="1">B_8L</f>
        <v>5.3805774278215219</v>
      </c>
      <c r="F700" s="26">
        <f t="shared" ca="1" si="236"/>
        <v>3.2545931758530187</v>
      </c>
      <c r="G700" s="26">
        <f t="shared" ca="1" si="237"/>
        <v>5.3805774278215219</v>
      </c>
      <c r="H700" s="10"/>
      <c r="I700" s="10"/>
    </row>
    <row r="701" spans="1:9" ht="10.199999999999999" customHeight="1">
      <c r="A701" s="286" t="s">
        <v>206</v>
      </c>
      <c r="B701" s="286"/>
      <c r="C701" s="284">
        <f>0</f>
        <v>0</v>
      </c>
      <c r="D701" s="107">
        <f ca="1">B_8W</f>
        <v>3.2545931758530187</v>
      </c>
      <c r="E701" s="107">
        <f ca="1">-B_8L</f>
        <v>-5.3805774278215219</v>
      </c>
      <c r="F701" s="26">
        <f t="shared" ca="1" si="236"/>
        <v>3.2545931758530187</v>
      </c>
      <c r="G701" s="26">
        <f t="shared" ca="1" si="237"/>
        <v>-5.3805774278215219</v>
      </c>
      <c r="H701" s="10"/>
      <c r="I701" s="10"/>
    </row>
    <row r="702" spans="1:9" ht="10.199999999999999" customHeight="1">
      <c r="A702" s="286" t="s">
        <v>207</v>
      </c>
      <c r="B702" s="286"/>
      <c r="C702" s="285">
        <f>0</f>
        <v>0</v>
      </c>
      <c r="D702" s="107">
        <f ca="1">B_8W*2</f>
        <v>6.5091863517060373</v>
      </c>
      <c r="E702" s="107">
        <f ca="1">-B_8L</f>
        <v>-5.3805774278215219</v>
      </c>
      <c r="F702" s="26">
        <f t="shared" ca="1" si="236"/>
        <v>6.5091863517060373</v>
      </c>
      <c r="G702" s="26">
        <f t="shared" ca="1" si="237"/>
        <v>-5.3805774278215219</v>
      </c>
      <c r="H702" s="10"/>
      <c r="I702" s="10"/>
    </row>
    <row r="703" spans="1:9" ht="10.199999999999999" customHeight="1">
      <c r="A703" s="105" t="s">
        <v>69</v>
      </c>
      <c r="B703" s="105"/>
      <c r="C703" s="163">
        <v>4</v>
      </c>
      <c r="D703" s="107">
        <f ca="1">B_8W*2</f>
        <v>6.5091863517060373</v>
      </c>
      <c r="E703" s="107">
        <f ca="1">B_8L</f>
        <v>5.3805774278215219</v>
      </c>
      <c r="F703" s="26">
        <f t="shared" ca="1" si="236"/>
        <v>6.5091863517060373</v>
      </c>
      <c r="G703" s="26">
        <f t="shared" ca="1" si="237"/>
        <v>5.3805774278215219</v>
      </c>
      <c r="H703" s="10"/>
      <c r="I703" s="10"/>
    </row>
    <row r="704" spans="1:9" ht="10.199999999999999" customHeight="1">
      <c r="A704" s="105" t="s">
        <v>70</v>
      </c>
      <c r="B704" s="105"/>
      <c r="C704" s="164">
        <v>2</v>
      </c>
      <c r="D704" s="107">
        <f ca="1">B_8W*3</f>
        <v>9.7637795275590555</v>
      </c>
      <c r="E704" s="107">
        <f ca="1">B_8L</f>
        <v>5.3805774278215219</v>
      </c>
      <c r="F704" s="26">
        <f t="shared" ca="1" si="236"/>
        <v>9.7637795275590555</v>
      </c>
      <c r="G704" s="26">
        <f t="shared" ca="1" si="237"/>
        <v>5.3805774278215219</v>
      </c>
      <c r="H704" s="10"/>
      <c r="I704" s="10"/>
    </row>
    <row r="705" spans="1:9" ht="10.199999999999999" customHeight="1">
      <c r="A705" s="105" t="s">
        <v>51</v>
      </c>
      <c r="B705" s="105"/>
      <c r="C705" s="98">
        <f ca="1">+B_8L*B_8W*B_8SC*B_8PC</f>
        <v>140.0927246298937</v>
      </c>
      <c r="D705" s="107">
        <f ca="1">B_8W*3</f>
        <v>9.7637795275590555</v>
      </c>
      <c r="E705" s="107">
        <f ca="1">-B_8L</f>
        <v>-5.3805774278215219</v>
      </c>
      <c r="F705" s="26">
        <f t="shared" ca="1" si="236"/>
        <v>9.7637795275590555</v>
      </c>
      <c r="G705" s="26">
        <f t="shared" ca="1" si="237"/>
        <v>-5.3805774278215219</v>
      </c>
      <c r="H705" s="10"/>
      <c r="I705" s="10"/>
    </row>
    <row r="706" spans="1:9" ht="10.199999999999999" customHeight="1">
      <c r="A706" s="105" t="s">
        <v>52</v>
      </c>
      <c r="B706" s="105"/>
      <c r="C706" s="281">
        <f ca="1">B_8PA*StraightLineWind</f>
        <v>1400.927246298937</v>
      </c>
      <c r="D706" s="107">
        <f ca="1">B_8W*4</f>
        <v>13.018372703412075</v>
      </c>
      <c r="E706" s="107">
        <f ca="1">-B_8L</f>
        <v>-5.3805774278215219</v>
      </c>
      <c r="F706" s="26">
        <f t="shared" ca="1" si="236"/>
        <v>13.018372703412075</v>
      </c>
      <c r="G706" s="26">
        <f t="shared" ca="1" si="237"/>
        <v>-5.3805774278215219</v>
      </c>
      <c r="H706" s="10"/>
      <c r="I706" s="10"/>
    </row>
    <row r="707" spans="1:9" ht="10.199999999999999" customHeight="1">
      <c r="A707" s="105" t="s">
        <v>82</v>
      </c>
      <c r="B707" s="105"/>
      <c r="C707" s="31">
        <f ca="1">+B_8W*4/2</f>
        <v>6.5091863517060373</v>
      </c>
      <c r="D707" s="107">
        <f ca="1">B_8W*4</f>
        <v>13.018372703412075</v>
      </c>
      <c r="E707" s="107">
        <f ca="1">B_8L</f>
        <v>5.3805774278215219</v>
      </c>
      <c r="F707" s="26">
        <f t="shared" ca="1" si="236"/>
        <v>13.018372703412075</v>
      </c>
      <c r="G707" s="26">
        <f t="shared" ca="1" si="237"/>
        <v>5.3805774278215219</v>
      </c>
      <c r="H707" s="10"/>
      <c r="I707" s="10"/>
    </row>
    <row r="708" spans="1:9" ht="10.199999999999999" customHeight="1">
      <c r="A708" s="105" t="s">
        <v>83</v>
      </c>
      <c r="B708" s="105"/>
      <c r="C708" s="31">
        <f ca="1">+B_8L*2/4</f>
        <v>2.690288713910761</v>
      </c>
      <c r="D708" s="107">
        <f ca="1">B_8W*3</f>
        <v>9.7637795275590555</v>
      </c>
      <c r="E708" s="107">
        <f ca="1">B_8L</f>
        <v>5.3805774278215219</v>
      </c>
      <c r="F708" s="26">
        <f t="shared" ca="1" si="236"/>
        <v>9.7637795275590555</v>
      </c>
      <c r="G708" s="26">
        <f t="shared" ca="1" si="237"/>
        <v>5.3805774278215219</v>
      </c>
      <c r="H708" s="10"/>
      <c r="I708" s="10"/>
    </row>
    <row r="709" spans="1:9" ht="10.199999999999999" customHeight="1">
      <c r="A709" s="105" t="s">
        <v>60</v>
      </c>
      <c r="B709" s="105"/>
      <c r="C709" s="282">
        <f ca="1">+B_8WL*B_8WTC</f>
        <v>3768.8987597281111</v>
      </c>
      <c r="D709" s="107">
        <f ca="1">B_8W*3</f>
        <v>9.7637795275590555</v>
      </c>
      <c r="E709" s="107">
        <f ca="1">-B_8L</f>
        <v>-5.3805774278215219</v>
      </c>
      <c r="F709" s="26">
        <f t="shared" ca="1" si="236"/>
        <v>9.7637795275590555</v>
      </c>
      <c r="G709" s="26">
        <f t="shared" ca="1" si="237"/>
        <v>-5.3805774278215219</v>
      </c>
      <c r="H709" s="10"/>
      <c r="I709" s="10"/>
    </row>
    <row r="710" spans="1:9" ht="10.199999999999999" customHeight="1">
      <c r="A710" s="105" t="s">
        <v>42</v>
      </c>
      <c r="B710" s="105"/>
      <c r="C710" s="32">
        <f ca="1">PWatt*B_8SC*B_8PC</f>
        <v>2000</v>
      </c>
      <c r="D710" s="107">
        <f>0</f>
        <v>0</v>
      </c>
      <c r="E710" s="107">
        <f ca="1">-B_8L</f>
        <v>-5.3805774278215219</v>
      </c>
      <c r="F710" s="26">
        <f t="shared" si="236"/>
        <v>0</v>
      </c>
      <c r="G710" s="26">
        <f t="shared" ca="1" si="237"/>
        <v>-5.3805774278215219</v>
      </c>
      <c r="H710" s="10"/>
      <c r="I710" s="10"/>
    </row>
    <row r="711" spans="1:9" ht="10.199999999999999" customHeight="1">
      <c r="A711" s="105" t="s">
        <v>36</v>
      </c>
      <c r="B711" s="105"/>
      <c r="C711" s="33">
        <f ca="1">PVmp*B_8SC</f>
        <v>122</v>
      </c>
      <c r="D711" s="107">
        <f>0</f>
        <v>0</v>
      </c>
      <c r="E711" s="107">
        <f>0</f>
        <v>0</v>
      </c>
      <c r="F711" s="26">
        <f t="shared" si="236"/>
        <v>0</v>
      </c>
      <c r="G711" s="26">
        <f t="shared" si="237"/>
        <v>0</v>
      </c>
      <c r="H711" s="10"/>
      <c r="I711" s="10"/>
    </row>
    <row r="712" spans="1:9" ht="10.199999999999999" customHeight="1">
      <c r="A712" s="105" t="s">
        <v>37</v>
      </c>
      <c r="B712" s="105"/>
      <c r="C712" s="34">
        <f ca="1">PVoc*B_8SC</f>
        <v>148.80000000000001</v>
      </c>
      <c r="D712" s="107">
        <f ca="1">B_8W*4</f>
        <v>13.018372703412075</v>
      </c>
      <c r="E712" s="107">
        <f>0</f>
        <v>0</v>
      </c>
      <c r="F712" s="26">
        <f t="shared" ca="1" si="236"/>
        <v>13.018372703412075</v>
      </c>
      <c r="G712" s="26">
        <f t="shared" si="237"/>
        <v>0</v>
      </c>
      <c r="H712" s="10"/>
      <c r="I712" s="10"/>
    </row>
    <row r="713" spans="1:9" ht="10.199999999999999" customHeight="1">
      <c r="A713" s="105" t="s">
        <v>43</v>
      </c>
      <c r="B713" s="105"/>
      <c r="C713" s="35">
        <f ca="1">PImp*B_8PC</f>
        <v>16.399999999999999</v>
      </c>
      <c r="D713" s="107">
        <f ca="1">B_8W*2</f>
        <v>6.5091863517060373</v>
      </c>
      <c r="E713" s="107">
        <f ca="1">B_8L</f>
        <v>5.3805774278215219</v>
      </c>
      <c r="F713" s="26">
        <f t="shared" ca="1" si="236"/>
        <v>6.5091863517060373</v>
      </c>
      <c r="G713" s="26">
        <f t="shared" ca="1" si="237"/>
        <v>5.3805774278215219</v>
      </c>
      <c r="H713" s="10"/>
      <c r="I713" s="10"/>
    </row>
    <row r="714" spans="1:9" ht="10.199999999999999" customHeight="1">
      <c r="A714" s="105" t="s">
        <v>44</v>
      </c>
      <c r="B714" s="105"/>
      <c r="C714" s="36">
        <f ca="1">PIsc*B_8PC</f>
        <v>17.600000000000001</v>
      </c>
      <c r="D714" s="107">
        <f ca="1">B_8W</f>
        <v>3.2545931758530187</v>
      </c>
      <c r="E714" s="107">
        <f ca="1">B_8L</f>
        <v>5.3805774278215219</v>
      </c>
      <c r="F714" s="26">
        <f t="shared" ca="1" si="236"/>
        <v>3.2545931758530187</v>
      </c>
      <c r="G714" s="26">
        <f t="shared" ca="1" si="237"/>
        <v>5.3805774278215219</v>
      </c>
      <c r="H714" s="10"/>
      <c r="I714" s="10"/>
    </row>
    <row r="715" spans="1:9" ht="10.199999999999999" customHeight="1">
      <c r="C715" s="9" t="s">
        <v>53</v>
      </c>
      <c r="D715" s="107">
        <f ca="1">+B_8WC-E715</f>
        <v>6.2098589238845152</v>
      </c>
      <c r="E715" s="107">
        <f ca="1">AVERAGE(B_8PL,B_8PWHE)/CM</f>
        <v>0.29932742782152227</v>
      </c>
      <c r="F715" s="26">
        <f t="shared" ca="1" si="236"/>
        <v>6.2098589238845152</v>
      </c>
      <c r="G715" s="26">
        <f t="shared" ca="1" si="237"/>
        <v>0.29932742782152227</v>
      </c>
      <c r="H715" s="10"/>
      <c r="I715" s="10"/>
    </row>
    <row r="716" spans="1:9" ht="10.199999999999999" customHeight="1">
      <c r="A716" s="22"/>
      <c r="B716" s="22"/>
      <c r="D716" s="107">
        <f ca="1">+B_8WC+E715</f>
        <v>6.8085137795275594</v>
      </c>
      <c r="E716" s="107">
        <f ca="1">-E715</f>
        <v>-0.29932742782152227</v>
      </c>
      <c r="F716" s="26">
        <f t="shared" ca="1" si="236"/>
        <v>6.8085137795275594</v>
      </c>
      <c r="G716" s="26">
        <f t="shared" ca="1" si="237"/>
        <v>-0.29932742782152227</v>
      </c>
      <c r="H716" s="10"/>
      <c r="I716" s="10"/>
    </row>
    <row r="717" spans="1:9" ht="10.199999999999999" customHeight="1">
      <c r="A717" s="22"/>
      <c r="B717" s="22"/>
      <c r="C717" s="9"/>
      <c r="D717" s="107">
        <f ca="1">D716</f>
        <v>6.8085137795275594</v>
      </c>
      <c r="E717" s="107">
        <f ca="1">+E715</f>
        <v>0.29932742782152227</v>
      </c>
      <c r="F717" s="26">
        <f t="shared" ca="1" si="236"/>
        <v>6.8085137795275594</v>
      </c>
      <c r="G717" s="26">
        <f t="shared" ca="1" si="237"/>
        <v>0.29932742782152227</v>
      </c>
      <c r="H717" s="10"/>
      <c r="I717" s="10"/>
    </row>
    <row r="718" spans="1:9" ht="10.199999999999999" customHeight="1">
      <c r="A718" s="22"/>
      <c r="B718" s="22"/>
      <c r="D718" s="107">
        <f ca="1">D715</f>
        <v>6.2098589238845152</v>
      </c>
      <c r="E718" s="107">
        <f ca="1">-E715</f>
        <v>-0.29932742782152227</v>
      </c>
      <c r="F718" s="26">
        <f t="shared" ca="1" si="236"/>
        <v>6.2098589238845152</v>
      </c>
      <c r="G718" s="26">
        <f t="shared" ca="1" si="237"/>
        <v>-0.29932742782152227</v>
      </c>
      <c r="H718" s="10"/>
      <c r="I718" s="10"/>
    </row>
    <row r="719" spans="1:9" ht="10.199999999999999" customHeight="1">
      <c r="A719" s="22"/>
      <c r="B719" s="22"/>
      <c r="C719" s="9" t="s">
        <v>54</v>
      </c>
      <c r="D719" s="107">
        <f ca="1">+D716</f>
        <v>6.8085137795275594</v>
      </c>
      <c r="E719" s="107">
        <f ca="1">+B_8WTC-E715</f>
        <v>2.3909612860892389</v>
      </c>
      <c r="F719" s="26">
        <f t="shared" ca="1" si="236"/>
        <v>6.8085137795275594</v>
      </c>
      <c r="G719" s="26">
        <f t="shared" ca="1" si="237"/>
        <v>2.3909612860892389</v>
      </c>
      <c r="H719" s="10"/>
      <c r="I719" s="10"/>
    </row>
    <row r="720" spans="1:9" ht="10.199999999999999" customHeight="1">
      <c r="A720" s="22"/>
      <c r="B720" s="22"/>
      <c r="D720" s="107">
        <f ca="1">+D715</f>
        <v>6.2098589238845152</v>
      </c>
      <c r="E720" s="107">
        <f ca="1">+B_8WTC+E715</f>
        <v>2.9896161417322831</v>
      </c>
      <c r="F720" s="26">
        <f t="shared" ca="1" si="236"/>
        <v>6.2098589238845152</v>
      </c>
      <c r="G720" s="26">
        <f t="shared" ca="1" si="237"/>
        <v>2.9896161417322831</v>
      </c>
      <c r="H720" s="10"/>
      <c r="I720" s="10"/>
    </row>
    <row r="721" spans="1:9" ht="10.199999999999999" customHeight="1">
      <c r="A721" s="22"/>
      <c r="B721" s="22"/>
      <c r="D721" s="107">
        <f ca="1">+D716</f>
        <v>6.8085137795275594</v>
      </c>
      <c r="E721" s="107">
        <f ca="1">E720</f>
        <v>2.9896161417322831</v>
      </c>
      <c r="F721" s="26">
        <f t="shared" ca="1" si="236"/>
        <v>6.8085137795275594</v>
      </c>
      <c r="G721" s="26">
        <f t="shared" ca="1" si="237"/>
        <v>2.9896161417322831</v>
      </c>
      <c r="H721" s="10"/>
      <c r="I721" s="10"/>
    </row>
    <row r="722" spans="1:9" ht="10.199999999999999" customHeight="1">
      <c r="A722" s="22"/>
      <c r="B722" s="22"/>
      <c r="D722" s="107">
        <f ca="1">D715</f>
        <v>6.2098589238845152</v>
      </c>
      <c r="E722" s="107">
        <f ca="1">+E719</f>
        <v>2.3909612860892389</v>
      </c>
      <c r="F722" s="26">
        <f t="shared" ca="1" si="236"/>
        <v>6.2098589238845152</v>
      </c>
      <c r="G722" s="26">
        <f t="shared" ca="1" si="237"/>
        <v>2.3909612860892389</v>
      </c>
      <c r="H722" s="10"/>
      <c r="I722" s="10"/>
    </row>
    <row r="723" spans="1:9" ht="10.199999999999999" customHeight="1">
      <c r="A723" s="22"/>
      <c r="B723" s="22"/>
      <c r="D723" s="107"/>
      <c r="E723" s="107"/>
      <c r="F723" s="26"/>
      <c r="G723" s="26"/>
      <c r="H723" s="10"/>
      <c r="I723" s="10"/>
    </row>
    <row r="724" spans="1:9" ht="10.199999999999999" customHeight="1">
      <c r="A724" s="22"/>
      <c r="B724" s="22"/>
      <c r="D724" s="107"/>
      <c r="E724" s="107"/>
      <c r="F724" s="26"/>
      <c r="G724" s="26"/>
      <c r="H724" s="10"/>
      <c r="I724" s="10"/>
    </row>
    <row r="725" spans="1:9" ht="10.199999999999999" customHeight="1">
      <c r="A725" s="22"/>
      <c r="B725" s="22"/>
      <c r="D725" s="107"/>
      <c r="E725" s="107"/>
      <c r="F725" s="26"/>
      <c r="G725" s="26"/>
      <c r="H725" s="10"/>
      <c r="I725" s="10"/>
    </row>
    <row r="726" spans="1:9" ht="10.199999999999999" customHeight="1">
      <c r="A726" s="22"/>
      <c r="B726" s="22"/>
      <c r="D726" s="107"/>
      <c r="E726" s="107"/>
      <c r="F726" s="26"/>
      <c r="G726" s="26"/>
      <c r="H726" s="10"/>
      <c r="I726" s="10"/>
    </row>
    <row r="727" spans="1:9" ht="10.199999999999999" customHeight="1">
      <c r="A727" s="22"/>
      <c r="B727" s="22"/>
      <c r="D727" s="107"/>
      <c r="E727" s="107"/>
      <c r="F727" s="26"/>
      <c r="G727" s="26"/>
      <c r="H727" s="10"/>
      <c r="I727" s="10"/>
    </row>
    <row r="728" spans="1:9" ht="10.199999999999999" customHeight="1">
      <c r="A728" s="22"/>
      <c r="B728" s="22"/>
      <c r="C728" s="9"/>
      <c r="D728" s="107"/>
      <c r="E728" s="107"/>
      <c r="F728" s="10"/>
      <c r="G728" s="10"/>
      <c r="H728" s="10"/>
      <c r="I728" s="10"/>
    </row>
    <row r="729" spans="1:9" ht="10.199999999999999" customHeight="1">
      <c r="A729" s="305" t="s">
        <v>309</v>
      </c>
      <c r="B729" s="304"/>
      <c r="C729" s="23" t="str">
        <f ca="1">PModel</f>
        <v>SS250-60P</v>
      </c>
      <c r="D729" s="300">
        <f ca="1">+PLFt</f>
        <v>5.3805774278215219</v>
      </c>
      <c r="E729" s="300">
        <f ca="1">+PWFt</f>
        <v>3.2545931758530187</v>
      </c>
      <c r="F729" s="26"/>
      <c r="G729" s="26"/>
    </row>
    <row r="730" spans="1:9" ht="10.199999999999999" customHeight="1">
      <c r="A730" s="286" t="s">
        <v>8</v>
      </c>
      <c r="B730" s="286"/>
      <c r="C730" s="283">
        <f ca="1">A_10L*5+Spacing*4</f>
        <v>27.069553805774277</v>
      </c>
      <c r="D730" s="107">
        <f>0</f>
        <v>0</v>
      </c>
      <c r="E730" s="107">
        <f>0</f>
        <v>0</v>
      </c>
      <c r="F730" s="26">
        <f t="shared" ref="F730:F741" si="238">+D730</f>
        <v>0</v>
      </c>
      <c r="G730" s="26">
        <f t="shared" ref="G730:G741" si="239">+E730</f>
        <v>0</v>
      </c>
      <c r="H730" s="10"/>
      <c r="I730" s="10"/>
    </row>
    <row r="731" spans="1:9" ht="10.199999999999999" customHeight="1">
      <c r="A731" s="286" t="s">
        <v>0</v>
      </c>
      <c r="B731" s="286"/>
      <c r="C731" s="284">
        <f ca="1">+A_10W*2+Spacing</f>
        <v>6.5508530183727043</v>
      </c>
      <c r="D731" s="107">
        <f>0</f>
        <v>0</v>
      </c>
      <c r="E731" s="107">
        <f ca="1">A_10W</f>
        <v>3.2545931758530187</v>
      </c>
      <c r="F731" s="26">
        <f t="shared" si="238"/>
        <v>0</v>
      </c>
      <c r="G731" s="26">
        <f t="shared" ca="1" si="239"/>
        <v>3.2545931758530187</v>
      </c>
      <c r="H731" s="10"/>
      <c r="I731" s="10"/>
    </row>
    <row r="732" spans="1:9" ht="10.199999999999999" customHeight="1">
      <c r="A732" s="286" t="s">
        <v>2</v>
      </c>
      <c r="B732" s="286"/>
      <c r="C732" s="284">
        <f ca="1">+A_10W*2+Spacing</f>
        <v>6.5508530183727043</v>
      </c>
      <c r="D732" s="107">
        <f ca="1">A_10L</f>
        <v>5.3805774278215219</v>
      </c>
      <c r="E732" s="107">
        <f ca="1">A_10W</f>
        <v>3.2545931758530187</v>
      </c>
      <c r="F732" s="26">
        <f t="shared" ca="1" si="238"/>
        <v>5.3805774278215219</v>
      </c>
      <c r="G732" s="26">
        <f t="shared" ca="1" si="239"/>
        <v>3.2545931758530187</v>
      </c>
      <c r="H732" s="10"/>
      <c r="I732" s="10"/>
    </row>
    <row r="733" spans="1:9" ht="10.199999999999999" customHeight="1">
      <c r="A733" s="286" t="s">
        <v>206</v>
      </c>
      <c r="B733" s="286"/>
      <c r="C733" s="284">
        <f>0</f>
        <v>0</v>
      </c>
      <c r="D733" s="107">
        <f ca="1">A_10L</f>
        <v>5.3805774278215219</v>
      </c>
      <c r="E733" s="107">
        <f ca="1">-A_10W</f>
        <v>-3.2545931758530187</v>
      </c>
      <c r="F733" s="26">
        <f t="shared" ca="1" si="238"/>
        <v>5.3805774278215219</v>
      </c>
      <c r="G733" s="26">
        <f t="shared" ca="1" si="239"/>
        <v>-3.2545931758530187</v>
      </c>
      <c r="H733" s="10"/>
      <c r="I733" s="10"/>
    </row>
    <row r="734" spans="1:9" ht="10.199999999999999" customHeight="1">
      <c r="A734" s="286" t="s">
        <v>207</v>
      </c>
      <c r="B734" s="286"/>
      <c r="C734" s="285">
        <f>0</f>
        <v>0</v>
      </c>
      <c r="D734" s="107">
        <f ca="1">A_10L*2</f>
        <v>10.761154855643044</v>
      </c>
      <c r="E734" s="107">
        <f ca="1">-A_10W</f>
        <v>-3.2545931758530187</v>
      </c>
      <c r="F734" s="26">
        <f t="shared" ca="1" si="238"/>
        <v>10.761154855643044</v>
      </c>
      <c r="G734" s="26">
        <f t="shared" ca="1" si="239"/>
        <v>-3.2545931758530187</v>
      </c>
      <c r="H734" s="10"/>
      <c r="I734" s="10"/>
    </row>
    <row r="735" spans="1:9" ht="10.199999999999999" customHeight="1">
      <c r="A735" s="105" t="s">
        <v>69</v>
      </c>
      <c r="B735" s="105"/>
      <c r="C735" s="163">
        <v>5</v>
      </c>
      <c r="D735" s="107">
        <f ca="1">A_10L*2</f>
        <v>10.761154855643044</v>
      </c>
      <c r="E735" s="107">
        <f ca="1">A_10W</f>
        <v>3.2545931758530187</v>
      </c>
      <c r="F735" s="26">
        <f t="shared" ca="1" si="238"/>
        <v>10.761154855643044</v>
      </c>
      <c r="G735" s="26">
        <f t="shared" ca="1" si="239"/>
        <v>3.2545931758530187</v>
      </c>
      <c r="H735" s="10"/>
      <c r="I735" s="10"/>
    </row>
    <row r="736" spans="1:9" ht="10.199999999999999" customHeight="1">
      <c r="A736" s="105" t="s">
        <v>70</v>
      </c>
      <c r="B736" s="105"/>
      <c r="C736" s="164">
        <v>2</v>
      </c>
      <c r="D736" s="107">
        <f ca="1">A_10L*3</f>
        <v>16.141732283464567</v>
      </c>
      <c r="E736" s="107">
        <f ca="1">A_10W</f>
        <v>3.2545931758530187</v>
      </c>
      <c r="F736" s="26">
        <f t="shared" ca="1" si="238"/>
        <v>16.141732283464567</v>
      </c>
      <c r="G736" s="26">
        <f t="shared" ca="1" si="239"/>
        <v>3.2545931758530187</v>
      </c>
      <c r="H736" s="10"/>
      <c r="I736" s="10"/>
    </row>
    <row r="737" spans="1:9" ht="10.199999999999999" customHeight="1">
      <c r="A737" s="105" t="s">
        <v>51</v>
      </c>
      <c r="B737" s="105"/>
      <c r="C737" s="98">
        <f ca="1">+A_10L*A_10W*A_10SC*A_10PC</f>
        <v>175.11590578736713</v>
      </c>
      <c r="D737" s="107">
        <f ca="1">A_10L*3</f>
        <v>16.141732283464567</v>
      </c>
      <c r="E737" s="107">
        <f ca="1">-A_10W</f>
        <v>-3.2545931758530187</v>
      </c>
      <c r="F737" s="26">
        <f t="shared" ca="1" si="238"/>
        <v>16.141732283464567</v>
      </c>
      <c r="G737" s="26">
        <f t="shared" ca="1" si="239"/>
        <v>-3.2545931758530187</v>
      </c>
      <c r="H737" s="10"/>
      <c r="I737" s="10"/>
    </row>
    <row r="738" spans="1:9" ht="10.199999999999999" customHeight="1">
      <c r="A738" s="105" t="s">
        <v>52</v>
      </c>
      <c r="B738" s="105"/>
      <c r="C738" s="281">
        <f ca="1">A_10PA*StraightLineWind</f>
        <v>1751.1590578736714</v>
      </c>
      <c r="D738" s="107">
        <f ca="1">A_10L*4</f>
        <v>21.522309711286088</v>
      </c>
      <c r="E738" s="107">
        <f ca="1">-A_10W</f>
        <v>-3.2545931758530187</v>
      </c>
      <c r="F738" s="26">
        <f t="shared" ca="1" si="238"/>
        <v>21.522309711286088</v>
      </c>
      <c r="G738" s="26">
        <f t="shared" ca="1" si="239"/>
        <v>-3.2545931758530187</v>
      </c>
      <c r="H738" s="10"/>
      <c r="I738" s="10"/>
    </row>
    <row r="739" spans="1:9" ht="10.199999999999999" customHeight="1">
      <c r="A739" s="105" t="s">
        <v>82</v>
      </c>
      <c r="B739" s="105"/>
      <c r="C739" s="31">
        <f ca="1">+A_10L*5/2</f>
        <v>13.451443569553804</v>
      </c>
      <c r="D739" s="107">
        <f ca="1">A_10L*4</f>
        <v>21.522309711286088</v>
      </c>
      <c r="E739" s="107">
        <f ca="1">A_10W</f>
        <v>3.2545931758530187</v>
      </c>
      <c r="F739" s="26">
        <f t="shared" ca="1" si="238"/>
        <v>21.522309711286088</v>
      </c>
      <c r="G739" s="26">
        <f t="shared" ca="1" si="239"/>
        <v>3.2545931758530187</v>
      </c>
      <c r="H739" s="10"/>
      <c r="I739" s="10"/>
    </row>
    <row r="740" spans="1:9" ht="10.199999999999999" customHeight="1">
      <c r="A740" s="105" t="s">
        <v>83</v>
      </c>
      <c r="B740" s="105"/>
      <c r="C740" s="31">
        <f ca="1">+A_10W*2/4</f>
        <v>1.6272965879265093</v>
      </c>
      <c r="D740" s="107">
        <f ca="1">A_10L*5</f>
        <v>26.902887139107609</v>
      </c>
      <c r="E740" s="107">
        <f ca="1">A_10W</f>
        <v>3.2545931758530187</v>
      </c>
      <c r="F740" s="26">
        <f t="shared" ca="1" si="238"/>
        <v>26.902887139107609</v>
      </c>
      <c r="G740" s="26">
        <f t="shared" ca="1" si="239"/>
        <v>3.2545931758530187</v>
      </c>
      <c r="H740" s="10"/>
      <c r="I740" s="10"/>
    </row>
    <row r="741" spans="1:9" ht="10.199999999999999" customHeight="1">
      <c r="A741" s="105" t="s">
        <v>60</v>
      </c>
      <c r="B741" s="105"/>
      <c r="C741" s="282">
        <f ca="1">+A_10WL*A_10WTC</f>
        <v>2849.6551597944263</v>
      </c>
      <c r="D741" s="107">
        <f ca="1">A_10L*5</f>
        <v>26.902887139107609</v>
      </c>
      <c r="E741" s="107">
        <f ca="1">-A_10W</f>
        <v>-3.2545931758530187</v>
      </c>
      <c r="F741" s="26">
        <f t="shared" ca="1" si="238"/>
        <v>26.902887139107609</v>
      </c>
      <c r="G741" s="26">
        <f t="shared" ca="1" si="239"/>
        <v>-3.2545931758530187</v>
      </c>
      <c r="H741" s="10"/>
      <c r="I741" s="10"/>
    </row>
    <row r="742" spans="1:9" ht="10.199999999999999" customHeight="1">
      <c r="A742" s="105" t="s">
        <v>42</v>
      </c>
      <c r="B742" s="105"/>
      <c r="C742" s="32">
        <f ca="1">PWatt*A_10SC*A_10PC</f>
        <v>2500</v>
      </c>
      <c r="D742" s="107">
        <f>0</f>
        <v>0</v>
      </c>
      <c r="E742" s="107">
        <f ca="1">-A_10W</f>
        <v>-3.2545931758530187</v>
      </c>
      <c r="F742" s="26">
        <f t="shared" ref="F742:F754" si="240">+D742</f>
        <v>0</v>
      </c>
      <c r="G742" s="26">
        <f t="shared" ref="G742:G754" ca="1" si="241">+E742</f>
        <v>-3.2545931758530187</v>
      </c>
      <c r="H742" s="10"/>
      <c r="I742" s="10"/>
    </row>
    <row r="743" spans="1:9" ht="10.199999999999999" customHeight="1">
      <c r="A743" s="105" t="s">
        <v>36</v>
      </c>
      <c r="B743" s="105"/>
      <c r="C743" s="33">
        <f ca="1">PVmp*A_10SC</f>
        <v>152.5</v>
      </c>
      <c r="D743" s="107">
        <f>0</f>
        <v>0</v>
      </c>
      <c r="E743" s="107">
        <f ca="1">A_10W</f>
        <v>3.2545931758530187</v>
      </c>
      <c r="F743" s="26">
        <f t="shared" si="240"/>
        <v>0</v>
      </c>
      <c r="G743" s="26">
        <f t="shared" ca="1" si="241"/>
        <v>3.2545931758530187</v>
      </c>
      <c r="H743" s="10"/>
      <c r="I743" s="10"/>
    </row>
    <row r="744" spans="1:9" ht="10.199999999999999" customHeight="1">
      <c r="A744" s="105" t="s">
        <v>37</v>
      </c>
      <c r="B744" s="105"/>
      <c r="C744" s="34">
        <f ca="1">PVoc*A_10SC</f>
        <v>186</v>
      </c>
      <c r="D744" s="107">
        <f ca="1">A_10L*5</f>
        <v>26.902887139107609</v>
      </c>
      <c r="E744" s="107">
        <f ca="1">A_10W</f>
        <v>3.2545931758530187</v>
      </c>
      <c r="F744" s="26">
        <f t="shared" ca="1" si="240"/>
        <v>26.902887139107609</v>
      </c>
      <c r="G744" s="26">
        <f t="shared" ca="1" si="241"/>
        <v>3.2545931758530187</v>
      </c>
      <c r="H744" s="10"/>
      <c r="I744" s="10"/>
    </row>
    <row r="745" spans="1:9" ht="10.199999999999999" customHeight="1">
      <c r="A745" s="105" t="s">
        <v>43</v>
      </c>
      <c r="B745" s="105"/>
      <c r="C745" s="35">
        <f ca="1">PImp*A_10PC</f>
        <v>16.399999999999999</v>
      </c>
      <c r="D745" s="107">
        <f>0</f>
        <v>0</v>
      </c>
      <c r="E745" s="107">
        <f>0</f>
        <v>0</v>
      </c>
      <c r="F745" s="26">
        <f t="shared" si="240"/>
        <v>0</v>
      </c>
      <c r="G745" s="26">
        <f t="shared" si="241"/>
        <v>0</v>
      </c>
      <c r="H745" s="10"/>
      <c r="I745" s="10"/>
    </row>
    <row r="746" spans="1:9" ht="10.199999999999999" customHeight="1">
      <c r="A746" s="105" t="s">
        <v>44</v>
      </c>
      <c r="B746" s="105"/>
      <c r="C746" s="36">
        <f ca="1">PIsc*A_10PC</f>
        <v>17.600000000000001</v>
      </c>
      <c r="D746" s="107">
        <f ca="1">A_10L*5</f>
        <v>26.902887139107609</v>
      </c>
      <c r="E746" s="107">
        <f>0</f>
        <v>0</v>
      </c>
      <c r="F746" s="26">
        <f t="shared" ca="1" si="240"/>
        <v>26.902887139107609</v>
      </c>
      <c r="G746" s="26">
        <f t="shared" si="241"/>
        <v>0</v>
      </c>
      <c r="H746" s="10"/>
      <c r="I746" s="10"/>
    </row>
    <row r="747" spans="1:9" ht="10.199999999999999" customHeight="1">
      <c r="C747" s="9" t="s">
        <v>53</v>
      </c>
      <c r="D747" s="107">
        <f ca="1">+A_10WC-E747</f>
        <v>13.031188484251967</v>
      </c>
      <c r="E747" s="107">
        <f ca="1">AVERAGE(A_10PL,A_10PWHE)/CM</f>
        <v>0.42025508530183731</v>
      </c>
      <c r="F747" s="26">
        <f t="shared" ca="1" si="240"/>
        <v>13.031188484251967</v>
      </c>
      <c r="G747" s="26">
        <f t="shared" ca="1" si="241"/>
        <v>0.42025508530183731</v>
      </c>
      <c r="H747" s="10"/>
      <c r="I747" s="10"/>
    </row>
    <row r="748" spans="1:9" ht="10.199999999999999" customHeight="1">
      <c r="A748" s="22"/>
      <c r="B748" s="22"/>
      <c r="D748" s="107">
        <f ca="1">+A_10WC+E747</f>
        <v>13.871698654855642</v>
      </c>
      <c r="E748" s="107">
        <f ca="1">-E747</f>
        <v>-0.42025508530183731</v>
      </c>
      <c r="F748" s="26">
        <f t="shared" ca="1" si="240"/>
        <v>13.871698654855642</v>
      </c>
      <c r="G748" s="26">
        <f t="shared" ca="1" si="241"/>
        <v>-0.42025508530183731</v>
      </c>
      <c r="H748" s="10"/>
      <c r="I748" s="10"/>
    </row>
    <row r="749" spans="1:9" ht="10.199999999999999" customHeight="1">
      <c r="A749" s="22"/>
      <c r="B749" s="22"/>
      <c r="C749" s="9"/>
      <c r="D749" s="107">
        <f ca="1">D748</f>
        <v>13.871698654855642</v>
      </c>
      <c r="E749" s="107">
        <f ca="1">+E747</f>
        <v>0.42025508530183731</v>
      </c>
      <c r="F749" s="26">
        <f t="shared" ca="1" si="240"/>
        <v>13.871698654855642</v>
      </c>
      <c r="G749" s="26">
        <f t="shared" ca="1" si="241"/>
        <v>0.42025508530183731</v>
      </c>
      <c r="H749" s="10"/>
      <c r="I749" s="10"/>
    </row>
    <row r="750" spans="1:9" ht="10.199999999999999" customHeight="1">
      <c r="A750" s="22"/>
      <c r="B750" s="22"/>
      <c r="D750" s="107">
        <f ca="1">D747</f>
        <v>13.031188484251967</v>
      </c>
      <c r="E750" s="107">
        <f ca="1">-E747</f>
        <v>-0.42025508530183731</v>
      </c>
      <c r="F750" s="26">
        <f t="shared" ca="1" si="240"/>
        <v>13.031188484251967</v>
      </c>
      <c r="G750" s="26">
        <f t="shared" ca="1" si="241"/>
        <v>-0.42025508530183731</v>
      </c>
      <c r="H750" s="10"/>
      <c r="I750" s="10"/>
    </row>
    <row r="751" spans="1:9" ht="10.199999999999999" customHeight="1">
      <c r="A751" s="22"/>
      <c r="B751" s="22"/>
      <c r="C751" s="9" t="s">
        <v>54</v>
      </c>
      <c r="D751" s="107">
        <f ca="1">+D748</f>
        <v>13.871698654855642</v>
      </c>
      <c r="E751" s="107">
        <f ca="1">+A_10WTC-E747</f>
        <v>1.2070415026246719</v>
      </c>
      <c r="F751" s="26">
        <f t="shared" ca="1" si="240"/>
        <v>13.871698654855642</v>
      </c>
      <c r="G751" s="26">
        <f t="shared" ca="1" si="241"/>
        <v>1.2070415026246719</v>
      </c>
      <c r="H751" s="10"/>
      <c r="I751" s="10"/>
    </row>
    <row r="752" spans="1:9" ht="10.199999999999999" customHeight="1">
      <c r="A752" s="22"/>
      <c r="B752" s="22"/>
      <c r="D752" s="107">
        <f ca="1">+D747</f>
        <v>13.031188484251967</v>
      </c>
      <c r="E752" s="107">
        <f ca="1">+A_10WTC+E747</f>
        <v>2.0475516732283467</v>
      </c>
      <c r="F752" s="26">
        <f t="shared" ca="1" si="240"/>
        <v>13.031188484251967</v>
      </c>
      <c r="G752" s="26">
        <f t="shared" ca="1" si="241"/>
        <v>2.0475516732283467</v>
      </c>
      <c r="H752" s="10"/>
      <c r="I752" s="10"/>
    </row>
    <row r="753" spans="1:9" ht="10.199999999999999" customHeight="1">
      <c r="A753" s="22"/>
      <c r="B753" s="22"/>
      <c r="D753" s="107">
        <f ca="1">+D748</f>
        <v>13.871698654855642</v>
      </c>
      <c r="E753" s="107">
        <f ca="1">E752</f>
        <v>2.0475516732283467</v>
      </c>
      <c r="F753" s="26">
        <f t="shared" ca="1" si="240"/>
        <v>13.871698654855642</v>
      </c>
      <c r="G753" s="26">
        <f t="shared" ca="1" si="241"/>
        <v>2.0475516732283467</v>
      </c>
      <c r="H753" s="10"/>
      <c r="I753" s="10"/>
    </row>
    <row r="754" spans="1:9" ht="10.199999999999999" customHeight="1">
      <c r="A754" s="22"/>
      <c r="B754" s="22"/>
      <c r="D754" s="107">
        <f ca="1">D747</f>
        <v>13.031188484251967</v>
      </c>
      <c r="E754" s="107">
        <f ca="1">+E751</f>
        <v>1.2070415026246719</v>
      </c>
      <c r="F754" s="26">
        <f t="shared" ca="1" si="240"/>
        <v>13.031188484251967</v>
      </c>
      <c r="G754" s="26">
        <f t="shared" ca="1" si="241"/>
        <v>1.2070415026246719</v>
      </c>
      <c r="H754" s="10"/>
      <c r="I754" s="10"/>
    </row>
    <row r="755" spans="1:9" ht="10.199999999999999" customHeight="1">
      <c r="A755" s="22"/>
      <c r="B755" s="22"/>
      <c r="C755" s="9"/>
      <c r="D755" s="107"/>
      <c r="E755" s="107"/>
      <c r="F755" s="10"/>
      <c r="G755" s="10"/>
      <c r="H755" s="10"/>
      <c r="I755" s="10"/>
    </row>
    <row r="756" spans="1:9" ht="10.199999999999999" customHeight="1">
      <c r="A756" s="305" t="s">
        <v>310</v>
      </c>
      <c r="B756" s="304"/>
      <c r="C756" s="23" t="str">
        <f ca="1">PModel</f>
        <v>SS250-60P</v>
      </c>
      <c r="D756" s="300">
        <f ca="1">+PLFt</f>
        <v>5.3805774278215219</v>
      </c>
      <c r="E756" s="300">
        <f ca="1">+PWFt</f>
        <v>3.2545931758530187</v>
      </c>
      <c r="F756" s="26"/>
      <c r="G756" s="26"/>
    </row>
    <row r="757" spans="1:9" ht="10.199999999999999" customHeight="1">
      <c r="A757" s="286" t="s">
        <v>8</v>
      </c>
      <c r="B757" s="286"/>
      <c r="C757" s="283">
        <f ca="1">B_10W*5+Spacing*4</f>
        <v>16.439632545931762</v>
      </c>
      <c r="D757" s="107">
        <f>0</f>
        <v>0</v>
      </c>
      <c r="E757" s="107">
        <f>0</f>
        <v>0</v>
      </c>
      <c r="F757" s="26">
        <f t="shared" ref="F757:F768" si="242">+D757</f>
        <v>0</v>
      </c>
      <c r="G757" s="26">
        <f t="shared" ref="G757:G768" si="243">+E757</f>
        <v>0</v>
      </c>
      <c r="H757" s="10"/>
      <c r="I757" s="10"/>
    </row>
    <row r="758" spans="1:9" ht="10.199999999999999" customHeight="1">
      <c r="A758" s="286" t="s">
        <v>0</v>
      </c>
      <c r="B758" s="286"/>
      <c r="C758" s="284">
        <f ca="1">+B_10L*2+Spacing</f>
        <v>10.80282152230971</v>
      </c>
      <c r="D758" s="107">
        <f>0</f>
        <v>0</v>
      </c>
      <c r="E758" s="107">
        <f ca="1">B_10L</f>
        <v>5.3805774278215219</v>
      </c>
      <c r="F758" s="26">
        <f t="shared" si="242"/>
        <v>0</v>
      </c>
      <c r="G758" s="26">
        <f t="shared" ca="1" si="243"/>
        <v>5.3805774278215219</v>
      </c>
      <c r="H758" s="10"/>
      <c r="I758" s="10"/>
    </row>
    <row r="759" spans="1:9" ht="10.199999999999999" customHeight="1">
      <c r="A759" s="286" t="s">
        <v>2</v>
      </c>
      <c r="B759" s="286"/>
      <c r="C759" s="284">
        <f ca="1">+B_10L*2+Spacing</f>
        <v>10.80282152230971</v>
      </c>
      <c r="D759" s="107">
        <f ca="1">B_10W</f>
        <v>3.2545931758530187</v>
      </c>
      <c r="E759" s="107">
        <f ca="1">B_10L</f>
        <v>5.3805774278215219</v>
      </c>
      <c r="F759" s="26">
        <f t="shared" ca="1" si="242"/>
        <v>3.2545931758530187</v>
      </c>
      <c r="G759" s="26">
        <f t="shared" ca="1" si="243"/>
        <v>5.3805774278215219</v>
      </c>
      <c r="H759" s="10"/>
      <c r="I759" s="10"/>
    </row>
    <row r="760" spans="1:9" ht="10.199999999999999" customHeight="1">
      <c r="A760" s="286" t="s">
        <v>206</v>
      </c>
      <c r="B760" s="286"/>
      <c r="C760" s="284">
        <f>0</f>
        <v>0</v>
      </c>
      <c r="D760" s="107">
        <f ca="1">B_10W</f>
        <v>3.2545931758530187</v>
      </c>
      <c r="E760" s="107">
        <f ca="1">-B_10L</f>
        <v>-5.3805774278215219</v>
      </c>
      <c r="F760" s="26">
        <f t="shared" ca="1" si="242"/>
        <v>3.2545931758530187</v>
      </c>
      <c r="G760" s="26">
        <f t="shared" ca="1" si="243"/>
        <v>-5.3805774278215219</v>
      </c>
      <c r="H760" s="10"/>
      <c r="I760" s="10"/>
    </row>
    <row r="761" spans="1:9" ht="10.199999999999999" customHeight="1">
      <c r="A761" s="286" t="s">
        <v>207</v>
      </c>
      <c r="B761" s="286"/>
      <c r="C761" s="285">
        <f>0</f>
        <v>0</v>
      </c>
      <c r="D761" s="107">
        <f ca="1">B_10W*2</f>
        <v>6.5091863517060373</v>
      </c>
      <c r="E761" s="107">
        <f ca="1">-B_10L</f>
        <v>-5.3805774278215219</v>
      </c>
      <c r="F761" s="26">
        <f t="shared" ca="1" si="242"/>
        <v>6.5091863517060373</v>
      </c>
      <c r="G761" s="26">
        <f t="shared" ca="1" si="243"/>
        <v>-5.3805774278215219</v>
      </c>
      <c r="H761" s="10"/>
      <c r="I761" s="10"/>
    </row>
    <row r="762" spans="1:9" ht="10.199999999999999" customHeight="1">
      <c r="A762" s="105" t="s">
        <v>69</v>
      </c>
      <c r="B762" s="105"/>
      <c r="C762" s="163">
        <v>5</v>
      </c>
      <c r="D762" s="107">
        <f ca="1">B_10W*2</f>
        <v>6.5091863517060373</v>
      </c>
      <c r="E762" s="107">
        <f ca="1">B_10L</f>
        <v>5.3805774278215219</v>
      </c>
      <c r="F762" s="26">
        <f t="shared" ca="1" si="242"/>
        <v>6.5091863517060373</v>
      </c>
      <c r="G762" s="26">
        <f t="shared" ca="1" si="243"/>
        <v>5.3805774278215219</v>
      </c>
      <c r="H762" s="10"/>
      <c r="I762" s="10"/>
    </row>
    <row r="763" spans="1:9" ht="10.199999999999999" customHeight="1">
      <c r="A763" s="105" t="s">
        <v>70</v>
      </c>
      <c r="B763" s="105"/>
      <c r="C763" s="164">
        <v>2</v>
      </c>
      <c r="D763" s="107">
        <f ca="1">B_10W*3</f>
        <v>9.7637795275590555</v>
      </c>
      <c r="E763" s="107">
        <f ca="1">B_10L</f>
        <v>5.3805774278215219</v>
      </c>
      <c r="F763" s="26">
        <f t="shared" ca="1" si="242"/>
        <v>9.7637795275590555</v>
      </c>
      <c r="G763" s="26">
        <f t="shared" ca="1" si="243"/>
        <v>5.3805774278215219</v>
      </c>
      <c r="H763" s="10"/>
      <c r="I763" s="10"/>
    </row>
    <row r="764" spans="1:9" ht="10.199999999999999" customHeight="1">
      <c r="A764" s="105" t="s">
        <v>51</v>
      </c>
      <c r="B764" s="105"/>
      <c r="C764" s="98">
        <f ca="1">+B_10L*B_10W*B_10SC*B_10PC</f>
        <v>175.11590578736713</v>
      </c>
      <c r="D764" s="107">
        <f ca="1">B_10W*3</f>
        <v>9.7637795275590555</v>
      </c>
      <c r="E764" s="107">
        <f ca="1">-B_10L</f>
        <v>-5.3805774278215219</v>
      </c>
      <c r="F764" s="26">
        <f t="shared" ca="1" si="242"/>
        <v>9.7637795275590555</v>
      </c>
      <c r="G764" s="26">
        <f t="shared" ca="1" si="243"/>
        <v>-5.3805774278215219</v>
      </c>
      <c r="H764" s="10"/>
      <c r="I764" s="10"/>
    </row>
    <row r="765" spans="1:9" ht="10.199999999999999" customHeight="1">
      <c r="A765" s="105" t="s">
        <v>52</v>
      </c>
      <c r="B765" s="105"/>
      <c r="C765" s="281">
        <f ca="1">B_10PA*StraightLineWind</f>
        <v>1751.1590578736714</v>
      </c>
      <c r="D765" s="107">
        <f ca="1">B_10W*4</f>
        <v>13.018372703412075</v>
      </c>
      <c r="E765" s="107">
        <f ca="1">-B_10L</f>
        <v>-5.3805774278215219</v>
      </c>
      <c r="F765" s="26">
        <f t="shared" ca="1" si="242"/>
        <v>13.018372703412075</v>
      </c>
      <c r="G765" s="26">
        <f t="shared" ca="1" si="243"/>
        <v>-5.3805774278215219</v>
      </c>
      <c r="H765" s="10"/>
      <c r="I765" s="10"/>
    </row>
    <row r="766" spans="1:9" ht="10.199999999999999" customHeight="1">
      <c r="A766" s="105" t="s">
        <v>57</v>
      </c>
      <c r="B766" s="105"/>
      <c r="C766" s="31">
        <f ca="1">+B_10W*5/2</f>
        <v>8.1364829396325469</v>
      </c>
      <c r="D766" s="107">
        <f ca="1">B_10W*4</f>
        <v>13.018372703412075</v>
      </c>
      <c r="E766" s="107">
        <f ca="1">B_10L</f>
        <v>5.3805774278215219</v>
      </c>
      <c r="F766" s="26">
        <f t="shared" ca="1" si="242"/>
        <v>13.018372703412075</v>
      </c>
      <c r="G766" s="26">
        <f t="shared" ca="1" si="243"/>
        <v>5.3805774278215219</v>
      </c>
      <c r="H766" s="10"/>
      <c r="I766" s="10"/>
    </row>
    <row r="767" spans="1:9" ht="10.199999999999999" customHeight="1">
      <c r="A767" s="105" t="s">
        <v>58</v>
      </c>
      <c r="B767" s="105"/>
      <c r="C767" s="31">
        <f ca="1">+B_10L*2/4</f>
        <v>2.690288713910761</v>
      </c>
      <c r="D767" s="107">
        <f ca="1">B_10W*5</f>
        <v>16.272965879265094</v>
      </c>
      <c r="E767" s="107">
        <f ca="1">B_10L</f>
        <v>5.3805774278215219</v>
      </c>
      <c r="F767" s="26">
        <f t="shared" ca="1" si="242"/>
        <v>16.272965879265094</v>
      </c>
      <c r="G767" s="26">
        <f t="shared" ca="1" si="243"/>
        <v>5.3805774278215219</v>
      </c>
      <c r="H767" s="10"/>
      <c r="I767" s="10"/>
    </row>
    <row r="768" spans="1:9" ht="10.199999999999999" customHeight="1">
      <c r="A768" s="105" t="s">
        <v>60</v>
      </c>
      <c r="B768" s="105"/>
      <c r="C768" s="282">
        <f ca="1">+B_10WL*B_10WTC</f>
        <v>4711.1234496601392</v>
      </c>
      <c r="D768" s="107">
        <f ca="1">B_10W*5</f>
        <v>16.272965879265094</v>
      </c>
      <c r="E768" s="107">
        <f ca="1">-B_10L</f>
        <v>-5.3805774278215219</v>
      </c>
      <c r="F768" s="26">
        <f t="shared" ca="1" si="242"/>
        <v>16.272965879265094</v>
      </c>
      <c r="G768" s="26">
        <f t="shared" ca="1" si="243"/>
        <v>-5.3805774278215219</v>
      </c>
      <c r="H768" s="10"/>
      <c r="I768" s="10"/>
    </row>
    <row r="769" spans="1:9" ht="10.199999999999999" customHeight="1">
      <c r="A769" s="105" t="s">
        <v>42</v>
      </c>
      <c r="B769" s="105"/>
      <c r="C769" s="32">
        <f ca="1">PWatt*B_10SC*B_10PC</f>
        <v>2500</v>
      </c>
      <c r="D769" s="107">
        <f>0</f>
        <v>0</v>
      </c>
      <c r="E769" s="107">
        <f ca="1">-B_10L</f>
        <v>-5.3805774278215219</v>
      </c>
      <c r="F769" s="26">
        <f t="shared" ref="F769:G776" si="244">+D769</f>
        <v>0</v>
      </c>
      <c r="G769" s="26">
        <f t="shared" ca="1" si="244"/>
        <v>-5.3805774278215219</v>
      </c>
      <c r="H769" s="10"/>
      <c r="I769" s="10"/>
    </row>
    <row r="770" spans="1:9" ht="10.199999999999999" customHeight="1">
      <c r="A770" s="105" t="s">
        <v>36</v>
      </c>
      <c r="B770" s="105"/>
      <c r="C770" s="33">
        <f ca="1">PVmp*B_10SC</f>
        <v>152.5</v>
      </c>
      <c r="D770" s="107">
        <f>0</f>
        <v>0</v>
      </c>
      <c r="E770" s="107">
        <f ca="1">+B_10L</f>
        <v>5.3805774278215219</v>
      </c>
      <c r="F770" s="26">
        <f t="shared" si="244"/>
        <v>0</v>
      </c>
      <c r="G770" s="26">
        <f t="shared" ca="1" si="244"/>
        <v>5.3805774278215219</v>
      </c>
      <c r="H770" s="10"/>
      <c r="I770" s="10"/>
    </row>
    <row r="771" spans="1:9" ht="10.199999999999999" customHeight="1">
      <c r="A771" s="105" t="s">
        <v>37</v>
      </c>
      <c r="B771" s="105"/>
      <c r="C771" s="34">
        <f ca="1">PVoc*B_10SC</f>
        <v>186</v>
      </c>
      <c r="D771" s="107">
        <f ca="1">B_10W*5</f>
        <v>16.272965879265094</v>
      </c>
      <c r="E771" s="107">
        <f ca="1">B_10L</f>
        <v>5.3805774278215219</v>
      </c>
      <c r="F771" s="26">
        <f t="shared" ca="1" si="244"/>
        <v>16.272965879265094</v>
      </c>
      <c r="G771" s="26">
        <f t="shared" ca="1" si="244"/>
        <v>5.3805774278215219</v>
      </c>
      <c r="H771" s="10"/>
      <c r="I771" s="10"/>
    </row>
    <row r="772" spans="1:9" ht="10.199999999999999" customHeight="1">
      <c r="A772" s="105" t="s">
        <v>43</v>
      </c>
      <c r="B772" s="105"/>
      <c r="C772" s="35">
        <f ca="1">PImp*B_10PC</f>
        <v>16.399999999999999</v>
      </c>
      <c r="D772" s="107">
        <f>0</f>
        <v>0</v>
      </c>
      <c r="E772" s="107">
        <f>0</f>
        <v>0</v>
      </c>
      <c r="F772" s="26">
        <f t="shared" si="244"/>
        <v>0</v>
      </c>
      <c r="G772" s="26">
        <f t="shared" si="244"/>
        <v>0</v>
      </c>
      <c r="H772" s="10"/>
      <c r="I772" s="10"/>
    </row>
    <row r="773" spans="1:9" ht="10.199999999999999" customHeight="1">
      <c r="A773" s="105" t="s">
        <v>44</v>
      </c>
      <c r="B773" s="105"/>
      <c r="C773" s="36">
        <f ca="1">PIsc*B_10PC</f>
        <v>17.600000000000001</v>
      </c>
      <c r="D773" s="107">
        <f ca="1">B_10W*5</f>
        <v>16.272965879265094</v>
      </c>
      <c r="E773" s="107">
        <f>0</f>
        <v>0</v>
      </c>
      <c r="F773" s="26">
        <f t="shared" ca="1" si="244"/>
        <v>16.272965879265094</v>
      </c>
      <c r="G773" s="26">
        <f t="shared" si="244"/>
        <v>0</v>
      </c>
      <c r="H773" s="10"/>
      <c r="I773" s="10"/>
    </row>
    <row r="774" spans="1:9" ht="10.199999999999999" customHeight="1">
      <c r="C774" s="9" t="s">
        <v>53</v>
      </c>
      <c r="D774" s="107">
        <f ca="1">+B_10WC-E774</f>
        <v>7.7959522637795287</v>
      </c>
      <c r="E774" s="107">
        <f ca="1">AVERAGE(B_10PL,B_10PWHE)/CM</f>
        <v>0.34053067585301838</v>
      </c>
      <c r="F774" s="26">
        <f t="shared" ca="1" si="244"/>
        <v>7.7959522637795287</v>
      </c>
      <c r="G774" s="26">
        <f t="shared" ca="1" si="244"/>
        <v>0.34053067585301838</v>
      </c>
      <c r="H774" s="10"/>
      <c r="I774" s="10"/>
    </row>
    <row r="775" spans="1:9" ht="10.199999999999999" customHeight="1">
      <c r="A775" s="22"/>
      <c r="B775" s="22"/>
      <c r="D775" s="107">
        <f ca="1">+B_10WC+E774</f>
        <v>8.477013615485566</v>
      </c>
      <c r="E775" s="107">
        <f ca="1">-E774</f>
        <v>-0.34053067585301838</v>
      </c>
      <c r="F775" s="26">
        <f t="shared" ca="1" si="244"/>
        <v>8.477013615485566</v>
      </c>
      <c r="G775" s="26">
        <f t="shared" ca="1" si="244"/>
        <v>-0.34053067585301838</v>
      </c>
      <c r="H775" s="10"/>
      <c r="I775" s="10"/>
    </row>
    <row r="776" spans="1:9" ht="10.199999999999999" customHeight="1">
      <c r="A776" s="22"/>
      <c r="B776" s="22"/>
      <c r="C776" s="9"/>
      <c r="D776" s="107">
        <f ca="1">D775</f>
        <v>8.477013615485566</v>
      </c>
      <c r="E776" s="107">
        <f ca="1">+E774</f>
        <v>0.34053067585301838</v>
      </c>
      <c r="F776" s="26">
        <f t="shared" ca="1" si="244"/>
        <v>8.477013615485566</v>
      </c>
      <c r="G776" s="26">
        <f t="shared" ca="1" si="244"/>
        <v>0.34053067585301838</v>
      </c>
      <c r="H776" s="10"/>
      <c r="I776" s="10"/>
    </row>
    <row r="777" spans="1:9" ht="10.199999999999999" customHeight="1">
      <c r="A777" s="22"/>
      <c r="B777" s="22"/>
      <c r="D777" s="107">
        <f ca="1">D774</f>
        <v>7.7959522637795287</v>
      </c>
      <c r="E777" s="107">
        <f ca="1">-E774</f>
        <v>-0.34053067585301838</v>
      </c>
      <c r="F777" s="26">
        <f ca="1">+D777</f>
        <v>7.7959522637795287</v>
      </c>
      <c r="G777" s="26">
        <f t="shared" ref="G777:G781" ca="1" si="245">+E777</f>
        <v>-0.34053067585301838</v>
      </c>
      <c r="H777" s="10"/>
      <c r="I777" s="10"/>
    </row>
    <row r="778" spans="1:9" ht="10.199999999999999" customHeight="1">
      <c r="A778" s="22"/>
      <c r="B778" s="22"/>
      <c r="C778" s="9" t="s">
        <v>54</v>
      </c>
      <c r="D778" s="107">
        <f ca="1">+D775</f>
        <v>8.477013615485566</v>
      </c>
      <c r="E778" s="107">
        <f ca="1">+B_10WTC-E774</f>
        <v>2.3497580380577427</v>
      </c>
      <c r="F778" s="26">
        <f t="shared" ref="F778:F781" ca="1" si="246">+D778</f>
        <v>8.477013615485566</v>
      </c>
      <c r="G778" s="26">
        <f t="shared" ca="1" si="245"/>
        <v>2.3497580380577427</v>
      </c>
      <c r="H778" s="10"/>
      <c r="I778" s="10"/>
    </row>
    <row r="779" spans="1:9" ht="10.199999999999999" customHeight="1">
      <c r="A779" s="22"/>
      <c r="B779" s="22"/>
      <c r="D779" s="107">
        <f ca="1">+D774</f>
        <v>7.7959522637795287</v>
      </c>
      <c r="E779" s="107">
        <f ca="1">+B_10WTC+E774</f>
        <v>3.0308193897637792</v>
      </c>
      <c r="F779" s="26">
        <f t="shared" ca="1" si="246"/>
        <v>7.7959522637795287</v>
      </c>
      <c r="G779" s="26">
        <f t="shared" ca="1" si="245"/>
        <v>3.0308193897637792</v>
      </c>
      <c r="H779" s="10"/>
      <c r="I779" s="10"/>
    </row>
    <row r="780" spans="1:9" ht="10.199999999999999" customHeight="1">
      <c r="A780" s="22"/>
      <c r="B780" s="22"/>
      <c r="D780" s="107">
        <f ca="1">+D775</f>
        <v>8.477013615485566</v>
      </c>
      <c r="E780" s="107">
        <f ca="1">E779</f>
        <v>3.0308193897637792</v>
      </c>
      <c r="F780" s="26">
        <f t="shared" ca="1" si="246"/>
        <v>8.477013615485566</v>
      </c>
      <c r="G780" s="26">
        <f t="shared" ca="1" si="245"/>
        <v>3.0308193897637792</v>
      </c>
      <c r="H780" s="10"/>
      <c r="I780" s="10"/>
    </row>
    <row r="781" spans="1:9" ht="10.199999999999999" customHeight="1">
      <c r="A781" s="22"/>
      <c r="B781" s="22"/>
      <c r="D781" s="107">
        <f ca="1">D774</f>
        <v>7.7959522637795287</v>
      </c>
      <c r="E781" s="107">
        <f ca="1">+E778</f>
        <v>2.3497580380577427</v>
      </c>
      <c r="F781" s="26">
        <f t="shared" ca="1" si="246"/>
        <v>7.7959522637795287</v>
      </c>
      <c r="G781" s="26">
        <f t="shared" ca="1" si="245"/>
        <v>2.3497580380577427</v>
      </c>
      <c r="H781" s="10"/>
      <c r="I781" s="10"/>
    </row>
    <row r="782" spans="1:9" ht="10.199999999999999" customHeight="1">
      <c r="A782" s="22"/>
      <c r="B782" s="22"/>
      <c r="D782" s="107"/>
      <c r="E782" s="107"/>
      <c r="F782" s="26"/>
      <c r="G782" s="26"/>
      <c r="H782" s="10"/>
      <c r="I782" s="10"/>
    </row>
    <row r="783" spans="1:9" ht="10.199999999999999" customHeight="1">
      <c r="A783" s="22"/>
      <c r="B783" s="22"/>
      <c r="D783" s="107"/>
      <c r="E783" s="107"/>
      <c r="F783" s="26"/>
      <c r="G783" s="26"/>
      <c r="H783" s="10"/>
      <c r="I783" s="10"/>
    </row>
    <row r="784" spans="1:9" ht="10.199999999999999" customHeight="1">
      <c r="A784" s="22"/>
      <c r="B784" s="22"/>
      <c r="D784" s="107"/>
      <c r="E784" s="107"/>
      <c r="F784" s="26"/>
      <c r="G784" s="26"/>
      <c r="H784" s="10"/>
      <c r="I784" s="10"/>
    </row>
    <row r="785" spans="1:9" ht="10.199999999999999" customHeight="1">
      <c r="A785" s="22"/>
      <c r="B785" s="22"/>
      <c r="D785" s="107"/>
      <c r="E785" s="107"/>
      <c r="F785" s="26"/>
      <c r="G785" s="26"/>
      <c r="H785" s="10"/>
      <c r="I785" s="10"/>
    </row>
    <row r="786" spans="1:9" ht="10.199999999999999" customHeight="1">
      <c r="A786" s="22"/>
      <c r="B786" s="22"/>
      <c r="C786" s="9"/>
      <c r="D786" s="107"/>
      <c r="E786" s="107"/>
      <c r="F786" s="10"/>
      <c r="G786" s="10"/>
      <c r="H786" s="10"/>
      <c r="I786" s="10"/>
    </row>
    <row r="787" spans="1:9" ht="10.199999999999999" customHeight="1">
      <c r="A787" s="305" t="s">
        <v>235</v>
      </c>
      <c r="B787" s="304"/>
      <c r="C787" s="23" t="str">
        <f ca="1">PModel</f>
        <v>SS250-60P</v>
      </c>
      <c r="D787" s="300">
        <f ca="1">+PLFt</f>
        <v>5.3805774278215219</v>
      </c>
      <c r="E787" s="300">
        <f ca="1">+PWFt</f>
        <v>3.2545931758530187</v>
      </c>
      <c r="F787" s="26"/>
      <c r="G787" s="26"/>
    </row>
    <row r="788" spans="1:9" ht="10.199999999999999" customHeight="1">
      <c r="A788" s="286" t="s">
        <v>8</v>
      </c>
      <c r="B788" s="286"/>
      <c r="C788" s="283">
        <f ca="1">A_12L*6+Spacing*5</f>
        <v>32.491797900262469</v>
      </c>
      <c r="D788" s="107">
        <f>0</f>
        <v>0</v>
      </c>
      <c r="E788" s="107">
        <f>0</f>
        <v>0</v>
      </c>
      <c r="F788" s="26">
        <f t="shared" ref="F788" si="247">+D788</f>
        <v>0</v>
      </c>
      <c r="G788" s="26">
        <f t="shared" ref="G788" si="248">+E788</f>
        <v>0</v>
      </c>
      <c r="H788" s="10"/>
      <c r="I788" s="10"/>
    </row>
    <row r="789" spans="1:9" ht="10.199999999999999" customHeight="1">
      <c r="A789" s="286" t="s">
        <v>0</v>
      </c>
      <c r="B789" s="286"/>
      <c r="C789" s="284">
        <f ca="1">+A_12W*2+Spacing</f>
        <v>6.5508530183727043</v>
      </c>
      <c r="D789" s="107">
        <f>0</f>
        <v>0</v>
      </c>
      <c r="E789" s="107">
        <f ca="1">A_12W</f>
        <v>3.2545931758530187</v>
      </c>
      <c r="F789" s="26">
        <f t="shared" ref="F789:F814" si="249">+D789</f>
        <v>0</v>
      </c>
      <c r="G789" s="26">
        <f t="shared" ref="G789:G814" ca="1" si="250">+E789</f>
        <v>3.2545931758530187</v>
      </c>
      <c r="H789" s="10"/>
      <c r="I789" s="10"/>
    </row>
    <row r="790" spans="1:9" ht="10.199999999999999" customHeight="1">
      <c r="A790" s="286" t="s">
        <v>2</v>
      </c>
      <c r="B790" s="286"/>
      <c r="C790" s="284">
        <f ca="1">+A_12W*2+Spacing</f>
        <v>6.5508530183727043</v>
      </c>
      <c r="D790" s="107">
        <f ca="1">A_12L</f>
        <v>5.3805774278215219</v>
      </c>
      <c r="E790" s="107">
        <f ca="1">A_12W</f>
        <v>3.2545931758530187</v>
      </c>
      <c r="F790" s="26">
        <f t="shared" ca="1" si="249"/>
        <v>5.3805774278215219</v>
      </c>
      <c r="G790" s="26">
        <f t="shared" ca="1" si="250"/>
        <v>3.2545931758530187</v>
      </c>
      <c r="H790" s="10"/>
      <c r="I790" s="10"/>
    </row>
    <row r="791" spans="1:9" ht="10.199999999999999" customHeight="1">
      <c r="A791" s="286" t="s">
        <v>206</v>
      </c>
      <c r="B791" s="286"/>
      <c r="C791" s="284">
        <f>0</f>
        <v>0</v>
      </c>
      <c r="D791" s="107">
        <f ca="1">A_12L</f>
        <v>5.3805774278215219</v>
      </c>
      <c r="E791" s="107">
        <f ca="1">-A_12W</f>
        <v>-3.2545931758530187</v>
      </c>
      <c r="F791" s="26">
        <f t="shared" ca="1" si="249"/>
        <v>5.3805774278215219</v>
      </c>
      <c r="G791" s="26">
        <f t="shared" ca="1" si="250"/>
        <v>-3.2545931758530187</v>
      </c>
      <c r="H791" s="10"/>
      <c r="I791" s="10"/>
    </row>
    <row r="792" spans="1:9" ht="10.199999999999999" customHeight="1">
      <c r="A792" s="286" t="s">
        <v>207</v>
      </c>
      <c r="B792" s="286"/>
      <c r="C792" s="285">
        <f>0</f>
        <v>0</v>
      </c>
      <c r="D792" s="107">
        <f ca="1">A_12L*2</f>
        <v>10.761154855643044</v>
      </c>
      <c r="E792" s="107">
        <f ca="1">-A_12W</f>
        <v>-3.2545931758530187</v>
      </c>
      <c r="F792" s="26">
        <f t="shared" ca="1" si="249"/>
        <v>10.761154855643044</v>
      </c>
      <c r="G792" s="26">
        <f t="shared" ca="1" si="250"/>
        <v>-3.2545931758530187</v>
      </c>
      <c r="H792" s="10"/>
      <c r="I792" s="10"/>
    </row>
    <row r="793" spans="1:9" ht="10.199999999999999" customHeight="1">
      <c r="A793" s="105" t="s">
        <v>69</v>
      </c>
      <c r="B793" s="105"/>
      <c r="C793" s="163">
        <v>6</v>
      </c>
      <c r="D793" s="107">
        <f ca="1">A_12L*2</f>
        <v>10.761154855643044</v>
      </c>
      <c r="E793" s="107">
        <f ca="1">A_12W</f>
        <v>3.2545931758530187</v>
      </c>
      <c r="F793" s="26">
        <f t="shared" ca="1" si="249"/>
        <v>10.761154855643044</v>
      </c>
      <c r="G793" s="26">
        <f t="shared" ca="1" si="250"/>
        <v>3.2545931758530187</v>
      </c>
      <c r="H793" s="10"/>
      <c r="I793" s="10"/>
    </row>
    <row r="794" spans="1:9" ht="10.199999999999999" customHeight="1">
      <c r="A794" s="105" t="s">
        <v>70</v>
      </c>
      <c r="B794" s="105"/>
      <c r="C794" s="164">
        <v>2</v>
      </c>
      <c r="D794" s="107">
        <f ca="1">A_12L*3</f>
        <v>16.141732283464567</v>
      </c>
      <c r="E794" s="107">
        <f ca="1">A_12W</f>
        <v>3.2545931758530187</v>
      </c>
      <c r="F794" s="26">
        <f t="shared" ca="1" si="249"/>
        <v>16.141732283464567</v>
      </c>
      <c r="G794" s="26">
        <f t="shared" ca="1" si="250"/>
        <v>3.2545931758530187</v>
      </c>
      <c r="H794" s="10"/>
      <c r="I794" s="10"/>
    </row>
    <row r="795" spans="1:9" ht="10.199999999999999" customHeight="1">
      <c r="A795" s="105" t="s">
        <v>51</v>
      </c>
      <c r="B795" s="105"/>
      <c r="C795" s="98">
        <f ca="1">+A_12L*A_12W*A_12SC*A_12PC</f>
        <v>210.13908694484053</v>
      </c>
      <c r="D795" s="107">
        <f ca="1">A_12L*3</f>
        <v>16.141732283464567</v>
      </c>
      <c r="E795" s="107">
        <f ca="1">-A_12W</f>
        <v>-3.2545931758530187</v>
      </c>
      <c r="F795" s="26">
        <f t="shared" ca="1" si="249"/>
        <v>16.141732283464567</v>
      </c>
      <c r="G795" s="26">
        <f t="shared" ca="1" si="250"/>
        <v>-3.2545931758530187</v>
      </c>
      <c r="H795" s="10"/>
      <c r="I795" s="10"/>
    </row>
    <row r="796" spans="1:9" ht="10.199999999999999" customHeight="1">
      <c r="A796" s="105" t="s">
        <v>52</v>
      </c>
      <c r="B796" s="105"/>
      <c r="C796" s="281">
        <f ca="1">A_12PA*StraightLineWind</f>
        <v>2101.3908694484053</v>
      </c>
      <c r="D796" s="107">
        <f ca="1">A_12L*4</f>
        <v>21.522309711286088</v>
      </c>
      <c r="E796" s="107">
        <f ca="1">-A_12W</f>
        <v>-3.2545931758530187</v>
      </c>
      <c r="F796" s="26">
        <f t="shared" ca="1" si="249"/>
        <v>21.522309711286088</v>
      </c>
      <c r="G796" s="26">
        <f t="shared" ca="1" si="250"/>
        <v>-3.2545931758530187</v>
      </c>
      <c r="H796" s="10"/>
      <c r="I796" s="10"/>
    </row>
    <row r="797" spans="1:9" ht="10.199999999999999" customHeight="1">
      <c r="A797" s="105" t="s">
        <v>82</v>
      </c>
      <c r="B797" s="105"/>
      <c r="C797" s="31">
        <f ca="1">+A_12L*6/2</f>
        <v>16.141732283464567</v>
      </c>
      <c r="D797" s="107">
        <f ca="1">A_12L*4</f>
        <v>21.522309711286088</v>
      </c>
      <c r="E797" s="107">
        <f ca="1">A_12W</f>
        <v>3.2545931758530187</v>
      </c>
      <c r="F797" s="26">
        <f t="shared" ca="1" si="249"/>
        <v>21.522309711286088</v>
      </c>
      <c r="G797" s="26">
        <f t="shared" ca="1" si="250"/>
        <v>3.2545931758530187</v>
      </c>
      <c r="H797" s="10"/>
      <c r="I797" s="10"/>
    </row>
    <row r="798" spans="1:9" ht="10.199999999999999" customHeight="1">
      <c r="A798" s="105" t="s">
        <v>83</v>
      </c>
      <c r="B798" s="105"/>
      <c r="C798" s="31">
        <f ca="1">+A_12W*2/4</f>
        <v>1.6272965879265093</v>
      </c>
      <c r="D798" s="107">
        <f ca="1">A_12L*5</f>
        <v>26.902887139107609</v>
      </c>
      <c r="E798" s="107">
        <f ca="1">A_12W</f>
        <v>3.2545931758530187</v>
      </c>
      <c r="F798" s="26">
        <f t="shared" ca="1" si="249"/>
        <v>26.902887139107609</v>
      </c>
      <c r="G798" s="26">
        <f t="shared" ca="1" si="250"/>
        <v>3.2545931758530187</v>
      </c>
      <c r="H798" s="10"/>
      <c r="I798" s="10"/>
    </row>
    <row r="799" spans="1:9" ht="10.199999999999999" customHeight="1">
      <c r="A799" s="105" t="s">
        <v>60</v>
      </c>
      <c r="B799" s="105"/>
      <c r="C799" s="282">
        <f ca="1">+A_12WL*A_12WTC</f>
        <v>3419.5861917533107</v>
      </c>
      <c r="D799" s="107">
        <f ca="1">A_12L*5</f>
        <v>26.902887139107609</v>
      </c>
      <c r="E799" s="107">
        <f ca="1">-A_12W</f>
        <v>-3.2545931758530187</v>
      </c>
      <c r="F799" s="26">
        <f t="shared" ca="1" si="249"/>
        <v>26.902887139107609</v>
      </c>
      <c r="G799" s="26">
        <f t="shared" ca="1" si="250"/>
        <v>-3.2545931758530187</v>
      </c>
      <c r="H799" s="10"/>
      <c r="I799" s="10"/>
    </row>
    <row r="800" spans="1:9" ht="10.199999999999999" customHeight="1">
      <c r="A800" s="105" t="s">
        <v>42</v>
      </c>
      <c r="B800" s="105"/>
      <c r="C800" s="32">
        <f ca="1">PWatt*A_12SC*A_12PC</f>
        <v>3000</v>
      </c>
      <c r="D800" s="107">
        <f ca="1">A_12L*6</f>
        <v>32.283464566929133</v>
      </c>
      <c r="E800" s="107">
        <f ca="1">-A_12W</f>
        <v>-3.2545931758530187</v>
      </c>
      <c r="F800" s="26">
        <f t="shared" ca="1" si="249"/>
        <v>32.283464566929133</v>
      </c>
      <c r="G800" s="26">
        <f t="shared" ca="1" si="250"/>
        <v>-3.2545931758530187</v>
      </c>
      <c r="H800" s="10"/>
      <c r="I800" s="10"/>
    </row>
    <row r="801" spans="1:9" ht="10.199999999999999" customHeight="1">
      <c r="A801" s="105" t="s">
        <v>36</v>
      </c>
      <c r="B801" s="105"/>
      <c r="C801" s="33">
        <f ca="1">PVmp*A_12SC</f>
        <v>183</v>
      </c>
      <c r="D801" s="107">
        <f ca="1">A_12L*6</f>
        <v>32.283464566929133</v>
      </c>
      <c r="E801" s="107">
        <f ca="1">A_12W</f>
        <v>3.2545931758530187</v>
      </c>
      <c r="F801" s="26">
        <f t="shared" ca="1" si="249"/>
        <v>32.283464566929133</v>
      </c>
      <c r="G801" s="26">
        <f t="shared" ca="1" si="250"/>
        <v>3.2545931758530187</v>
      </c>
      <c r="H801" s="10"/>
      <c r="I801" s="10"/>
    </row>
    <row r="802" spans="1:9" ht="10.199999999999999" customHeight="1">
      <c r="A802" s="105" t="s">
        <v>37</v>
      </c>
      <c r="B802" s="105"/>
      <c r="C802" s="34">
        <f ca="1">PVoc*A_12SC</f>
        <v>223.20000000000002</v>
      </c>
      <c r="D802" s="107">
        <f>0</f>
        <v>0</v>
      </c>
      <c r="E802" s="107">
        <f ca="1">A_12W</f>
        <v>3.2545931758530187</v>
      </c>
      <c r="F802" s="26">
        <f t="shared" si="249"/>
        <v>0</v>
      </c>
      <c r="G802" s="26">
        <f t="shared" ca="1" si="250"/>
        <v>3.2545931758530187</v>
      </c>
      <c r="H802" s="10"/>
      <c r="I802" s="10"/>
    </row>
    <row r="803" spans="1:9" ht="10.199999999999999" customHeight="1">
      <c r="A803" s="105" t="s">
        <v>43</v>
      </c>
      <c r="B803" s="105"/>
      <c r="C803" s="35">
        <f ca="1">PImp*A_12PC</f>
        <v>16.399999999999999</v>
      </c>
      <c r="D803" s="107">
        <f ca="1">A_12L*5</f>
        <v>26.902887139107609</v>
      </c>
      <c r="E803" s="107">
        <f ca="1">-A_12W</f>
        <v>-3.2545931758530187</v>
      </c>
      <c r="F803" s="26">
        <f t="shared" ca="1" si="249"/>
        <v>26.902887139107609</v>
      </c>
      <c r="G803" s="26">
        <f t="shared" ca="1" si="250"/>
        <v>-3.2545931758530187</v>
      </c>
      <c r="H803" s="10"/>
      <c r="I803" s="10"/>
    </row>
    <row r="804" spans="1:9" ht="10.199999999999999" customHeight="1">
      <c r="A804" s="105" t="s">
        <v>44</v>
      </c>
      <c r="B804" s="105"/>
      <c r="C804" s="36">
        <f ca="1">PIsc*A_12PC</f>
        <v>17.600000000000001</v>
      </c>
      <c r="D804" s="107">
        <f>0</f>
        <v>0</v>
      </c>
      <c r="E804" s="107">
        <f ca="1">-A_12W</f>
        <v>-3.2545931758530187</v>
      </c>
      <c r="F804" s="26">
        <f t="shared" si="249"/>
        <v>0</v>
      </c>
      <c r="G804" s="26">
        <f t="shared" ca="1" si="250"/>
        <v>-3.2545931758530187</v>
      </c>
      <c r="H804" s="10"/>
      <c r="I804" s="10"/>
    </row>
    <row r="805" spans="1:9" ht="10.199999999999999" customHeight="1">
      <c r="D805" s="107">
        <f>0</f>
        <v>0</v>
      </c>
      <c r="E805" s="107">
        <f>0</f>
        <v>0</v>
      </c>
      <c r="F805" s="26">
        <f t="shared" si="249"/>
        <v>0</v>
      </c>
      <c r="G805" s="26">
        <f t="shared" si="250"/>
        <v>0</v>
      </c>
      <c r="H805" s="10"/>
      <c r="I805" s="10"/>
    </row>
    <row r="806" spans="1:9" ht="10.199999999999999" customHeight="1">
      <c r="A806" s="22"/>
      <c r="B806" s="22"/>
      <c r="D806" s="107">
        <f ca="1">A_12L*6</f>
        <v>32.283464566929133</v>
      </c>
      <c r="E806" s="107">
        <f>0</f>
        <v>0</v>
      </c>
      <c r="F806" s="26">
        <f t="shared" ca="1" si="249"/>
        <v>32.283464566929133</v>
      </c>
      <c r="G806" s="26">
        <f t="shared" si="250"/>
        <v>0</v>
      </c>
      <c r="H806" s="10"/>
      <c r="I806" s="10"/>
    </row>
    <row r="807" spans="1:9" ht="10.199999999999999" customHeight="1">
      <c r="A807" s="22"/>
      <c r="B807" s="22"/>
      <c r="C807" s="9" t="s">
        <v>53</v>
      </c>
      <c r="D807" s="107">
        <f ca="1">+A_12WC-E807</f>
        <v>15.653699146981626</v>
      </c>
      <c r="E807" s="107">
        <f ca="1">AVERAGE(A_12PL,A_12PWHE)/CM</f>
        <v>0.48803313648293967</v>
      </c>
      <c r="F807" s="26">
        <f t="shared" ca="1" si="249"/>
        <v>15.653699146981626</v>
      </c>
      <c r="G807" s="26">
        <f t="shared" ca="1" si="250"/>
        <v>0.48803313648293967</v>
      </c>
      <c r="H807" s="10"/>
      <c r="I807" s="10"/>
    </row>
    <row r="808" spans="1:9" ht="10.199999999999999" customHeight="1">
      <c r="A808" s="22"/>
      <c r="B808" s="22"/>
      <c r="D808" s="107">
        <f ca="1">+A_12WC+E807</f>
        <v>16.629765419947507</v>
      </c>
      <c r="E808" s="107">
        <f ca="1">-E807</f>
        <v>-0.48803313648293967</v>
      </c>
      <c r="F808" s="26">
        <f t="shared" ca="1" si="249"/>
        <v>16.629765419947507</v>
      </c>
      <c r="G808" s="26">
        <f t="shared" ca="1" si="250"/>
        <v>-0.48803313648293967</v>
      </c>
      <c r="H808" s="10"/>
      <c r="I808" s="10"/>
    </row>
    <row r="809" spans="1:9" ht="10.199999999999999" customHeight="1">
      <c r="A809" s="22"/>
      <c r="B809" s="22"/>
      <c r="C809" s="9"/>
      <c r="D809" s="107">
        <f ca="1">D808</f>
        <v>16.629765419947507</v>
      </c>
      <c r="E809" s="107">
        <f ca="1">+E807</f>
        <v>0.48803313648293967</v>
      </c>
      <c r="F809" s="26">
        <f ca="1">+D809</f>
        <v>16.629765419947507</v>
      </c>
      <c r="G809" s="26">
        <f ca="1">+E809</f>
        <v>0.48803313648293967</v>
      </c>
      <c r="H809" s="10"/>
      <c r="I809" s="10"/>
    </row>
    <row r="810" spans="1:9" ht="10.199999999999999" customHeight="1">
      <c r="A810" s="22"/>
      <c r="B810" s="22"/>
      <c r="D810" s="107">
        <f ca="1">D807</f>
        <v>15.653699146981626</v>
      </c>
      <c r="E810" s="107">
        <f ca="1">-E807</f>
        <v>-0.48803313648293967</v>
      </c>
      <c r="F810" s="26">
        <f ca="1">+D810</f>
        <v>15.653699146981626</v>
      </c>
      <c r="G810" s="26">
        <f t="shared" ca="1" si="250"/>
        <v>-0.48803313648293967</v>
      </c>
      <c r="H810" s="10"/>
      <c r="I810" s="10"/>
    </row>
    <row r="811" spans="1:9" ht="10.199999999999999" customHeight="1">
      <c r="A811" s="22"/>
      <c r="B811" s="22"/>
      <c r="C811" s="9" t="s">
        <v>54</v>
      </c>
      <c r="D811" s="107">
        <f ca="1">+D808</f>
        <v>16.629765419947507</v>
      </c>
      <c r="E811" s="107">
        <f ca="1">+A_12WTC-E807</f>
        <v>1.1392634514435698</v>
      </c>
      <c r="F811" s="26">
        <f t="shared" ca="1" si="249"/>
        <v>16.629765419947507</v>
      </c>
      <c r="G811" s="26">
        <f t="shared" ca="1" si="250"/>
        <v>1.1392634514435698</v>
      </c>
      <c r="H811" s="10"/>
      <c r="I811" s="10"/>
    </row>
    <row r="812" spans="1:9" ht="10.199999999999999" customHeight="1">
      <c r="A812" s="22"/>
      <c r="B812" s="22"/>
      <c r="D812" s="107">
        <f ca="1">+D807</f>
        <v>15.653699146981626</v>
      </c>
      <c r="E812" s="107">
        <f ca="1">+A_12WTC+E807</f>
        <v>2.1153297244094489</v>
      </c>
      <c r="F812" s="26">
        <f t="shared" ca="1" si="249"/>
        <v>15.653699146981626</v>
      </c>
      <c r="G812" s="26">
        <f t="shared" ca="1" si="250"/>
        <v>2.1153297244094489</v>
      </c>
      <c r="H812" s="10"/>
      <c r="I812" s="10"/>
    </row>
    <row r="813" spans="1:9" ht="10.199999999999999" customHeight="1">
      <c r="A813" s="22"/>
      <c r="B813" s="22"/>
      <c r="D813" s="107">
        <f ca="1">+D808</f>
        <v>16.629765419947507</v>
      </c>
      <c r="E813" s="107">
        <f ca="1">E812</f>
        <v>2.1153297244094489</v>
      </c>
      <c r="F813" s="26">
        <f t="shared" ca="1" si="249"/>
        <v>16.629765419947507</v>
      </c>
      <c r="G813" s="26">
        <f t="shared" ca="1" si="250"/>
        <v>2.1153297244094489</v>
      </c>
      <c r="H813" s="10"/>
      <c r="I813" s="10"/>
    </row>
    <row r="814" spans="1:9" ht="10.199999999999999" customHeight="1">
      <c r="A814" s="22"/>
      <c r="B814" s="22"/>
      <c r="D814" s="107">
        <f ca="1">D807</f>
        <v>15.653699146981626</v>
      </c>
      <c r="E814" s="107">
        <f ca="1">+E811</f>
        <v>1.1392634514435698</v>
      </c>
      <c r="F814" s="26">
        <f t="shared" ca="1" si="249"/>
        <v>15.653699146981626</v>
      </c>
      <c r="G814" s="26">
        <f t="shared" ca="1" si="250"/>
        <v>1.1392634514435698</v>
      </c>
      <c r="H814" s="10"/>
      <c r="I814" s="10"/>
    </row>
    <row r="815" spans="1:9" ht="10.199999999999999" customHeight="1">
      <c r="A815" s="22"/>
      <c r="B815" s="22"/>
      <c r="C815" s="9"/>
      <c r="D815" s="107"/>
      <c r="E815" s="107"/>
      <c r="F815" s="10"/>
      <c r="G815" s="10"/>
      <c r="H815" s="10"/>
      <c r="I815" s="10"/>
    </row>
    <row r="816" spans="1:9" ht="10.199999999999999" customHeight="1">
      <c r="A816" s="305" t="s">
        <v>238</v>
      </c>
      <c r="B816" s="304"/>
      <c r="C816" s="23" t="str">
        <f ca="1">PModel</f>
        <v>SS250-60P</v>
      </c>
      <c r="D816" s="300">
        <f ca="1">+PLFt</f>
        <v>5.3805774278215219</v>
      </c>
      <c r="E816" s="300">
        <f ca="1">+PWFt</f>
        <v>3.2545931758530187</v>
      </c>
      <c r="F816" s="26"/>
      <c r="G816" s="26"/>
    </row>
    <row r="817" spans="1:9" ht="10.199999999999999" customHeight="1">
      <c r="A817" s="286" t="s">
        <v>8</v>
      </c>
      <c r="B817" s="286"/>
      <c r="C817" s="283">
        <f ca="1">B_12W*6+Spacing*5</f>
        <v>19.735892388451443</v>
      </c>
      <c r="D817" s="107">
        <f>0</f>
        <v>0</v>
      </c>
      <c r="E817" s="107">
        <f>0</f>
        <v>0</v>
      </c>
      <c r="F817" s="26">
        <f t="shared" ref="F817:F837" si="251">+D817</f>
        <v>0</v>
      </c>
      <c r="G817" s="26">
        <f t="shared" ref="G817:G837" si="252">+E817</f>
        <v>0</v>
      </c>
      <c r="H817" s="10"/>
      <c r="I817" s="10"/>
    </row>
    <row r="818" spans="1:9" ht="10.199999999999999" customHeight="1">
      <c r="A818" s="286" t="s">
        <v>0</v>
      </c>
      <c r="B818" s="286"/>
      <c r="C818" s="284">
        <f ca="1">+B_12L*2+Spacing</f>
        <v>10.80282152230971</v>
      </c>
      <c r="D818" s="107">
        <f>0</f>
        <v>0</v>
      </c>
      <c r="E818" s="107">
        <f ca="1">B_12L</f>
        <v>5.3805774278215219</v>
      </c>
      <c r="F818" s="26">
        <f t="shared" si="251"/>
        <v>0</v>
      </c>
      <c r="G818" s="26">
        <f t="shared" ca="1" si="252"/>
        <v>5.3805774278215219</v>
      </c>
      <c r="H818" s="10"/>
      <c r="I818" s="10"/>
    </row>
    <row r="819" spans="1:9" ht="10.199999999999999" customHeight="1">
      <c r="A819" s="286" t="s">
        <v>2</v>
      </c>
      <c r="B819" s="286"/>
      <c r="C819" s="284">
        <f ca="1">+B_12L*2+Spacing</f>
        <v>10.80282152230971</v>
      </c>
      <c r="D819" s="107">
        <f ca="1">B_12W</f>
        <v>3.2545931758530187</v>
      </c>
      <c r="E819" s="107">
        <f ca="1">B_12L</f>
        <v>5.3805774278215219</v>
      </c>
      <c r="F819" s="26">
        <f t="shared" ca="1" si="251"/>
        <v>3.2545931758530187</v>
      </c>
      <c r="G819" s="26">
        <f t="shared" ca="1" si="252"/>
        <v>5.3805774278215219</v>
      </c>
      <c r="H819" s="10"/>
      <c r="I819" s="10"/>
    </row>
    <row r="820" spans="1:9" ht="10.199999999999999" customHeight="1">
      <c r="A820" s="286" t="s">
        <v>206</v>
      </c>
      <c r="B820" s="286"/>
      <c r="C820" s="284">
        <f>0</f>
        <v>0</v>
      </c>
      <c r="D820" s="107">
        <f ca="1">B_12W</f>
        <v>3.2545931758530187</v>
      </c>
      <c r="E820" s="107">
        <f ca="1">-B_12L</f>
        <v>-5.3805774278215219</v>
      </c>
      <c r="F820" s="26">
        <f t="shared" ca="1" si="251"/>
        <v>3.2545931758530187</v>
      </c>
      <c r="G820" s="26">
        <f t="shared" ca="1" si="252"/>
        <v>-5.3805774278215219</v>
      </c>
      <c r="H820" s="10"/>
      <c r="I820" s="10"/>
    </row>
    <row r="821" spans="1:9" ht="10.199999999999999" customHeight="1">
      <c r="A821" s="286" t="s">
        <v>207</v>
      </c>
      <c r="B821" s="286"/>
      <c r="C821" s="285">
        <f>0</f>
        <v>0</v>
      </c>
      <c r="D821" s="107">
        <f ca="1">B_12W*2</f>
        <v>6.5091863517060373</v>
      </c>
      <c r="E821" s="107">
        <f ca="1">-B_12L</f>
        <v>-5.3805774278215219</v>
      </c>
      <c r="F821" s="26">
        <f t="shared" ca="1" si="251"/>
        <v>6.5091863517060373</v>
      </c>
      <c r="G821" s="26">
        <f t="shared" ca="1" si="252"/>
        <v>-5.3805774278215219</v>
      </c>
      <c r="H821" s="10"/>
      <c r="I821" s="10"/>
    </row>
    <row r="822" spans="1:9" ht="10.199999999999999" customHeight="1">
      <c r="A822" s="105" t="s">
        <v>69</v>
      </c>
      <c r="B822" s="105"/>
      <c r="C822" s="163">
        <v>6</v>
      </c>
      <c r="D822" s="107">
        <f ca="1">B_12W*2</f>
        <v>6.5091863517060373</v>
      </c>
      <c r="E822" s="107">
        <f ca="1">B_12L</f>
        <v>5.3805774278215219</v>
      </c>
      <c r="F822" s="26">
        <f t="shared" ca="1" si="251"/>
        <v>6.5091863517060373</v>
      </c>
      <c r="G822" s="26">
        <f t="shared" ca="1" si="252"/>
        <v>5.3805774278215219</v>
      </c>
      <c r="H822" s="10"/>
      <c r="I822" s="10"/>
    </row>
    <row r="823" spans="1:9" ht="10.199999999999999" customHeight="1">
      <c r="A823" s="105" t="s">
        <v>70</v>
      </c>
      <c r="B823" s="105"/>
      <c r="C823" s="164">
        <v>2</v>
      </c>
      <c r="D823" s="107">
        <f ca="1">B_12W*3</f>
        <v>9.7637795275590555</v>
      </c>
      <c r="E823" s="107">
        <f ca="1">B_12L</f>
        <v>5.3805774278215219</v>
      </c>
      <c r="F823" s="26">
        <f t="shared" ca="1" si="251"/>
        <v>9.7637795275590555</v>
      </c>
      <c r="G823" s="26">
        <f t="shared" ca="1" si="252"/>
        <v>5.3805774278215219</v>
      </c>
      <c r="H823" s="10"/>
      <c r="I823" s="10"/>
    </row>
    <row r="824" spans="1:9" ht="10.199999999999999" customHeight="1">
      <c r="A824" s="105" t="s">
        <v>51</v>
      </c>
      <c r="B824" s="105"/>
      <c r="C824" s="98">
        <f ca="1">+B_12L*B_12W*B_12SC*B_12PC</f>
        <v>210.13908694484053</v>
      </c>
      <c r="D824" s="107">
        <f ca="1">B_12W*3</f>
        <v>9.7637795275590555</v>
      </c>
      <c r="E824" s="107">
        <f ca="1">-B_12L</f>
        <v>-5.3805774278215219</v>
      </c>
      <c r="F824" s="26">
        <f t="shared" ca="1" si="251"/>
        <v>9.7637795275590555</v>
      </c>
      <c r="G824" s="26">
        <f t="shared" ca="1" si="252"/>
        <v>-5.3805774278215219</v>
      </c>
      <c r="H824" s="10"/>
      <c r="I824" s="10"/>
    </row>
    <row r="825" spans="1:9" ht="10.199999999999999" customHeight="1">
      <c r="A825" s="105" t="s">
        <v>52</v>
      </c>
      <c r="B825" s="105"/>
      <c r="C825" s="281">
        <f ca="1">B_12PA*StraightLineWind</f>
        <v>2101.3908694484053</v>
      </c>
      <c r="D825" s="107">
        <f ca="1">B_12W*4</f>
        <v>13.018372703412075</v>
      </c>
      <c r="E825" s="107">
        <f ca="1">-B_12L</f>
        <v>-5.3805774278215219</v>
      </c>
      <c r="F825" s="26">
        <f t="shared" ca="1" si="251"/>
        <v>13.018372703412075</v>
      </c>
      <c r="G825" s="26">
        <f t="shared" ca="1" si="252"/>
        <v>-5.3805774278215219</v>
      </c>
      <c r="H825" s="10"/>
      <c r="I825" s="10"/>
    </row>
    <row r="826" spans="1:9" ht="10.199999999999999" customHeight="1">
      <c r="A826" s="105" t="s">
        <v>57</v>
      </c>
      <c r="B826" s="105"/>
      <c r="C826" s="31">
        <f ca="1">+B_12W*6/2</f>
        <v>9.7637795275590555</v>
      </c>
      <c r="D826" s="107">
        <f ca="1">B_12W*4</f>
        <v>13.018372703412075</v>
      </c>
      <c r="E826" s="107">
        <f ca="1">B_12L</f>
        <v>5.3805774278215219</v>
      </c>
      <c r="F826" s="26">
        <f t="shared" ca="1" si="251"/>
        <v>13.018372703412075</v>
      </c>
      <c r="G826" s="26">
        <f t="shared" ca="1" si="252"/>
        <v>5.3805774278215219</v>
      </c>
      <c r="H826" s="10"/>
      <c r="I826" s="10"/>
    </row>
    <row r="827" spans="1:9" ht="10.199999999999999" customHeight="1">
      <c r="A827" s="105" t="s">
        <v>58</v>
      </c>
      <c r="B827" s="105"/>
      <c r="C827" s="31">
        <f ca="1">+B_12L*2/4</f>
        <v>2.690288713910761</v>
      </c>
      <c r="D827" s="107">
        <f ca="1">B_12W*5</f>
        <v>16.272965879265094</v>
      </c>
      <c r="E827" s="107">
        <f ca="1">B_12L</f>
        <v>5.3805774278215219</v>
      </c>
      <c r="F827" s="26">
        <f t="shared" ca="1" si="251"/>
        <v>16.272965879265094</v>
      </c>
      <c r="G827" s="26">
        <f t="shared" ca="1" si="252"/>
        <v>5.3805774278215219</v>
      </c>
      <c r="H827" s="10"/>
      <c r="I827" s="10"/>
    </row>
    <row r="828" spans="1:9" ht="10.199999999999999" customHeight="1">
      <c r="A828" s="105" t="s">
        <v>60</v>
      </c>
      <c r="B828" s="105"/>
      <c r="C828" s="282">
        <f ca="1">+B_12WL*B_12WTC</f>
        <v>5653.3481395921663</v>
      </c>
      <c r="D828" s="107">
        <f ca="1">B_12W*5</f>
        <v>16.272965879265094</v>
      </c>
      <c r="E828" s="107">
        <f ca="1">-B_12L</f>
        <v>-5.3805774278215219</v>
      </c>
      <c r="F828" s="26">
        <f t="shared" ca="1" si="251"/>
        <v>16.272965879265094</v>
      </c>
      <c r="G828" s="26">
        <f t="shared" ca="1" si="252"/>
        <v>-5.3805774278215219</v>
      </c>
      <c r="H828" s="10"/>
      <c r="I828" s="10"/>
    </row>
    <row r="829" spans="1:9" ht="10.199999999999999" customHeight="1">
      <c r="A829" s="105" t="s">
        <v>42</v>
      </c>
      <c r="B829" s="105"/>
      <c r="C829" s="32">
        <f ca="1">PWatt*B_12SC*B_12PC</f>
        <v>3000</v>
      </c>
      <c r="D829" s="107">
        <f ca="1">B_12W*6</f>
        <v>19.527559055118111</v>
      </c>
      <c r="E829" s="107">
        <f ca="1">-B_12L</f>
        <v>-5.3805774278215219</v>
      </c>
      <c r="F829" s="26">
        <f t="shared" ca="1" si="251"/>
        <v>19.527559055118111</v>
      </c>
      <c r="G829" s="26">
        <f t="shared" ca="1" si="252"/>
        <v>-5.3805774278215219</v>
      </c>
      <c r="H829" s="10"/>
      <c r="I829" s="10"/>
    </row>
    <row r="830" spans="1:9" ht="10.199999999999999" customHeight="1">
      <c r="A830" s="105" t="s">
        <v>36</v>
      </c>
      <c r="B830" s="105"/>
      <c r="C830" s="33">
        <f ca="1">PVmp*B_12SC</f>
        <v>183</v>
      </c>
      <c r="D830" s="107">
        <f ca="1">B_12W*6</f>
        <v>19.527559055118111</v>
      </c>
      <c r="E830" s="107">
        <f ca="1">B_12L</f>
        <v>5.3805774278215219</v>
      </c>
      <c r="F830" s="26">
        <f t="shared" ca="1" si="251"/>
        <v>19.527559055118111</v>
      </c>
      <c r="G830" s="26">
        <f t="shared" ca="1" si="252"/>
        <v>5.3805774278215219</v>
      </c>
      <c r="H830" s="10"/>
      <c r="I830" s="10"/>
    </row>
    <row r="831" spans="1:9" ht="10.199999999999999" customHeight="1">
      <c r="A831" s="105" t="s">
        <v>37</v>
      </c>
      <c r="B831" s="105"/>
      <c r="C831" s="34">
        <f ca="1">PVoc*B_12SC</f>
        <v>223.20000000000002</v>
      </c>
      <c r="D831" s="107">
        <f>0</f>
        <v>0</v>
      </c>
      <c r="E831" s="107">
        <f ca="1">B_12L</f>
        <v>5.3805774278215219</v>
      </c>
      <c r="F831" s="26">
        <f t="shared" si="251"/>
        <v>0</v>
      </c>
      <c r="G831" s="26">
        <f t="shared" ca="1" si="252"/>
        <v>5.3805774278215219</v>
      </c>
      <c r="H831" s="10"/>
      <c r="I831" s="10"/>
    </row>
    <row r="832" spans="1:9" ht="10.199999999999999" customHeight="1">
      <c r="A832" s="105" t="s">
        <v>43</v>
      </c>
      <c r="B832" s="105"/>
      <c r="C832" s="35">
        <f ca="1">PImp*B_12PC</f>
        <v>16.399999999999999</v>
      </c>
      <c r="D832" s="107">
        <f ca="1">B_12W*5</f>
        <v>16.272965879265094</v>
      </c>
      <c r="E832" s="107">
        <f ca="1">-B_12L</f>
        <v>-5.3805774278215219</v>
      </c>
      <c r="F832" s="26">
        <f t="shared" ca="1" si="251"/>
        <v>16.272965879265094</v>
      </c>
      <c r="G832" s="26">
        <f t="shared" ca="1" si="252"/>
        <v>-5.3805774278215219</v>
      </c>
      <c r="H832" s="10"/>
      <c r="I832" s="10"/>
    </row>
    <row r="833" spans="1:9" ht="10.199999999999999" customHeight="1">
      <c r="A833" s="105" t="s">
        <v>44</v>
      </c>
      <c r="B833" s="105"/>
      <c r="C833" s="36">
        <f ca="1">PIsc*B_12PC</f>
        <v>17.600000000000001</v>
      </c>
      <c r="D833" s="107">
        <f>0</f>
        <v>0</v>
      </c>
      <c r="E833" s="107">
        <f ca="1">-B_12L</f>
        <v>-5.3805774278215219</v>
      </c>
      <c r="F833" s="26">
        <f t="shared" si="251"/>
        <v>0</v>
      </c>
      <c r="G833" s="26">
        <f t="shared" ca="1" si="252"/>
        <v>-5.3805774278215219</v>
      </c>
      <c r="H833" s="10"/>
      <c r="I833" s="10"/>
    </row>
    <row r="834" spans="1:9" ht="10.199999999999999" customHeight="1">
      <c r="D834" s="107">
        <f>0</f>
        <v>0</v>
      </c>
      <c r="E834" s="107">
        <f>0</f>
        <v>0</v>
      </c>
      <c r="F834" s="26">
        <f t="shared" si="251"/>
        <v>0</v>
      </c>
      <c r="G834" s="26">
        <f t="shared" si="252"/>
        <v>0</v>
      </c>
      <c r="H834" s="10"/>
      <c r="I834" s="10"/>
    </row>
    <row r="835" spans="1:9" ht="10.199999999999999" customHeight="1">
      <c r="A835" s="22"/>
      <c r="B835" s="22"/>
      <c r="D835" s="107">
        <f ca="1">B_12W*6</f>
        <v>19.527559055118111</v>
      </c>
      <c r="E835" s="107">
        <f>0</f>
        <v>0</v>
      </c>
      <c r="F835" s="26">
        <f t="shared" ca="1" si="251"/>
        <v>19.527559055118111</v>
      </c>
      <c r="G835" s="26">
        <f t="shared" si="252"/>
        <v>0</v>
      </c>
      <c r="H835" s="10"/>
      <c r="I835" s="10"/>
    </row>
    <row r="836" spans="1:9" ht="10.199999999999999" customHeight="1">
      <c r="A836" s="22"/>
      <c r="B836" s="22"/>
      <c r="C836" s="9" t="s">
        <v>53</v>
      </c>
      <c r="D836" s="107">
        <f ca="1">+B_12WC-E836</f>
        <v>9.3820456036745412</v>
      </c>
      <c r="E836" s="107">
        <f ca="1">AVERAGE(B_12PL,B_12PWHE)/CM</f>
        <v>0.38173392388451444</v>
      </c>
      <c r="F836" s="26">
        <f t="shared" ca="1" si="251"/>
        <v>9.3820456036745412</v>
      </c>
      <c r="G836" s="26">
        <f t="shared" ca="1" si="252"/>
        <v>0.38173392388451444</v>
      </c>
      <c r="H836" s="10"/>
      <c r="I836" s="10"/>
    </row>
    <row r="837" spans="1:9" ht="10.199999999999999" customHeight="1">
      <c r="A837" s="22"/>
      <c r="B837" s="22"/>
      <c r="D837" s="107">
        <f ca="1">+B_12WC+E836</f>
        <v>10.14551345144357</v>
      </c>
      <c r="E837" s="107">
        <f ca="1">-E836</f>
        <v>-0.38173392388451444</v>
      </c>
      <c r="F837" s="26">
        <f t="shared" ca="1" si="251"/>
        <v>10.14551345144357</v>
      </c>
      <c r="G837" s="26">
        <f t="shared" ca="1" si="252"/>
        <v>-0.38173392388451444</v>
      </c>
      <c r="H837" s="10"/>
      <c r="I837" s="10"/>
    </row>
    <row r="838" spans="1:9" ht="10.199999999999999" customHeight="1">
      <c r="A838" s="22"/>
      <c r="B838" s="22"/>
      <c r="C838" s="9"/>
      <c r="D838" s="107">
        <f ca="1">D837</f>
        <v>10.14551345144357</v>
      </c>
      <c r="E838" s="107">
        <f ca="1">+E836</f>
        <v>0.38173392388451444</v>
      </c>
      <c r="F838" s="26">
        <f ca="1">+D838</f>
        <v>10.14551345144357</v>
      </c>
      <c r="G838" s="26">
        <f ca="1">+E838</f>
        <v>0.38173392388451444</v>
      </c>
      <c r="H838" s="10"/>
      <c r="I838" s="10"/>
    </row>
    <row r="839" spans="1:9" ht="10.199999999999999" customHeight="1">
      <c r="A839" s="22"/>
      <c r="B839" s="22"/>
      <c r="D839" s="107">
        <f ca="1">D836</f>
        <v>9.3820456036745412</v>
      </c>
      <c r="E839" s="107">
        <f ca="1">-E836</f>
        <v>-0.38173392388451444</v>
      </c>
      <c r="F839" s="26">
        <f ca="1">+D839</f>
        <v>9.3820456036745412</v>
      </c>
      <c r="G839" s="26">
        <f t="shared" ref="G839:G843" ca="1" si="253">+E839</f>
        <v>-0.38173392388451444</v>
      </c>
      <c r="H839" s="10"/>
      <c r="I839" s="10"/>
    </row>
    <row r="840" spans="1:9" ht="10.199999999999999" customHeight="1">
      <c r="A840" s="22"/>
      <c r="B840" s="22"/>
      <c r="C840" s="9" t="s">
        <v>54</v>
      </c>
      <c r="D840" s="107">
        <f ca="1">+D837</f>
        <v>10.14551345144357</v>
      </c>
      <c r="E840" s="107">
        <f ca="1">+B_12WTC-E836</f>
        <v>2.3085547900262466</v>
      </c>
      <c r="F840" s="26">
        <f t="shared" ref="F840:F843" ca="1" si="254">+D840</f>
        <v>10.14551345144357</v>
      </c>
      <c r="G840" s="26">
        <f t="shared" ca="1" si="253"/>
        <v>2.3085547900262466</v>
      </c>
      <c r="H840" s="10"/>
      <c r="I840" s="10"/>
    </row>
    <row r="841" spans="1:9" ht="10.199999999999999" customHeight="1">
      <c r="A841" s="22"/>
      <c r="B841" s="22"/>
      <c r="D841" s="107">
        <f ca="1">+D836</f>
        <v>9.3820456036745412</v>
      </c>
      <c r="E841" s="107">
        <f ca="1">+B_12WTC+E836</f>
        <v>3.0720226377952753</v>
      </c>
      <c r="F841" s="26">
        <f t="shared" ca="1" si="254"/>
        <v>9.3820456036745412</v>
      </c>
      <c r="G841" s="26">
        <f t="shared" ca="1" si="253"/>
        <v>3.0720226377952753</v>
      </c>
      <c r="H841" s="10"/>
      <c r="I841" s="10"/>
    </row>
    <row r="842" spans="1:9" ht="10.199999999999999" customHeight="1">
      <c r="A842" s="22"/>
      <c r="B842" s="22"/>
      <c r="D842" s="107">
        <f ca="1">+D837</f>
        <v>10.14551345144357</v>
      </c>
      <c r="E842" s="107">
        <f ca="1">E841</f>
        <v>3.0720226377952753</v>
      </c>
      <c r="F842" s="26">
        <f t="shared" ca="1" si="254"/>
        <v>10.14551345144357</v>
      </c>
      <c r="G842" s="26">
        <f t="shared" ca="1" si="253"/>
        <v>3.0720226377952753</v>
      </c>
      <c r="H842" s="10"/>
      <c r="I842" s="10"/>
    </row>
    <row r="843" spans="1:9" ht="10.199999999999999" customHeight="1">
      <c r="A843" s="22"/>
      <c r="B843" s="22"/>
      <c r="D843" s="107">
        <f ca="1">D836</f>
        <v>9.3820456036745412</v>
      </c>
      <c r="E843" s="107">
        <f ca="1">+E840</f>
        <v>2.3085547900262466</v>
      </c>
      <c r="F843" s="26">
        <f t="shared" ca="1" si="254"/>
        <v>9.3820456036745412</v>
      </c>
      <c r="G843" s="26">
        <f t="shared" ca="1" si="253"/>
        <v>2.3085547900262466</v>
      </c>
      <c r="H843" s="10"/>
      <c r="I843" s="10"/>
    </row>
  </sheetData>
  <sheetProtection sheet="1" objects="1" scenarios="1"/>
  <sortState ref="A4:AG23">
    <sortCondition ref="V4:V23"/>
  </sortState>
  <hyperlinks>
    <hyperlink ref="AC8" r:id="rId1"/>
    <hyperlink ref="C8" r:id="rId2" display="http://r20.rs6.net/tn.jsp?f=001vefln0DRAIofMjURqs76Cym0i6JO6oB1VCKgxxiChbe-vgmJz9aQTloI7QnNRCp8DlAZB0yQ6VmvueevNz_FwCyesglPwVF-vFqLIs2ybe-QtCcBcRioz03tayu5ESIHn4-kqiEL7vIj5A7jQaT4-gJIKHAVd4ygoeSc91HtSyBKWuBDBMJWu8NUlhoJPCB-oi92IPoxnZmAGIJgF1BcEqcxHQXYK0Ox5-xS3821kLh4ZB48dL5-OoAKKH7ndjLc&amp;c=8eptsyj9YtZwJ8GGjyUaxl7zdtP9ttXa3QrJn-JCP29kAzbovmQgZQ==&amp;ch=hldLuH8pGEjCCQtnvu8J5UENIyZuVZ7_QYFyLvUXc1GlXvgkAM-0bg=="/>
    <hyperlink ref="AD23" r:id="rId3"/>
    <hyperlink ref="AC23" r:id="rId4"/>
    <hyperlink ref="AC12" r:id="rId5"/>
    <hyperlink ref="AC25" r:id="rId6"/>
    <hyperlink ref="AC24" r:id="rId7"/>
    <hyperlink ref="AC27" r:id="rId8"/>
    <hyperlink ref="AC28" r:id="rId9"/>
    <hyperlink ref="AC29" r:id="rId10"/>
    <hyperlink ref="AC26" r:id="rId11"/>
    <hyperlink ref="AC14" r:id="rId12"/>
    <hyperlink ref="AC18" r:id="rId13"/>
    <hyperlink ref="AC15" r:id="rId14"/>
    <hyperlink ref="AC7" r:id="rId15"/>
    <hyperlink ref="AC10" r:id="rId16"/>
    <hyperlink ref="AC11" r:id="rId17"/>
    <hyperlink ref="AC37" r:id="rId18"/>
  </hyperlinks>
  <pageMargins left="0.7" right="0.7" top="0.75" bottom="0.75" header="0.3" footer="0.3"/>
  <pageSetup orientation="portrait" r:id="rId19"/>
  <drawing r:id="rId20"/>
  <legacyDrawing r:id="rId21"/>
</worksheet>
</file>

<file path=xl/worksheets/sheet7.xml><?xml version="1.0" encoding="utf-8"?>
<worksheet xmlns="http://schemas.openxmlformats.org/spreadsheetml/2006/main" xmlns:r="http://schemas.openxmlformats.org/officeDocument/2006/relationships">
  <dimension ref="A1:X149"/>
  <sheetViews>
    <sheetView topLeftCell="A55" workbookViewId="0">
      <selection activeCell="V59" sqref="V59"/>
    </sheetView>
  </sheetViews>
  <sheetFormatPr defaultRowHeight="14.4"/>
  <cols>
    <col min="1" max="1" width="1.88671875" style="407" customWidth="1"/>
    <col min="2" max="2" width="13.44140625" customWidth="1"/>
    <col min="3" max="3" width="5.77734375" customWidth="1"/>
    <col min="4" max="4" width="6" customWidth="1"/>
    <col min="5" max="5" width="5.5546875" customWidth="1"/>
    <col min="6" max="6" width="5" customWidth="1"/>
    <col min="7" max="7" width="5.5546875" customWidth="1"/>
    <col min="8" max="8" width="6.88671875" customWidth="1"/>
    <col min="9" max="9" width="6.6640625" customWidth="1"/>
    <col min="10" max="10" width="4.77734375" customWidth="1"/>
    <col min="11" max="12" width="6.109375" customWidth="1"/>
    <col min="13" max="15" width="6" customWidth="1"/>
    <col min="16" max="16" width="6.33203125" customWidth="1"/>
    <col min="17" max="17" width="7.109375" customWidth="1"/>
    <col min="18" max="21" width="4.77734375" customWidth="1"/>
    <col min="22" max="22" width="4" customWidth="1"/>
    <col min="23" max="23" width="10.21875" customWidth="1"/>
    <col min="24" max="24" width="10.33203125" customWidth="1"/>
  </cols>
  <sheetData>
    <row r="1" spans="1:10" s="317" customFormat="1" ht="11.4" customHeight="1">
      <c r="A1" s="397"/>
    </row>
    <row r="2" spans="1:10" s="317" customFormat="1" ht="11.4" customHeight="1">
      <c r="A2" s="397"/>
    </row>
    <row r="3" spans="1:10" s="317" customFormat="1" ht="11.4" customHeight="1">
      <c r="A3" s="397"/>
      <c r="B3" s="317" t="s">
        <v>86</v>
      </c>
    </row>
    <row r="4" spans="1:10" s="317" customFormat="1" ht="11.4" customHeight="1">
      <c r="A4" s="398"/>
      <c r="B4" s="318" t="s">
        <v>115</v>
      </c>
      <c r="C4" s="318" t="s">
        <v>375</v>
      </c>
      <c r="D4" s="319" t="s">
        <v>374</v>
      </c>
      <c r="E4" s="318" t="s">
        <v>381</v>
      </c>
      <c r="F4" s="50" t="s">
        <v>382</v>
      </c>
      <c r="G4" s="50" t="s">
        <v>388</v>
      </c>
    </row>
    <row r="5" spans="1:10" s="317" customFormat="1" ht="11.4" customHeight="1">
      <c r="A5" s="399"/>
      <c r="B5" s="320" t="s">
        <v>14</v>
      </c>
      <c r="C5" s="321" t="s">
        <v>85</v>
      </c>
      <c r="D5" s="320" t="s">
        <v>84</v>
      </c>
      <c r="E5" s="322" t="s">
        <v>373</v>
      </c>
    </row>
    <row r="6" spans="1:10" s="317" customFormat="1" ht="11.4" customHeight="1">
      <c r="A6" s="400"/>
      <c r="B6" s="323">
        <v>0</v>
      </c>
      <c r="C6" s="324">
        <f>+CONVERT(B6,"ft","m")</f>
        <v>0</v>
      </c>
      <c r="D6" s="323">
        <f ca="1">-PPounds*0</f>
        <v>0</v>
      </c>
      <c r="E6" s="325">
        <f ca="1">+CONVERT(-PPounds*0,"lbf","N")</f>
        <v>0</v>
      </c>
      <c r="F6" s="323">
        <f>+B6</f>
        <v>0</v>
      </c>
      <c r="G6" s="326">
        <f>+C6</f>
        <v>0</v>
      </c>
      <c r="H6" s="323">
        <f ca="1">+D6</f>
        <v>0</v>
      </c>
      <c r="I6" s="323">
        <f ca="1">+E6</f>
        <v>0</v>
      </c>
    </row>
    <row r="7" spans="1:10" s="317" customFormat="1" ht="11.4" customHeight="1">
      <c r="A7" s="400"/>
      <c r="B7" s="323">
        <f ca="1">LowEndExt+DecOffLen</f>
        <v>0.78018372703411143</v>
      </c>
      <c r="C7" s="324">
        <f ca="1">+CONVERT(LowEndExt+DecOffLen,"ft","m")</f>
        <v>0.23779999999999718</v>
      </c>
      <c r="D7" s="323">
        <f ca="1">-PPounds*(0/2+1/2)</f>
        <v>-20.393000000000001</v>
      </c>
      <c r="E7" s="325">
        <f ca="1">+CONVERT(-PPounds*(0/2+1/2),"lbf","N")</f>
        <v>-90.712591246000002</v>
      </c>
      <c r="F7" s="323">
        <f t="shared" ref="F7:F11" ca="1" si="0">+B7</f>
        <v>0.78018372703411143</v>
      </c>
      <c r="G7" s="326">
        <f t="shared" ref="G7:G11" ca="1" si="1">+C7</f>
        <v>0.23779999999999718</v>
      </c>
      <c r="H7" s="323">
        <f t="shared" ref="H7:H11" ca="1" si="2">+D7</f>
        <v>-20.393000000000001</v>
      </c>
      <c r="I7" s="323">
        <f t="shared" ref="I7:I11" ca="1" si="3">+E7</f>
        <v>-90.712591246000002</v>
      </c>
    </row>
    <row r="8" spans="1:10" s="317" customFormat="1" ht="11.4" customHeight="1">
      <c r="A8" s="400"/>
      <c r="B8" s="323">
        <f ca="1">PWFt</f>
        <v>3.2545931758530187</v>
      </c>
      <c r="C8" s="324">
        <f ca="1">+CONVERT(PWFt,"ft","m")</f>
        <v>0.99199999999999999</v>
      </c>
      <c r="D8" s="323">
        <f ca="1">-PPounds*(1/2+2/2)</f>
        <v>-61.179000000000002</v>
      </c>
      <c r="E8" s="325">
        <f ca="1">+CONVERT(-PPounds*(1/2+2/2),"lbf","N")</f>
        <v>-272.13777373800002</v>
      </c>
      <c r="F8" s="323">
        <f t="shared" ca="1" si="0"/>
        <v>3.2545931758530187</v>
      </c>
      <c r="G8" s="326">
        <f t="shared" ca="1" si="1"/>
        <v>0.99199999999999999</v>
      </c>
      <c r="H8" s="323">
        <f t="shared" ca="1" si="2"/>
        <v>-61.179000000000002</v>
      </c>
      <c r="I8" s="323">
        <f t="shared" ca="1" si="3"/>
        <v>-272.13777373800002</v>
      </c>
    </row>
    <row r="9" spans="1:10" s="317" customFormat="1" ht="11.4" customHeight="1">
      <c r="A9" s="400"/>
      <c r="B9" s="323">
        <f ca="1">PLFt</f>
        <v>5.3805774278215219</v>
      </c>
      <c r="C9" s="324">
        <f ca="1">+CONVERT(PLFt,"ft","m")</f>
        <v>1.64</v>
      </c>
      <c r="D9" s="323">
        <f ca="1">-PPounds*(2/2+3/2)</f>
        <v>-101.965</v>
      </c>
      <c r="E9" s="325">
        <f ca="1">+CONVERT(-PPounds*(2/2+3/2),"lbf","N")</f>
        <v>-453.56295623000005</v>
      </c>
      <c r="F9" s="323">
        <f t="shared" ca="1" si="0"/>
        <v>5.3805774278215219</v>
      </c>
      <c r="G9" s="326">
        <f t="shared" ca="1" si="1"/>
        <v>1.64</v>
      </c>
      <c r="H9" s="323">
        <f t="shared" ca="1" si="2"/>
        <v>-101.965</v>
      </c>
      <c r="I9" s="323">
        <f t="shared" ca="1" si="3"/>
        <v>-453.56295623000005</v>
      </c>
    </row>
    <row r="10" spans="1:10" s="317" customFormat="1" ht="11.4" customHeight="1">
      <c r="A10" s="400"/>
      <c r="B10" s="323">
        <f ca="1">PLFt</f>
        <v>5.3805774278215219</v>
      </c>
      <c r="C10" s="324">
        <f ca="1">+CONVERT(PLFt,"ft","m")</f>
        <v>1.64</v>
      </c>
      <c r="D10" s="323">
        <f ca="1">-PPounds*(3/2+0/2)</f>
        <v>-61.179000000000002</v>
      </c>
      <c r="E10" s="325">
        <f ca="1">+CONVERT(-PPounds*(3/2+0/2),"lbf","N")</f>
        <v>-272.13777373800002</v>
      </c>
      <c r="F10" s="323">
        <f t="shared" ca="1" si="0"/>
        <v>5.3805774278215219</v>
      </c>
      <c r="G10" s="326">
        <f t="shared" ca="1" si="1"/>
        <v>1.64</v>
      </c>
      <c r="H10" s="323">
        <f t="shared" ca="1" si="2"/>
        <v>-61.179000000000002</v>
      </c>
      <c r="I10" s="323">
        <f t="shared" ca="1" si="3"/>
        <v>-272.13777373800002</v>
      </c>
    </row>
    <row r="11" spans="1:10" s="317" customFormat="1" ht="11.4" customHeight="1">
      <c r="A11" s="400"/>
      <c r="B11" s="323">
        <f ca="1">DecOffLen+HighEndExt</f>
        <v>0.78018372703411143</v>
      </c>
      <c r="C11" s="324">
        <f ca="1">+CONVERT(DecOffLen+HighEndExt,"ft","m")</f>
        <v>0.23779999999999718</v>
      </c>
      <c r="D11" s="323">
        <f ca="1">-PPounds*0</f>
        <v>0</v>
      </c>
      <c r="E11" s="325">
        <f ca="1">+CONVERT(-PPounds*0,"lbf","N")</f>
        <v>0</v>
      </c>
      <c r="F11" s="323">
        <f t="shared" ca="1" si="0"/>
        <v>0.78018372703411143</v>
      </c>
      <c r="G11" s="326">
        <f t="shared" ca="1" si="1"/>
        <v>0.23779999999999718</v>
      </c>
      <c r="H11" s="323">
        <f t="shared" ca="1" si="2"/>
        <v>0</v>
      </c>
      <c r="I11" s="323">
        <f t="shared" ca="1" si="3"/>
        <v>0</v>
      </c>
    </row>
    <row r="12" spans="1:10" s="317" customFormat="1" ht="11.4" customHeight="1">
      <c r="A12" s="397"/>
      <c r="G12" s="326"/>
      <c r="I12" s="323"/>
      <c r="J12" s="326"/>
    </row>
    <row r="13" spans="1:10" s="317" customFormat="1" ht="11.4" customHeight="1">
      <c r="A13" s="397"/>
      <c r="B13" s="317" t="str">
        <f ca="1">CONCATENATE("http://en.sopromat.org/2008/beam.php?points=6&amp;states=2|0|0|0|0|1|
&amp;l=",
CONVERT(LowEndExt+DecOffLen,"ft","m"),"|",
CONVERT(OFFSET(SelectPanel,0,9),"ft","m"),"|",
CONVERT(OFFSET(SelectPanel,0,5),"ft","m"),"|",
CONVERT(OFFSET(SelectPanel,0,5),"ft","m"),"|",
CONVERT(HighEndExt+DecOffLen,"ft","m"),"|",
"0|
&amp;py=0|",
CONVERT(-OFFSET(SelectPanel,0,24)*(0/2+1/2),"ft","m"),"|",
CONVERT(-OFFSET(SelectPanel,0,24)*(1/2+2/2),"ft","m"),"|",
CONVERT(-OFFSET(SelectPanel,0,24)*(2/2+3/2),"ft","m"),"|",
CONVERT(-OFFSET(SelectPanel,0,24)*(3/2+0/2),"ft","m"),"|",
"0|
&amp;what_qy=on
&amp;what_mx=on"
)</f>
        <v>http://en.sopromat.org/2008/beam.php?points=6&amp;states=2|0|0|0|0|1|
&amp;l=0.237799999999997|0.992|1.64|1.64|0.237799999999997|0|
&amp;py=0|-6.2157864|-18.6473592|-31.078932|-18.6473592|0|
&amp;what_qy=on
&amp;what_mx=on</v>
      </c>
      <c r="G13" s="326"/>
      <c r="I13" s="323"/>
      <c r="J13" s="326"/>
    </row>
    <row r="14" spans="1:10" s="317" customFormat="1" ht="11.4" customHeight="1">
      <c r="A14" s="397"/>
      <c r="B14" s="317" t="str">
        <f ca="1">CONCATENATE("http://en.sopromat.org/2008/beam.php?points=6&amp;states=2|0|0|0|0|1|&amp;l=",CONVERT(LowEndExt+DecOffLen,"ft","m"),"|",CONVERT(OFFSET(SelectPanel,0,9),"ft","m"),"|",CONVERT(OFFSET(SelectPanel,0,5),"ft","m"),"|",CONVERT(OFFSET(SelectPanel,0,5),"ft","m"),"|",CONVERT(HighEndExt+DecOffLen,"ft","m"),"|","0|&amp;py=0|",CONVERT(-OFFSET(SelectPanel,0,24)*(0/2+1/2),"ft","m"),"|",CONVERT(-OFFSET(SelectPanel,0,24)*(1/2+2/2),"ft","m"),"|",CONVERT(-OFFSET(SelectPanel,0,24)*(2/2+3/2),"ft","m"),"|",CONVERT(-OFFSET(SelectPanel,0,24)*(3/2+0/2),"ft","m"),"|","0|&amp;what_qy=on&amp;what_mx=on")</f>
        <v>http://en.sopromat.org/2008/beam.php?points=6&amp;states=2|0|0|0|0|1|&amp;l=0.237799999999997|0.992|1.64|1.64|0.237799999999997|0|&amp;py=0|-6.2157864|-18.6473592|-31.078932|-18.6473592|0|&amp;what_qy=on&amp;what_mx=on</v>
      </c>
      <c r="G14" s="326"/>
      <c r="I14" s="323"/>
      <c r="J14" s="326"/>
    </row>
    <row r="15" spans="1:10" s="317" customFormat="1" ht="11.4" customHeight="1">
      <c r="A15" s="397"/>
      <c r="G15" s="326"/>
      <c r="I15" s="323"/>
      <c r="J15" s="326"/>
    </row>
    <row r="16" spans="1:10" s="317" customFormat="1" ht="11.4" customHeight="1">
      <c r="A16" s="397"/>
      <c r="G16" s="326"/>
      <c r="I16" s="323"/>
      <c r="J16" s="326"/>
    </row>
    <row r="17" spans="1:24" s="317" customFormat="1" ht="23.4">
      <c r="A17" s="397"/>
      <c r="B17" s="353" t="s">
        <v>433</v>
      </c>
      <c r="G17" s="326"/>
      <c r="I17" s="323"/>
      <c r="J17" s="326"/>
    </row>
    <row r="18" spans="1:24" s="317" customFormat="1" ht="11.4" customHeight="1">
      <c r="A18" s="397"/>
      <c r="C18" s="317" t="s">
        <v>423</v>
      </c>
      <c r="E18" s="317" t="s">
        <v>422</v>
      </c>
      <c r="G18" s="342" t="s">
        <v>424</v>
      </c>
      <c r="H18" s="342"/>
      <c r="I18" s="342" t="s">
        <v>416</v>
      </c>
      <c r="J18" s="343"/>
      <c r="K18" s="342" t="s">
        <v>417</v>
      </c>
      <c r="L18" s="342"/>
      <c r="M18" s="342" t="s">
        <v>418</v>
      </c>
      <c r="N18" s="342"/>
      <c r="O18" s="342"/>
      <c r="P18" s="342" t="s">
        <v>419</v>
      </c>
      <c r="Q18" s="342"/>
      <c r="R18" s="342" t="s">
        <v>420</v>
      </c>
      <c r="S18" s="342"/>
      <c r="T18" s="342" t="s">
        <v>421</v>
      </c>
      <c r="U18" s="342"/>
    </row>
    <row r="19" spans="1:24" s="317" customFormat="1" ht="11.4" customHeight="1">
      <c r="A19" s="401"/>
      <c r="B19" s="327" t="s">
        <v>711</v>
      </c>
      <c r="C19" s="344">
        <v>10</v>
      </c>
      <c r="D19" s="345"/>
      <c r="E19" s="344">
        <v>35000</v>
      </c>
      <c r="F19" s="341"/>
      <c r="G19" s="346">
        <v>9.8000000000000004E-2</v>
      </c>
      <c r="H19" s="345"/>
      <c r="I19" s="345">
        <v>42000</v>
      </c>
      <c r="J19" s="345"/>
      <c r="K19" s="345">
        <v>34000</v>
      </c>
      <c r="L19" s="345"/>
      <c r="M19" s="345">
        <v>27000</v>
      </c>
      <c r="N19" s="345"/>
      <c r="O19" s="345"/>
      <c r="P19" s="345">
        <v>9.9</v>
      </c>
      <c r="Q19" s="345"/>
      <c r="R19" s="345">
        <v>10.1</v>
      </c>
      <c r="S19" s="345"/>
      <c r="T19" s="345">
        <v>3.8</v>
      </c>
      <c r="U19" s="345"/>
    </row>
    <row r="20" spans="1:24" s="317" customFormat="1" ht="11.4" customHeight="1">
      <c r="A20" s="402"/>
      <c r="B20" s="338" t="s">
        <v>391</v>
      </c>
      <c r="C20" s="344">
        <v>29.5</v>
      </c>
      <c r="D20" s="345"/>
      <c r="E20" s="344">
        <v>53700</v>
      </c>
      <c r="F20" s="341"/>
      <c r="G20" s="346">
        <v>0.28399999999999997</v>
      </c>
      <c r="H20" s="345"/>
      <c r="I20" s="345">
        <v>63800</v>
      </c>
      <c r="J20" s="345"/>
      <c r="K20" s="345"/>
      <c r="L20" s="345"/>
      <c r="M20" s="345"/>
      <c r="N20" s="345"/>
      <c r="O20" s="345"/>
      <c r="P20" s="345"/>
      <c r="Q20" s="345"/>
      <c r="R20" s="345"/>
      <c r="S20" s="345"/>
      <c r="T20" s="345">
        <v>11.6</v>
      </c>
      <c r="U20" s="345"/>
    </row>
    <row r="21" spans="1:24" s="317" customFormat="1" ht="11.4" customHeight="1">
      <c r="A21" s="401"/>
      <c r="B21" s="327" t="s">
        <v>387</v>
      </c>
      <c r="C21" s="344">
        <v>30</v>
      </c>
      <c r="D21" s="345"/>
      <c r="E21" s="344">
        <v>60500</v>
      </c>
      <c r="F21" s="341"/>
      <c r="G21" s="346">
        <v>0.27730008598452299</v>
      </c>
      <c r="H21" s="345"/>
      <c r="I21" s="345">
        <v>95000</v>
      </c>
      <c r="J21" s="345"/>
      <c r="K21" s="345">
        <v>335</v>
      </c>
      <c r="L21" s="345"/>
      <c r="M21" s="345">
        <v>1438</v>
      </c>
      <c r="N21" s="345"/>
      <c r="O21" s="345"/>
      <c r="Q21" s="345"/>
      <c r="R21" s="345"/>
      <c r="S21" s="345"/>
      <c r="T21" s="345"/>
      <c r="U21" s="345"/>
      <c r="V21" s="345"/>
    </row>
    <row r="22" spans="1:24" s="317" customFormat="1" ht="11.4" customHeight="1">
      <c r="A22" s="401"/>
      <c r="B22" s="327" t="s">
        <v>379</v>
      </c>
      <c r="C22" s="344">
        <v>1.19</v>
      </c>
      <c r="D22" s="345"/>
      <c r="E22" s="344">
        <v>1000</v>
      </c>
      <c r="F22" s="341"/>
      <c r="G22" s="346">
        <v>3.3057851239669422E-2</v>
      </c>
      <c r="H22" s="345"/>
      <c r="I22" s="345">
        <v>1000</v>
      </c>
      <c r="J22" s="345"/>
      <c r="K22" s="317" t="s">
        <v>389</v>
      </c>
      <c r="L22" s="345"/>
      <c r="M22" s="345"/>
      <c r="N22" s="345"/>
      <c r="O22" s="345"/>
      <c r="P22" s="345"/>
      <c r="Q22" s="345"/>
      <c r="R22" s="345"/>
      <c r="S22" s="345"/>
      <c r="T22" s="345"/>
      <c r="U22" s="345"/>
      <c r="V22" s="345"/>
    </row>
    <row r="23" spans="1:24" s="317" customFormat="1" ht="11.4" customHeight="1">
      <c r="A23" s="397"/>
      <c r="L23" s="369" t="s">
        <v>698</v>
      </c>
      <c r="O23" s="341" t="s">
        <v>453</v>
      </c>
      <c r="P23" s="317" t="s">
        <v>412</v>
      </c>
      <c r="Q23" s="317" t="s">
        <v>413</v>
      </c>
      <c r="R23" s="317" t="s">
        <v>412</v>
      </c>
      <c r="S23" s="317" t="s">
        <v>413</v>
      </c>
      <c r="T23" s="317" t="s">
        <v>412</v>
      </c>
      <c r="U23" s="317" t="s">
        <v>413</v>
      </c>
    </row>
    <row r="24" spans="1:24" s="317" customFormat="1" ht="11.4" customHeight="1">
      <c r="B24" s="327"/>
      <c r="G24" s="326"/>
      <c r="L24" s="898">
        <f>-1/12</f>
        <v>-8.3333333333333329E-2</v>
      </c>
      <c r="O24" s="899">
        <v>4</v>
      </c>
      <c r="P24" s="317" t="s">
        <v>415</v>
      </c>
      <c r="R24" s="317" t="s">
        <v>414</v>
      </c>
      <c r="T24" s="317" t="s">
        <v>431</v>
      </c>
    </row>
    <row r="25" spans="1:24" s="317" customFormat="1" ht="11.4" customHeight="1">
      <c r="A25" s="401"/>
      <c r="B25" s="327"/>
      <c r="C25" s="360" t="s">
        <v>403</v>
      </c>
      <c r="D25" s="360" t="s">
        <v>403</v>
      </c>
      <c r="E25" s="360" t="s">
        <v>403</v>
      </c>
      <c r="F25" s="360" t="s">
        <v>410</v>
      </c>
      <c r="G25" s="914" t="s">
        <v>410</v>
      </c>
      <c r="H25" s="360" t="s">
        <v>425</v>
      </c>
      <c r="I25" s="360" t="s">
        <v>426</v>
      </c>
      <c r="J25" s="360" t="s">
        <v>579</v>
      </c>
      <c r="K25" s="360" t="s">
        <v>404</v>
      </c>
      <c r="L25" s="360" t="s">
        <v>406</v>
      </c>
      <c r="M25" s="505" t="s">
        <v>454</v>
      </c>
      <c r="N25" s="505" t="s">
        <v>702</v>
      </c>
      <c r="O25" s="360" t="s">
        <v>409</v>
      </c>
      <c r="P25" s="915" t="s">
        <v>59</v>
      </c>
      <c r="Q25" s="915" t="s">
        <v>59</v>
      </c>
      <c r="R25" s="915" t="s">
        <v>59</v>
      </c>
      <c r="S25" s="915" t="s">
        <v>59</v>
      </c>
      <c r="T25" s="915" t="s">
        <v>59</v>
      </c>
      <c r="U25" s="915" t="s">
        <v>59</v>
      </c>
      <c r="V25" s="360"/>
    </row>
    <row r="26" spans="1:24" s="317" customFormat="1" ht="11.4" customHeight="1" thickBot="1">
      <c r="A26" s="402"/>
      <c r="B26" s="887" t="s">
        <v>696</v>
      </c>
      <c r="C26" s="369" t="s">
        <v>383</v>
      </c>
      <c r="D26" s="369" t="s">
        <v>692</v>
      </c>
      <c r="E26" s="369" t="s">
        <v>240</v>
      </c>
      <c r="F26" s="369" t="s">
        <v>411</v>
      </c>
      <c r="G26" s="916" t="s">
        <v>24</v>
      </c>
      <c r="H26" s="369" t="s">
        <v>25</v>
      </c>
      <c r="I26" s="503" t="s">
        <v>377</v>
      </c>
      <c r="J26" s="369" t="s">
        <v>26</v>
      </c>
      <c r="K26" s="916" t="s">
        <v>405</v>
      </c>
      <c r="L26" s="369" t="s">
        <v>378</v>
      </c>
      <c r="M26" s="369" t="s">
        <v>455</v>
      </c>
      <c r="N26" s="369" t="s">
        <v>407</v>
      </c>
      <c r="O26" s="369" t="s">
        <v>407</v>
      </c>
      <c r="P26" s="369" t="s">
        <v>430</v>
      </c>
      <c r="Q26" s="369" t="s">
        <v>430</v>
      </c>
      <c r="R26" s="369" t="s">
        <v>430</v>
      </c>
      <c r="S26" s="369" t="s">
        <v>430</v>
      </c>
      <c r="T26" s="369" t="s">
        <v>430</v>
      </c>
      <c r="U26" s="369" t="s">
        <v>430</v>
      </c>
      <c r="V26" s="915" t="s">
        <v>390</v>
      </c>
    </row>
    <row r="27" spans="1:24" s="499" customFormat="1" ht="11.4" customHeight="1" thickTop="1" thickBot="1">
      <c r="A27" s="870" t="s">
        <v>480</v>
      </c>
      <c r="B27" s="857" t="str">
        <f t="shared" ref="B27:V27" ca="1" si="4">OFFSET(SelectMainBeam,,B28)</f>
        <v>Win ST 24'x6x4x1/8</v>
      </c>
      <c r="C27" s="858">
        <f t="shared" ca="1" si="4"/>
        <v>161.22999999999999</v>
      </c>
      <c r="D27" s="859">
        <f t="shared" ca="1" si="4"/>
        <v>6.7179166666666665</v>
      </c>
      <c r="E27" s="860">
        <f t="shared" ca="1" si="4"/>
        <v>143.63999999999987</v>
      </c>
      <c r="F27" s="861">
        <f t="shared" ca="1" si="4"/>
        <v>2157.8235051176962</v>
      </c>
      <c r="G27" s="862">
        <f t="shared" ca="1" si="4"/>
        <v>17.999999999999982</v>
      </c>
      <c r="H27" s="863">
        <f t="shared" ca="1" si="4"/>
        <v>4</v>
      </c>
      <c r="I27" s="863">
        <f t="shared" ca="1" si="4"/>
        <v>6</v>
      </c>
      <c r="J27" s="863">
        <f t="shared" ca="1" si="4"/>
        <v>0.125</v>
      </c>
      <c r="K27" s="864">
        <f t="shared" ca="1" si="4"/>
        <v>12.5908203125</v>
      </c>
      <c r="L27" s="865">
        <f t="shared" ca="1" si="4"/>
        <v>-38.840823092118491</v>
      </c>
      <c r="M27" s="866">
        <f t="shared" ca="1" si="4"/>
        <v>0.72329279501151744</v>
      </c>
      <c r="N27" s="867">
        <f t="shared" ca="1" si="4"/>
        <v>2.8931711800460698</v>
      </c>
      <c r="O27" s="867">
        <f t="shared" ca="1" si="4"/>
        <v>4.196940104166667</v>
      </c>
      <c r="P27" s="863">
        <f t="shared" ca="1" si="4"/>
        <v>1.2197192937425887</v>
      </c>
      <c r="Q27" s="868">
        <f t="shared" ca="1" si="4"/>
        <v>0.76232455858911785</v>
      </c>
      <c r="R27" s="863">
        <f t="shared" ca="1" si="4"/>
        <v>0.53362719101238254</v>
      </c>
      <c r="S27" s="868">
        <f t="shared" ca="1" si="4"/>
        <v>0.31646714823515831</v>
      </c>
      <c r="T27" s="863">
        <f t="shared" ca="1" si="4"/>
        <v>0.30492982343564717</v>
      </c>
      <c r="U27" s="868">
        <f t="shared" ca="1" si="4"/>
        <v>0.15246491171782359</v>
      </c>
      <c r="V27" s="869">
        <f t="shared" ca="1" si="4"/>
        <v>0.59999999999999942</v>
      </c>
    </row>
    <row r="28" spans="1:24" s="499" customFormat="1" ht="11.4" customHeight="1" thickTop="1">
      <c r="A28" s="856">
        <v>0</v>
      </c>
      <c r="B28" s="499">
        <f>A28+1</f>
        <v>1</v>
      </c>
      <c r="C28" s="499">
        <f t="shared" ref="C28:V28" si="5">B28+1</f>
        <v>2</v>
      </c>
      <c r="D28" s="499">
        <f t="shared" si="5"/>
        <v>3</v>
      </c>
      <c r="E28" s="499">
        <f t="shared" si="5"/>
        <v>4</v>
      </c>
      <c r="F28" s="499">
        <f t="shared" si="5"/>
        <v>5</v>
      </c>
      <c r="G28" s="499">
        <f t="shared" si="5"/>
        <v>6</v>
      </c>
      <c r="H28" s="499">
        <f t="shared" si="5"/>
        <v>7</v>
      </c>
      <c r="I28" s="499">
        <f t="shared" si="5"/>
        <v>8</v>
      </c>
      <c r="J28" s="499">
        <f t="shared" si="5"/>
        <v>9</v>
      </c>
      <c r="K28" s="499">
        <f t="shared" si="5"/>
        <v>10</v>
      </c>
      <c r="L28" s="499">
        <f t="shared" si="5"/>
        <v>11</v>
      </c>
      <c r="M28" s="499">
        <f t="shared" si="5"/>
        <v>12</v>
      </c>
      <c r="N28" s="499">
        <f t="shared" si="5"/>
        <v>13</v>
      </c>
      <c r="O28" s="499">
        <f t="shared" si="5"/>
        <v>14</v>
      </c>
      <c r="P28" s="499">
        <f t="shared" si="5"/>
        <v>15</v>
      </c>
      <c r="Q28" s="499">
        <f t="shared" si="5"/>
        <v>16</v>
      </c>
      <c r="R28" s="499">
        <f t="shared" si="5"/>
        <v>17</v>
      </c>
      <c r="S28" s="499">
        <f t="shared" si="5"/>
        <v>18</v>
      </c>
      <c r="T28" s="499">
        <f t="shared" si="5"/>
        <v>19</v>
      </c>
      <c r="U28" s="499">
        <f t="shared" si="5"/>
        <v>20</v>
      </c>
      <c r="V28" s="499">
        <f t="shared" si="5"/>
        <v>21</v>
      </c>
    </row>
    <row r="29" spans="1:24" s="317" customFormat="1" ht="11.4" customHeight="1">
      <c r="A29" s="403"/>
      <c r="B29" s="903" t="s">
        <v>605</v>
      </c>
      <c r="C29" s="329">
        <v>473.09</v>
      </c>
      <c r="D29" s="330">
        <f>+C29/24</f>
        <v>19.712083333333332</v>
      </c>
      <c r="E29" s="729">
        <f ca="1">307.2/20*G29</f>
        <v>276.47999999999973</v>
      </c>
      <c r="F29" s="748">
        <f t="shared" ref="F29:F43" ca="1" si="6">E29+WindForce*COS(RADIANS(EWSolarPowerAngle))</f>
        <v>2290.6635051176963</v>
      </c>
      <c r="G29" s="906">
        <f t="shared" ref="G29:G43" ca="1" si="7">MainAxisLen</f>
        <v>17.999999999999982</v>
      </c>
      <c r="H29" s="722">
        <f>I29-J29*2</f>
        <v>9.76</v>
      </c>
      <c r="I29" s="854">
        <v>10</v>
      </c>
      <c r="J29" s="720">
        <v>0.12</v>
      </c>
      <c r="K29" s="725">
        <f>+(PI()*(I29^4-H29^4))/64</f>
        <v>45.454410271272337</v>
      </c>
      <c r="L29" s="724">
        <f t="shared" ref="L29:L43" ca="1" si="8">+F29*(G29*12)*BMomOfInertiaMaxFactor/1000</f>
        <v>-41.231943092118492</v>
      </c>
      <c r="M29" s="743">
        <f t="shared" ref="M29:M43" ca="1" si="9">+ABS(L29*1000)/$E$20</f>
        <v>0.76782016931319352</v>
      </c>
      <c r="N29" s="723">
        <f t="shared" ref="N29:N43" ca="1" si="10">+M29*BSaftyFactor</f>
        <v>3.0712806772527741</v>
      </c>
      <c r="O29" s="723">
        <f>K29/(I29/2)</f>
        <v>9.0908820542544682</v>
      </c>
      <c r="P29" s="720">
        <f ca="1">+(F29*(G29*12)^3)/(K29*($C$20*1000000)*48)</f>
        <v>0.35866026846312937</v>
      </c>
      <c r="Q29" s="720">
        <f t="shared" ref="Q29:Q43" ca="1" si="11">+P29/1.6</f>
        <v>0.22416266778945584</v>
      </c>
      <c r="R29" s="720">
        <f t="shared" ref="R29:R43" ca="1" si="12">+P29*0.4375</f>
        <v>0.15691386745261909</v>
      </c>
      <c r="S29" s="720">
        <f t="shared" ref="S29:S43" ca="1" si="13">+P29*0.259459</f>
        <v>9.3057634595175076E-2</v>
      </c>
      <c r="T29" s="720">
        <f t="shared" ref="T29:T43" ca="1" si="14">+P29*0.25</f>
        <v>8.9665067115782343E-2</v>
      </c>
      <c r="U29" s="720">
        <f t="shared" ref="U29:U43" ca="1" si="15">+P29*0.125</f>
        <v>4.4832533557891172E-2</v>
      </c>
      <c r="V29" s="720">
        <f t="shared" ref="V29:V43" ca="1" si="16">+G29*12/360</f>
        <v>0.59999999999999942</v>
      </c>
      <c r="W29" s="337"/>
      <c r="X29" s="337"/>
    </row>
    <row r="30" spans="1:24" s="317" customFormat="1" ht="11.4" customHeight="1">
      <c r="A30" s="403"/>
      <c r="B30" s="903" t="s">
        <v>606</v>
      </c>
      <c r="C30" s="329">
        <v>254.34</v>
      </c>
      <c r="D30" s="330">
        <f>+C30/20</f>
        <v>12.717000000000001</v>
      </c>
      <c r="E30" s="729">
        <f ca="1">210.2/20*G30</f>
        <v>189.17999999999981</v>
      </c>
      <c r="F30" s="748">
        <f t="shared" ca="1" si="6"/>
        <v>2203.3635051176961</v>
      </c>
      <c r="G30" s="906">
        <f t="shared" ca="1" si="7"/>
        <v>17.999999999999982</v>
      </c>
      <c r="H30" s="722">
        <f>I30-J30*2</f>
        <v>7.76</v>
      </c>
      <c r="I30" s="854">
        <v>8</v>
      </c>
      <c r="J30" s="720">
        <v>0.12</v>
      </c>
      <c r="K30" s="725">
        <f>+(PI()*(I30^4-H30^4))/64</f>
        <v>23.063248986747443</v>
      </c>
      <c r="L30" s="724">
        <f t="shared" ca="1" si="8"/>
        <v>-39.660543092118488</v>
      </c>
      <c r="M30" s="743">
        <f t="shared" ca="1" si="9"/>
        <v>0.73855759948079125</v>
      </c>
      <c r="N30" s="723">
        <f t="shared" ca="1" si="10"/>
        <v>2.954230397923165</v>
      </c>
      <c r="O30" s="723">
        <f>K30/(I30/2)</f>
        <v>5.7658122466868607</v>
      </c>
      <c r="P30" s="720">
        <f ca="1">+(F30*(G30*12)^3)/(K30*($C$20*1000000)*48)</f>
        <v>0.67992915569170442</v>
      </c>
      <c r="Q30" s="720">
        <f t="shared" ca="1" si="11"/>
        <v>0.42495572230731526</v>
      </c>
      <c r="R30" s="720">
        <f t="shared" ca="1" si="12"/>
        <v>0.29746900561512069</v>
      </c>
      <c r="S30" s="720">
        <f t="shared" ca="1" si="13"/>
        <v>0.17641373880661393</v>
      </c>
      <c r="T30" s="720">
        <f t="shared" ca="1" si="14"/>
        <v>0.16998228892292611</v>
      </c>
      <c r="U30" s="720">
        <f t="shared" ca="1" si="15"/>
        <v>8.4991144461463053E-2</v>
      </c>
      <c r="V30" s="720">
        <f t="shared" ca="1" si="16"/>
        <v>0.59999999999999942</v>
      </c>
      <c r="W30" s="337"/>
      <c r="X30" s="337"/>
    </row>
    <row r="31" spans="1:24" s="317" customFormat="1" ht="11.4" customHeight="1">
      <c r="B31" s="903" t="s">
        <v>402</v>
      </c>
      <c r="C31" s="329">
        <v>288.60000000000002</v>
      </c>
      <c r="D31" s="330">
        <f>+C31/24</f>
        <v>12.025</v>
      </c>
      <c r="E31" s="729">
        <f ca="1">349.2/24*G31</f>
        <v>261.89999999999975</v>
      </c>
      <c r="F31" s="748">
        <f t="shared" ca="1" si="6"/>
        <v>2276.0835051176964</v>
      </c>
      <c r="G31" s="906">
        <f t="shared" ca="1" si="7"/>
        <v>17.999999999999982</v>
      </c>
      <c r="H31" s="720">
        <v>6</v>
      </c>
      <c r="I31" s="720">
        <v>6</v>
      </c>
      <c r="J31" s="720">
        <f>3/16</f>
        <v>0.1875</v>
      </c>
      <c r="K31" s="725">
        <f>+(H31*I31^3-(H31-J31*2)*(I31-J31*2)^3)/12</f>
        <v>24.57257080078125</v>
      </c>
      <c r="L31" s="724">
        <f t="shared" ca="1" si="8"/>
        <v>-40.969503092118487</v>
      </c>
      <c r="M31" s="743">
        <f t="shared" ca="1" si="9"/>
        <v>0.76293301847520467</v>
      </c>
      <c r="N31" s="723">
        <f t="shared" ca="1" si="10"/>
        <v>3.0517320739008187</v>
      </c>
      <c r="O31" s="723">
        <f t="shared" ref="O31:O43" si="17">K31/(I31/2)</f>
        <v>8.19085693359375</v>
      </c>
      <c r="P31" s="720">
        <f ca="1">+(F31*(G31*12)^3)/(K31*($C$20*1000000)*48)</f>
        <v>0.65922792592357071</v>
      </c>
      <c r="Q31" s="720">
        <f t="shared" ca="1" si="11"/>
        <v>0.4120174537022317</v>
      </c>
      <c r="R31" s="720">
        <f t="shared" ca="1" si="12"/>
        <v>0.28841221759156221</v>
      </c>
      <c r="S31" s="720">
        <f t="shared" ca="1" si="13"/>
        <v>0.17104261843220372</v>
      </c>
      <c r="T31" s="720">
        <f t="shared" ca="1" si="14"/>
        <v>0.16480698148089268</v>
      </c>
      <c r="U31" s="720">
        <f t="shared" ca="1" si="15"/>
        <v>8.2403490740446339E-2</v>
      </c>
      <c r="V31" s="720">
        <f t="shared" ca="1" si="16"/>
        <v>0.59999999999999942</v>
      </c>
      <c r="W31" s="337"/>
      <c r="X31" s="337"/>
    </row>
    <row r="32" spans="1:24" s="317" customFormat="1" ht="11.4" customHeight="1">
      <c r="B32" s="902" t="s">
        <v>399</v>
      </c>
      <c r="C32" s="329">
        <v>412.47</v>
      </c>
      <c r="D32" s="330">
        <f>+C32/24</f>
        <v>17.186250000000001</v>
      </c>
      <c r="E32" s="729">
        <f ca="1">136.824/24*G32</f>
        <v>102.61799999999991</v>
      </c>
      <c r="F32" s="748">
        <f t="shared" ca="1" si="6"/>
        <v>2116.8015051176963</v>
      </c>
      <c r="G32" s="906">
        <f t="shared" ca="1" si="7"/>
        <v>17.999999999999982</v>
      </c>
      <c r="H32" s="720">
        <v>4</v>
      </c>
      <c r="I32" s="720">
        <v>6</v>
      </c>
      <c r="J32" s="720">
        <f>1/4</f>
        <v>0.25</v>
      </c>
      <c r="K32" s="725">
        <f>+(H32*I32^3-(H32-J32*2)*(I32-J32*2)^3)/12</f>
        <v>23.473958333333332</v>
      </c>
      <c r="L32" s="724">
        <f t="shared" ca="1" si="8"/>
        <v>-38.102427092118496</v>
      </c>
      <c r="M32" s="743">
        <f t="shared" ca="1" si="9"/>
        <v>0.70954240395006507</v>
      </c>
      <c r="N32" s="723">
        <f t="shared" ca="1" si="10"/>
        <v>2.8381696158002603</v>
      </c>
      <c r="O32" s="723">
        <f t="shared" si="17"/>
        <v>7.8246527777777777</v>
      </c>
      <c r="P32" s="720">
        <f ca="1">+(F32*(G32*12)^3)/(K32*($C$19*1000000)*48)</f>
        <v>1.893275532364634</v>
      </c>
      <c r="Q32" s="720">
        <f t="shared" ca="1" si="11"/>
        <v>1.1832972077278963</v>
      </c>
      <c r="R32" s="720">
        <f t="shared" ca="1" si="12"/>
        <v>0.8283080454095274</v>
      </c>
      <c r="S32" s="720">
        <f t="shared" ca="1" si="13"/>
        <v>0.49122737635179553</v>
      </c>
      <c r="T32" s="720">
        <f t="shared" ca="1" si="14"/>
        <v>0.47331888309115849</v>
      </c>
      <c r="U32" s="720">
        <f t="shared" ca="1" si="15"/>
        <v>0.23665944154557925</v>
      </c>
      <c r="V32" s="720">
        <f t="shared" ca="1" si="16"/>
        <v>0.59999999999999942</v>
      </c>
      <c r="W32" s="337"/>
    </row>
    <row r="33" spans="1:24" s="317" customFormat="1" ht="11.4" customHeight="1">
      <c r="B33" s="903" t="s">
        <v>401</v>
      </c>
      <c r="C33" s="329">
        <v>238.98</v>
      </c>
      <c r="D33" s="330">
        <f>+C33/24</f>
        <v>9.9574999999999996</v>
      </c>
      <c r="E33" s="729">
        <f ca="1">287.76/24*G33</f>
        <v>215.81999999999979</v>
      </c>
      <c r="F33" s="748">
        <f t="shared" ca="1" si="6"/>
        <v>2230.0035051176965</v>
      </c>
      <c r="G33" s="906">
        <f t="shared" ca="1" si="7"/>
        <v>17.999999999999982</v>
      </c>
      <c r="H33" s="720">
        <v>4</v>
      </c>
      <c r="I33" s="720">
        <v>6</v>
      </c>
      <c r="J33" s="720">
        <f>3/16</f>
        <v>0.1875</v>
      </c>
      <c r="K33" s="725">
        <f>+(H33*I33^3-(H33-J33*2)*(I33-J33*2)^3)/12</f>
        <v>18.23565673828125</v>
      </c>
      <c r="L33" s="724">
        <f t="shared" ca="1" si="8"/>
        <v>-40.140063092118496</v>
      </c>
      <c r="M33" s="743">
        <f t="shared" ca="1" si="9"/>
        <v>0.7474872084193388</v>
      </c>
      <c r="N33" s="723">
        <f t="shared" ca="1" si="10"/>
        <v>2.9899488336773552</v>
      </c>
      <c r="O33" s="723">
        <f t="shared" si="17"/>
        <v>6.07855224609375</v>
      </c>
      <c r="P33" s="720">
        <f ca="1">+(F33*(G33*12)^3)/(K33*($C$20*1000000)*48)</f>
        <v>0.87032635952589466</v>
      </c>
      <c r="Q33" s="720">
        <f t="shared" ca="1" si="11"/>
        <v>0.54395397470368412</v>
      </c>
      <c r="R33" s="720">
        <f t="shared" ca="1" si="12"/>
        <v>0.3807677822925789</v>
      </c>
      <c r="S33" s="720">
        <f t="shared" ca="1" si="13"/>
        <v>0.2258140069162291</v>
      </c>
      <c r="T33" s="720">
        <f t="shared" ca="1" si="14"/>
        <v>0.21758158988147366</v>
      </c>
      <c r="U33" s="720">
        <f t="shared" ca="1" si="15"/>
        <v>0.10879079494073683</v>
      </c>
      <c r="V33" s="720">
        <f t="shared" ca="1" si="16"/>
        <v>0.59999999999999942</v>
      </c>
      <c r="W33" s="337"/>
      <c r="X33" s="337"/>
    </row>
    <row r="34" spans="1:24" s="317" customFormat="1" ht="11.4" customHeight="1">
      <c r="B34" s="903" t="s">
        <v>607</v>
      </c>
      <c r="C34" s="329">
        <v>157.38</v>
      </c>
      <c r="D34" s="330">
        <f>+C34/20</f>
        <v>7.8689999999999998</v>
      </c>
      <c r="E34" s="729">
        <f ca="1">150.6/20*G34</f>
        <v>135.53999999999985</v>
      </c>
      <c r="F34" s="748">
        <f t="shared" ca="1" si="6"/>
        <v>2149.7235051176963</v>
      </c>
      <c r="G34" s="906">
        <f t="shared" ca="1" si="7"/>
        <v>17.999999999999982</v>
      </c>
      <c r="H34" s="722">
        <f>I34-J34*2</f>
        <v>5.76</v>
      </c>
      <c r="I34" s="854">
        <f>6</f>
        <v>6</v>
      </c>
      <c r="J34" s="720">
        <v>0.12</v>
      </c>
      <c r="K34" s="725">
        <f>+(PI()*(I34^4-H34^4))/64</f>
        <v>9.5841577419261288</v>
      </c>
      <c r="L34" s="724">
        <f t="shared" ca="1" si="8"/>
        <v>-38.69502309211849</v>
      </c>
      <c r="M34" s="743">
        <f t="shared" ca="1" si="9"/>
        <v>0.72057771121263481</v>
      </c>
      <c r="N34" s="723">
        <f t="shared" ca="1" si="10"/>
        <v>2.8823108448505392</v>
      </c>
      <c r="O34" s="723">
        <f t="shared" si="17"/>
        <v>3.1947192473087096</v>
      </c>
      <c r="P34" s="720">
        <f ca="1">+(F34*(G34*12)^3)/(K34*($C$20*1000000)*48)</f>
        <v>1.5963446172203173</v>
      </c>
      <c r="Q34" s="720">
        <f t="shared" ca="1" si="11"/>
        <v>0.99771538576269825</v>
      </c>
      <c r="R34" s="720">
        <f t="shared" ca="1" si="12"/>
        <v>0.69840077003388878</v>
      </c>
      <c r="S34" s="720">
        <f t="shared" ca="1" si="13"/>
        <v>0.4141859780393663</v>
      </c>
      <c r="T34" s="720">
        <f t="shared" ca="1" si="14"/>
        <v>0.39908615430507932</v>
      </c>
      <c r="U34" s="720">
        <f t="shared" ca="1" si="15"/>
        <v>0.19954307715253966</v>
      </c>
      <c r="V34" s="720">
        <f t="shared" ca="1" si="16"/>
        <v>0.59999999999999942</v>
      </c>
      <c r="W34" s="337"/>
    </row>
    <row r="35" spans="1:24" s="317" customFormat="1" ht="11.4" customHeight="1">
      <c r="A35" s="403"/>
      <c r="B35" s="902" t="s">
        <v>396</v>
      </c>
      <c r="C35" s="329">
        <v>326</v>
      </c>
      <c r="D35" s="330">
        <f t="shared" ref="D35:D43" si="18">+C35/24</f>
        <v>13.583333333333334</v>
      </c>
      <c r="E35" s="729">
        <f ca="1">108/24*G35</f>
        <v>80.999999999999915</v>
      </c>
      <c r="F35" s="748">
        <f t="shared" ca="1" si="6"/>
        <v>2095.1835051176963</v>
      </c>
      <c r="G35" s="906">
        <f t="shared" ca="1" si="7"/>
        <v>17.999999999999982</v>
      </c>
      <c r="H35" s="720">
        <v>4</v>
      </c>
      <c r="I35" s="720">
        <v>4</v>
      </c>
      <c r="J35" s="720">
        <f>1/4</f>
        <v>0.25</v>
      </c>
      <c r="K35" s="725">
        <f t="shared" ref="K35:K43" si="19">+(H35*I35^3-(H35-J35*2)*(I35-J35*2)^3)/12</f>
        <v>8.828125</v>
      </c>
      <c r="L35" s="724">
        <f t="shared" ca="1" si="8"/>
        <v>-37.713303092118494</v>
      </c>
      <c r="M35" s="743">
        <f t="shared" ca="1" si="9"/>
        <v>0.70229614696682474</v>
      </c>
      <c r="N35" s="723">
        <f t="shared" ca="1" si="10"/>
        <v>2.809184587867299</v>
      </c>
      <c r="O35" s="723">
        <f t="shared" si="17"/>
        <v>4.4140625</v>
      </c>
      <c r="P35" s="720">
        <f ca="1">+(F35*(G35*12)^3)/(K35*($C$19*1000000)*48)</f>
        <v>4.982801753106906</v>
      </c>
      <c r="Q35" s="720">
        <f t="shared" ca="1" si="11"/>
        <v>3.1142510956918161</v>
      </c>
      <c r="R35" s="720">
        <f t="shared" ca="1" si="12"/>
        <v>2.1799757669842714</v>
      </c>
      <c r="S35" s="720">
        <f t="shared" ca="1" si="13"/>
        <v>1.2928327600593648</v>
      </c>
      <c r="T35" s="720">
        <f t="shared" ca="1" si="14"/>
        <v>1.2457004382767265</v>
      </c>
      <c r="U35" s="720">
        <f t="shared" ca="1" si="15"/>
        <v>0.62285021913836325</v>
      </c>
      <c r="V35" s="720">
        <f t="shared" ca="1" si="16"/>
        <v>0.59999999999999942</v>
      </c>
      <c r="W35" s="337"/>
    </row>
    <row r="36" spans="1:24" s="317" customFormat="1" ht="11.4" customHeight="1">
      <c r="A36" s="404" t="s">
        <v>435</v>
      </c>
      <c r="B36" s="904" t="s">
        <v>400</v>
      </c>
      <c r="C36" s="351">
        <v>161.22999999999999</v>
      </c>
      <c r="D36" s="352">
        <f t="shared" si="18"/>
        <v>6.7179166666666665</v>
      </c>
      <c r="E36" s="730">
        <f ca="1">191.52/24*G36</f>
        <v>143.63999999999987</v>
      </c>
      <c r="F36" s="905">
        <f t="shared" ca="1" si="6"/>
        <v>2157.8235051176962</v>
      </c>
      <c r="G36" s="907">
        <f t="shared" ca="1" si="7"/>
        <v>17.999999999999982</v>
      </c>
      <c r="H36" s="721">
        <v>4</v>
      </c>
      <c r="I36" s="721">
        <v>6</v>
      </c>
      <c r="J36" s="721">
        <f>0.125</f>
        <v>0.125</v>
      </c>
      <c r="K36" s="726">
        <f t="shared" si="19"/>
        <v>12.5908203125</v>
      </c>
      <c r="L36" s="724">
        <f t="shared" ca="1" si="8"/>
        <v>-38.840823092118491</v>
      </c>
      <c r="M36" s="743">
        <f t="shared" ca="1" si="9"/>
        <v>0.72329279501151744</v>
      </c>
      <c r="N36" s="723">
        <f t="shared" ca="1" si="10"/>
        <v>2.8931711800460698</v>
      </c>
      <c r="O36" s="723">
        <f t="shared" si="17"/>
        <v>4.196940104166667</v>
      </c>
      <c r="P36" s="720">
        <f ca="1">+(F36*(G36*12)^3)/(K36*($C$20*1000000)*48)</f>
        <v>1.2197192937425887</v>
      </c>
      <c r="Q36" s="890">
        <f t="shared" ca="1" si="11"/>
        <v>0.76232455858911785</v>
      </c>
      <c r="R36" s="720">
        <f t="shared" ca="1" si="12"/>
        <v>0.53362719101238254</v>
      </c>
      <c r="S36" s="891">
        <f t="shared" ca="1" si="13"/>
        <v>0.31646714823515831</v>
      </c>
      <c r="T36" s="720">
        <f t="shared" ca="1" si="14"/>
        <v>0.30492982343564717</v>
      </c>
      <c r="U36" s="891">
        <f t="shared" ca="1" si="15"/>
        <v>0.15246491171782359</v>
      </c>
      <c r="V36" s="721">
        <f t="shared" ca="1" si="16"/>
        <v>0.59999999999999942</v>
      </c>
      <c r="W36" s="337"/>
      <c r="X36" s="337"/>
    </row>
    <row r="37" spans="1:24" s="317" customFormat="1" ht="11.4" customHeight="1">
      <c r="B37" s="904" t="s">
        <v>478</v>
      </c>
      <c r="C37" s="351">
        <v>148.63</v>
      </c>
      <c r="D37" s="352">
        <f t="shared" si="18"/>
        <v>6.1929166666666662</v>
      </c>
      <c r="E37" s="730">
        <f ca="1">175.92/24*G37</f>
        <v>131.93999999999986</v>
      </c>
      <c r="F37" s="905">
        <f t="shared" ca="1" si="6"/>
        <v>2146.1235051176964</v>
      </c>
      <c r="G37" s="907">
        <f t="shared" ca="1" si="7"/>
        <v>17.999999999999982</v>
      </c>
      <c r="H37" s="721">
        <v>3</v>
      </c>
      <c r="I37" s="721">
        <v>6</v>
      </c>
      <c r="J37" s="721">
        <f>0.125</f>
        <v>0.125</v>
      </c>
      <c r="K37" s="726">
        <f t="shared" si="19"/>
        <v>10.433268229166666</v>
      </c>
      <c r="L37" s="724">
        <f t="shared" ca="1" si="8"/>
        <v>-38.630223092118491</v>
      </c>
      <c r="M37" s="743">
        <f t="shared" ca="1" si="9"/>
        <v>0.7193710073020203</v>
      </c>
      <c r="N37" s="723">
        <f t="shared" ca="1" si="10"/>
        <v>2.8774840292080812</v>
      </c>
      <c r="O37" s="723">
        <f t="shared" si="17"/>
        <v>3.4777560763888888</v>
      </c>
      <c r="P37" s="720">
        <f ca="1">+(F37*(G37*12)^3)/(K37*($C$20*1000000)*48)</f>
        <v>1.4639705435922867</v>
      </c>
      <c r="Q37" s="721">
        <f t="shared" ca="1" si="11"/>
        <v>0.91498158974517918</v>
      </c>
      <c r="R37" s="721">
        <f t="shared" ca="1" si="12"/>
        <v>0.6404871128216254</v>
      </c>
      <c r="S37" s="720">
        <f t="shared" ca="1" si="13"/>
        <v>0.37984033326991112</v>
      </c>
      <c r="T37" s="720">
        <f t="shared" ca="1" si="14"/>
        <v>0.36599263589807168</v>
      </c>
      <c r="U37" s="720">
        <f t="shared" ca="1" si="15"/>
        <v>0.18299631794903584</v>
      </c>
      <c r="V37" s="721">
        <f t="shared" ca="1" si="16"/>
        <v>0.59999999999999942</v>
      </c>
      <c r="W37" s="337"/>
      <c r="X37" s="337"/>
    </row>
    <row r="38" spans="1:24" s="317" customFormat="1" ht="11.4" customHeight="1">
      <c r="A38" s="403"/>
      <c r="B38" s="902" t="s">
        <v>397</v>
      </c>
      <c r="C38" s="329">
        <v>191.07</v>
      </c>
      <c r="D38" s="330">
        <f t="shared" si="18"/>
        <v>7.9612499999999997</v>
      </c>
      <c r="E38" s="729">
        <f ca="1">63.024/24*G38</f>
        <v>47.267999999999951</v>
      </c>
      <c r="F38" s="748">
        <f t="shared" ca="1" si="6"/>
        <v>2061.4515051176963</v>
      </c>
      <c r="G38" s="906">
        <f t="shared" ca="1" si="7"/>
        <v>17.999999999999982</v>
      </c>
      <c r="H38" s="720">
        <v>3</v>
      </c>
      <c r="I38" s="720">
        <v>6</v>
      </c>
      <c r="J38" s="720">
        <f>1/8</f>
        <v>0.125</v>
      </c>
      <c r="K38" s="725">
        <f t="shared" si="19"/>
        <v>10.433268229166666</v>
      </c>
      <c r="L38" s="724">
        <f t="shared" ca="1" si="8"/>
        <v>-37.106127092118491</v>
      </c>
      <c r="M38" s="743">
        <f t="shared" ca="1" si="9"/>
        <v>0.69098933132436668</v>
      </c>
      <c r="N38" s="723">
        <f t="shared" ca="1" si="10"/>
        <v>2.7639573252974667</v>
      </c>
      <c r="O38" s="723">
        <f t="shared" si="17"/>
        <v>3.4777560763888888</v>
      </c>
      <c r="P38" s="720">
        <f ca="1">+(F38*(G38*12)^3)/(K38*($C$19*1000000)*48)</f>
        <v>4.1483249246150988</v>
      </c>
      <c r="Q38" s="720">
        <f t="shared" ca="1" si="11"/>
        <v>2.5927030778844364</v>
      </c>
      <c r="R38" s="720">
        <f t="shared" ca="1" si="12"/>
        <v>1.8148921545191057</v>
      </c>
      <c r="S38" s="720">
        <f t="shared" ca="1" si="13"/>
        <v>1.076320236615709</v>
      </c>
      <c r="T38" s="720">
        <f t="shared" ca="1" si="14"/>
        <v>1.0370812311537747</v>
      </c>
      <c r="U38" s="720">
        <f t="shared" ca="1" si="15"/>
        <v>0.51854061557688735</v>
      </c>
      <c r="V38" s="720">
        <f t="shared" ca="1" si="16"/>
        <v>0.59999999999999942</v>
      </c>
      <c r="W38" s="337"/>
    </row>
    <row r="39" spans="1:24" s="317" customFormat="1" ht="11.4" customHeight="1">
      <c r="B39" s="903" t="s">
        <v>398</v>
      </c>
      <c r="C39" s="329">
        <v>139.63</v>
      </c>
      <c r="D39" s="330">
        <f t="shared" si="18"/>
        <v>5.8179166666666662</v>
      </c>
      <c r="E39" s="729">
        <f ca="1">154.8/24*G39</f>
        <v>116.09999999999989</v>
      </c>
      <c r="F39" s="748">
        <f t="shared" ca="1" si="6"/>
        <v>2130.2835051176962</v>
      </c>
      <c r="G39" s="906">
        <f t="shared" ca="1" si="7"/>
        <v>17.999999999999982</v>
      </c>
      <c r="H39" s="720">
        <v>4</v>
      </c>
      <c r="I39" s="720">
        <v>4</v>
      </c>
      <c r="J39" s="720">
        <f>1/8</f>
        <v>0.125</v>
      </c>
      <c r="K39" s="725">
        <f t="shared" si="19"/>
        <v>4.853841145833333</v>
      </c>
      <c r="L39" s="724">
        <f t="shared" ca="1" si="8"/>
        <v>-38.345103092118485</v>
      </c>
      <c r="M39" s="743">
        <f t="shared" ca="1" si="9"/>
        <v>0.71406151009531638</v>
      </c>
      <c r="N39" s="723">
        <f t="shared" ca="1" si="10"/>
        <v>2.8562460403812655</v>
      </c>
      <c r="O39" s="723">
        <f t="shared" si="17"/>
        <v>2.4269205729166665</v>
      </c>
      <c r="P39" s="720">
        <f ca="1">+(F39*(G39*12)^3)/(K39*($C$20*1000000)*48)</f>
        <v>3.1235599511610541</v>
      </c>
      <c r="Q39" s="720">
        <f t="shared" ca="1" si="11"/>
        <v>1.9522249694756588</v>
      </c>
      <c r="R39" s="720">
        <f t="shared" ca="1" si="12"/>
        <v>1.3665574786329611</v>
      </c>
      <c r="S39" s="720">
        <f t="shared" ca="1" si="13"/>
        <v>0.81043574136829588</v>
      </c>
      <c r="T39" s="720">
        <f t="shared" ca="1" si="14"/>
        <v>0.78088998779026353</v>
      </c>
      <c r="U39" s="720">
        <f t="shared" ca="1" si="15"/>
        <v>0.39044499389513176</v>
      </c>
      <c r="V39" s="720">
        <f t="shared" ca="1" si="16"/>
        <v>0.59999999999999942</v>
      </c>
      <c r="W39" s="337"/>
    </row>
    <row r="40" spans="1:24" s="317" customFormat="1" ht="11.4" customHeight="1">
      <c r="A40" s="403"/>
      <c r="B40" s="902" t="s">
        <v>395</v>
      </c>
      <c r="C40" s="329">
        <v>168.47</v>
      </c>
      <c r="D40" s="330">
        <f t="shared" si="18"/>
        <v>7.0195833333333333</v>
      </c>
      <c r="E40" s="729">
        <f ca="1">55.824/24*G40</f>
        <v>41.867999999999959</v>
      </c>
      <c r="F40" s="748">
        <f t="shared" ca="1" si="6"/>
        <v>2056.0515051176967</v>
      </c>
      <c r="G40" s="906">
        <f t="shared" ca="1" si="7"/>
        <v>17.999999999999982</v>
      </c>
      <c r="H40" s="720">
        <v>4</v>
      </c>
      <c r="I40" s="720">
        <v>4</v>
      </c>
      <c r="J40" s="720">
        <f>1/8</f>
        <v>0.125</v>
      </c>
      <c r="K40" s="725">
        <f t="shared" si="19"/>
        <v>4.853841145833333</v>
      </c>
      <c r="L40" s="724">
        <f t="shared" ca="1" si="8"/>
        <v>-37.008927092118505</v>
      </c>
      <c r="M40" s="743">
        <f t="shared" ca="1" si="9"/>
        <v>0.68917927545844504</v>
      </c>
      <c r="N40" s="723">
        <f t="shared" ca="1" si="10"/>
        <v>2.7567171018337802</v>
      </c>
      <c r="O40" s="723">
        <f t="shared" si="17"/>
        <v>2.4269205729166665</v>
      </c>
      <c r="P40" s="720">
        <f ca="1">+(F40*(G40*12)^3)/(K40*($C$19*1000000)*48)</f>
        <v>8.8934127144442723</v>
      </c>
      <c r="Q40" s="720">
        <f t="shared" ca="1" si="11"/>
        <v>5.5583829465276695</v>
      </c>
      <c r="R40" s="720">
        <f t="shared" ca="1" si="12"/>
        <v>3.890868062569369</v>
      </c>
      <c r="S40" s="720">
        <f t="shared" ca="1" si="13"/>
        <v>2.3074759694769962</v>
      </c>
      <c r="T40" s="720">
        <f t="shared" ca="1" si="14"/>
        <v>2.2233531786110681</v>
      </c>
      <c r="U40" s="720">
        <f t="shared" ca="1" si="15"/>
        <v>1.111676589305534</v>
      </c>
      <c r="V40" s="720">
        <f t="shared" ca="1" si="16"/>
        <v>0.59999999999999942</v>
      </c>
      <c r="W40" s="337"/>
    </row>
    <row r="41" spans="1:24" s="317" customFormat="1" ht="11.4" customHeight="1">
      <c r="A41" s="403"/>
      <c r="B41" s="902" t="s">
        <v>394</v>
      </c>
      <c r="C41" s="329">
        <v>238.35</v>
      </c>
      <c r="D41" s="330">
        <f t="shared" si="18"/>
        <v>9.9312500000000004</v>
      </c>
      <c r="E41" s="729">
        <f ca="1">78.81/24*G41</f>
        <v>59.107499999999938</v>
      </c>
      <c r="F41" s="748">
        <f t="shared" ca="1" si="6"/>
        <v>2073.2910051176964</v>
      </c>
      <c r="G41" s="906">
        <f t="shared" ca="1" si="7"/>
        <v>17.999999999999982</v>
      </c>
      <c r="H41" s="720">
        <v>3</v>
      </c>
      <c r="I41" s="720">
        <v>3</v>
      </c>
      <c r="J41" s="720">
        <f>1/4</f>
        <v>0.25</v>
      </c>
      <c r="K41" s="725">
        <f t="shared" si="19"/>
        <v>3.4947916666666665</v>
      </c>
      <c r="L41" s="724">
        <f t="shared" ca="1" si="8"/>
        <v>-37.319238092118496</v>
      </c>
      <c r="M41" s="743">
        <f t="shared" ca="1" si="9"/>
        <v>0.69495787881040028</v>
      </c>
      <c r="N41" s="723">
        <f t="shared" ca="1" si="10"/>
        <v>2.7798315152416011</v>
      </c>
      <c r="O41" s="723">
        <f t="shared" si="17"/>
        <v>2.3298611111111112</v>
      </c>
      <c r="P41" s="720">
        <f ca="1">+(F41*(G41*12)^3)/(K41*($C$19*1000000)*48)</f>
        <v>12.455437537472738</v>
      </c>
      <c r="Q41" s="720">
        <f t="shared" ca="1" si="11"/>
        <v>7.7846484609204607</v>
      </c>
      <c r="R41" s="720">
        <f t="shared" ca="1" si="12"/>
        <v>5.4492539226443233</v>
      </c>
      <c r="S41" s="720">
        <f t="shared" ca="1" si="13"/>
        <v>3.2316753680351393</v>
      </c>
      <c r="T41" s="720">
        <f t="shared" ca="1" si="14"/>
        <v>3.1138593843681845</v>
      </c>
      <c r="U41" s="720">
        <f t="shared" ca="1" si="15"/>
        <v>1.5569296921840923</v>
      </c>
      <c r="V41" s="720">
        <f t="shared" ca="1" si="16"/>
        <v>0.59999999999999942</v>
      </c>
      <c r="W41" s="337"/>
    </row>
    <row r="42" spans="1:24" s="317" customFormat="1" ht="11.4" customHeight="1">
      <c r="A42" s="403"/>
      <c r="B42" s="902" t="s">
        <v>393</v>
      </c>
      <c r="C42" s="329">
        <v>183.44</v>
      </c>
      <c r="D42" s="330">
        <f t="shared" si="18"/>
        <v>7.6433333333333335</v>
      </c>
      <c r="E42" s="729">
        <f ca="1">60.48/24*G42</f>
        <v>45.359999999999957</v>
      </c>
      <c r="F42" s="748">
        <f t="shared" ca="1" si="6"/>
        <v>2059.5435051176964</v>
      </c>
      <c r="G42" s="906">
        <f t="shared" ca="1" si="7"/>
        <v>17.999999999999982</v>
      </c>
      <c r="H42" s="720">
        <v>3</v>
      </c>
      <c r="I42" s="720">
        <v>3</v>
      </c>
      <c r="J42" s="720">
        <f>3/16</f>
        <v>0.1875</v>
      </c>
      <c r="K42" s="725">
        <f t="shared" si="19"/>
        <v>2.79327392578125</v>
      </c>
      <c r="L42" s="724">
        <f t="shared" ca="1" si="8"/>
        <v>-37.071783092118494</v>
      </c>
      <c r="M42" s="743">
        <f t="shared" ca="1" si="9"/>
        <v>0.69034977825174104</v>
      </c>
      <c r="N42" s="723">
        <f t="shared" ca="1" si="10"/>
        <v>2.7613991130069642</v>
      </c>
      <c r="O42" s="723">
        <f t="shared" si="17"/>
        <v>1.8621826171875</v>
      </c>
      <c r="P42" s="720">
        <f ca="1">+(F42*(G42*12)^3)/(K42*($C$19*1000000)*48)</f>
        <v>15.480231780903116</v>
      </c>
      <c r="Q42" s="720">
        <f t="shared" ca="1" si="11"/>
        <v>9.6751448630644479</v>
      </c>
      <c r="R42" s="720">
        <f t="shared" ca="1" si="12"/>
        <v>6.7726014041451137</v>
      </c>
      <c r="S42" s="720">
        <f t="shared" ca="1" si="13"/>
        <v>4.0164854576413411</v>
      </c>
      <c r="T42" s="720">
        <f t="shared" ca="1" si="14"/>
        <v>3.8700579452257791</v>
      </c>
      <c r="U42" s="720">
        <f t="shared" ca="1" si="15"/>
        <v>1.9350289726128895</v>
      </c>
      <c r="V42" s="720">
        <f t="shared" ca="1" si="16"/>
        <v>0.59999999999999942</v>
      </c>
      <c r="W42" s="337"/>
    </row>
    <row r="43" spans="1:24" s="317" customFormat="1" ht="11.4" customHeight="1">
      <c r="A43" s="403"/>
      <c r="B43" s="902" t="s">
        <v>392</v>
      </c>
      <c r="C43" s="329">
        <v>125.12</v>
      </c>
      <c r="D43" s="330">
        <f t="shared" si="18"/>
        <v>5.2133333333333338</v>
      </c>
      <c r="E43" s="729">
        <f ca="1">41.04/24*G43</f>
        <v>30.779999999999969</v>
      </c>
      <c r="F43" s="748">
        <f t="shared" ca="1" si="6"/>
        <v>2044.9635051176965</v>
      </c>
      <c r="G43" s="906">
        <f t="shared" ca="1" si="7"/>
        <v>17.999999999999982</v>
      </c>
      <c r="H43" s="720">
        <v>3</v>
      </c>
      <c r="I43" s="720">
        <v>3</v>
      </c>
      <c r="J43" s="720">
        <f>1/8</f>
        <v>0.125</v>
      </c>
      <c r="K43" s="725">
        <f t="shared" si="19"/>
        <v>1.9840494791666667</v>
      </c>
      <c r="L43" s="724">
        <f t="shared" ca="1" si="8"/>
        <v>-36.809343092118489</v>
      </c>
      <c r="M43" s="743">
        <f t="shared" ca="1" si="9"/>
        <v>0.68546262741375219</v>
      </c>
      <c r="N43" s="723">
        <f t="shared" ca="1" si="10"/>
        <v>2.7418505096550088</v>
      </c>
      <c r="O43" s="723">
        <f t="shared" si="17"/>
        <v>1.3226996527777779</v>
      </c>
      <c r="P43" s="720">
        <f ca="1">+(F43*(G43*12)^3)/(K43*($C$19*1000000)*48)</f>
        <v>21.639791866823845</v>
      </c>
      <c r="Q43" s="889">
        <f t="shared" ca="1" si="11"/>
        <v>13.524869916764903</v>
      </c>
      <c r="R43" s="720">
        <f t="shared" ca="1" si="12"/>
        <v>9.4674089417354317</v>
      </c>
      <c r="S43" s="720">
        <f t="shared" ca="1" si="13"/>
        <v>5.6146387579742481</v>
      </c>
      <c r="T43" s="720">
        <f t="shared" ca="1" si="14"/>
        <v>5.4099479667059613</v>
      </c>
      <c r="U43" s="720">
        <f t="shared" ca="1" si="15"/>
        <v>2.7049739833529807</v>
      </c>
      <c r="V43" s="720">
        <f t="shared" ca="1" si="16"/>
        <v>0.59999999999999942</v>
      </c>
      <c r="W43" s="337"/>
    </row>
    <row r="44" spans="1:24" s="317" customFormat="1" ht="11.4" customHeight="1">
      <c r="A44" s="401"/>
      <c r="B44" s="358" t="s">
        <v>371</v>
      </c>
      <c r="F44" s="728"/>
      <c r="G44" s="908"/>
      <c r="I44" s="323"/>
      <c r="M44" s="743"/>
      <c r="P44" s="720"/>
      <c r="Q44" s="720"/>
      <c r="R44" s="720"/>
      <c r="S44" s="720"/>
      <c r="T44" s="720"/>
      <c r="U44" s="720"/>
      <c r="V44" s="720"/>
    </row>
    <row r="45" spans="1:24" s="317" customFormat="1" ht="11.4" customHeight="1">
      <c r="A45" s="401"/>
      <c r="B45" s="359" t="s">
        <v>445</v>
      </c>
      <c r="C45" s="329">
        <f>13.67*4</f>
        <v>54.68</v>
      </c>
      <c r="D45" s="330">
        <f t="shared" ref="D45:D50" ca="1" si="20">+C45/G45</f>
        <v>3.0377777777777806</v>
      </c>
      <c r="E45" s="729">
        <f ca="1">((H45*I45)-(H45-J45*2)*(I45-J45*2))*$G$22*G45*12</f>
        <v>321.32231404958645</v>
      </c>
      <c r="F45" s="748">
        <f t="shared" ref="F45:F50" ca="1" si="21">E45+WindForce*COS(RADIANS(EWSolarPowerAngle))</f>
        <v>2335.5058191672829</v>
      </c>
      <c r="G45" s="906">
        <f t="shared" ref="G45:G50" ca="1" si="22">MainAxisLen</f>
        <v>17.999999999999982</v>
      </c>
      <c r="H45" s="720">
        <v>7.5</v>
      </c>
      <c r="I45" s="720">
        <v>10.5</v>
      </c>
      <c r="J45" s="720">
        <v>1.5</v>
      </c>
      <c r="K45" s="725">
        <f t="shared" ref="K45:K46" si="23">+(H45*I45^3-(H45-J45*2)*(I45-J45*2)^3)/12</f>
        <v>565.3125</v>
      </c>
      <c r="L45" s="724">
        <f t="shared" ref="L45:L50" ca="1" si="24">+F45*(G45*12)*BMomOfInertiaMaxFactor/1000</f>
        <v>-42.039104745011052</v>
      </c>
      <c r="M45" s="743">
        <f t="shared" ref="M45:M50" ca="1" si="25">+ABS(L45*1000)/$E$22</f>
        <v>42.039104745011052</v>
      </c>
      <c r="N45" s="723">
        <f t="shared" ref="N45:N50" ca="1" si="26">+M45*BSaftyFactor</f>
        <v>168.15641898004421</v>
      </c>
      <c r="O45" s="723">
        <f t="shared" ref="O45:O50" si="27">K45/(I45/2)</f>
        <v>107.67857142857143</v>
      </c>
      <c r="P45" s="720">
        <f ca="1">+(F45*(G45*12)^3)/(K45*($C$22*1000000)*48)</f>
        <v>0.72889575316070665</v>
      </c>
      <c r="Q45" s="720">
        <f t="shared" ref="Q45:Q50" ca="1" si="28">+P45/1.6</f>
        <v>0.45555984572544161</v>
      </c>
      <c r="R45" s="720">
        <f t="shared" ref="R45:R50" ca="1" si="29">+P45*0.4375</f>
        <v>0.31889189200780915</v>
      </c>
      <c r="S45" s="720">
        <f t="shared" ref="S45:S47" ca="1" si="30">+P45*0.259459</f>
        <v>0.18911856321932377</v>
      </c>
      <c r="T45" s="720">
        <f t="shared" ref="T45:T47" ca="1" si="31">+P45*0.25</f>
        <v>0.18222393829017666</v>
      </c>
      <c r="U45" s="720">
        <f t="shared" ref="U45:U47" ca="1" si="32">+P45*0.125</f>
        <v>9.1111969145088331E-2</v>
      </c>
      <c r="V45" s="720">
        <f t="shared" ref="V45:V50" ca="1" si="33">+G45*12/360</f>
        <v>0.59999999999999942</v>
      </c>
      <c r="W45" s="337"/>
    </row>
    <row r="46" spans="1:24" s="317" customFormat="1" ht="11.4" customHeight="1">
      <c r="A46" s="401"/>
      <c r="B46" s="359" t="s">
        <v>446</v>
      </c>
      <c r="C46" s="329">
        <f>13.67*2+10.77*2</f>
        <v>48.879999999999995</v>
      </c>
      <c r="D46" s="330">
        <f t="shared" ca="1" si="20"/>
        <v>2.7155555555555582</v>
      </c>
      <c r="E46" s="729">
        <f ca="1">((H46*I46)-(H46-J46*2)*(I46-J46*2))*$G$22*G46*12</f>
        <v>278.47933884297498</v>
      </c>
      <c r="F46" s="748">
        <f t="shared" ca="1" si="21"/>
        <v>2292.6628439606716</v>
      </c>
      <c r="G46" s="906">
        <f t="shared" ca="1" si="22"/>
        <v>17.999999999999982</v>
      </c>
      <c r="H46" s="720">
        <v>7.5</v>
      </c>
      <c r="I46" s="720">
        <v>8.5</v>
      </c>
      <c r="J46" s="720">
        <v>1.5</v>
      </c>
      <c r="K46" s="725">
        <f t="shared" si="23"/>
        <v>321.4375</v>
      </c>
      <c r="L46" s="724">
        <f t="shared" ca="1" si="24"/>
        <v>-41.267931191292035</v>
      </c>
      <c r="M46" s="743">
        <f t="shared" ca="1" si="25"/>
        <v>41.267931191292035</v>
      </c>
      <c r="N46" s="723">
        <f t="shared" ca="1" si="26"/>
        <v>165.07172476516814</v>
      </c>
      <c r="O46" s="723">
        <f t="shared" si="27"/>
        <v>75.632352941176464</v>
      </c>
      <c r="P46" s="720">
        <f t="shared" ref="P46:P50" ca="1" si="34">+(F46*(G46*12)^3)/(K46*($C$22*1000000)*48)</f>
        <v>1.2583941934037239</v>
      </c>
      <c r="Q46" s="720">
        <f t="shared" ca="1" si="28"/>
        <v>0.78649637087732738</v>
      </c>
      <c r="R46" s="720">
        <f t="shared" ca="1" si="29"/>
        <v>0.55054745961412921</v>
      </c>
      <c r="S46" s="720">
        <f t="shared" ca="1" si="30"/>
        <v>0.3265016990263368</v>
      </c>
      <c r="T46" s="720">
        <f t="shared" ca="1" si="31"/>
        <v>0.31459854835093098</v>
      </c>
      <c r="U46" s="720">
        <f t="shared" ca="1" si="32"/>
        <v>0.15729927417546549</v>
      </c>
      <c r="V46" s="720">
        <f t="shared" ca="1" si="33"/>
        <v>0.59999999999999942</v>
      </c>
      <c r="W46" s="337"/>
    </row>
    <row r="47" spans="1:24" s="317" customFormat="1" ht="11.4" customHeight="1">
      <c r="A47" s="401"/>
      <c r="B47" s="359" t="s">
        <v>447</v>
      </c>
      <c r="C47" s="329">
        <v>0</v>
      </c>
      <c r="D47" s="330">
        <f t="shared" ca="1" si="20"/>
        <v>0</v>
      </c>
      <c r="E47" s="729">
        <f ca="1">((H47*I47)-(H47-J47*2)*(I47-J47*2))*$G$22*G47*12</f>
        <v>401.65289256198309</v>
      </c>
      <c r="F47" s="748">
        <f t="shared" ca="1" si="21"/>
        <v>2415.8363976796795</v>
      </c>
      <c r="G47" s="906">
        <f t="shared" ca="1" si="22"/>
        <v>17.999999999999982</v>
      </c>
      <c r="H47" s="720">
        <v>7.5</v>
      </c>
      <c r="I47" s="720">
        <f>+H47</f>
        <v>7.5</v>
      </c>
      <c r="J47" s="720">
        <f>+H47/2</f>
        <v>3.75</v>
      </c>
      <c r="K47" s="725">
        <f>+(H47*I47^3)/12</f>
        <v>263.671875</v>
      </c>
      <c r="L47" s="724">
        <f t="shared" ca="1" si="24"/>
        <v>-43.485055158234189</v>
      </c>
      <c r="M47" s="743">
        <f t="shared" ca="1" si="25"/>
        <v>43.485055158234189</v>
      </c>
      <c r="N47" s="723">
        <f t="shared" ca="1" si="26"/>
        <v>173.94022063293676</v>
      </c>
      <c r="O47" s="723">
        <f t="shared" si="27"/>
        <v>70.3125</v>
      </c>
      <c r="P47" s="720">
        <f t="shared" ca="1" si="34"/>
        <v>1.6165039395157728</v>
      </c>
      <c r="Q47" s="720">
        <f t="shared" ca="1" si="28"/>
        <v>1.0103149621973579</v>
      </c>
      <c r="R47" s="720">
        <f t="shared" ca="1" si="29"/>
        <v>0.70722047353815054</v>
      </c>
      <c r="S47" s="720">
        <f t="shared" ca="1" si="30"/>
        <v>0.41941649564282285</v>
      </c>
      <c r="T47" s="720">
        <f t="shared" ca="1" si="31"/>
        <v>0.40412598487894319</v>
      </c>
      <c r="U47" s="720">
        <f t="shared" ca="1" si="32"/>
        <v>0.20206299243947159</v>
      </c>
      <c r="V47" s="720">
        <f t="shared" ca="1" si="33"/>
        <v>0.59999999999999942</v>
      </c>
      <c r="W47" s="337"/>
    </row>
    <row r="48" spans="1:24" s="317" customFormat="1" ht="11.4" customHeight="1">
      <c r="B48" s="359" t="s">
        <v>448</v>
      </c>
      <c r="C48" s="329">
        <f>44.97</f>
        <v>44.97</v>
      </c>
      <c r="D48" s="330">
        <f t="shared" ca="1" si="20"/>
        <v>2.4983333333333357</v>
      </c>
      <c r="E48" s="729">
        <f ca="1">254.4/12*G48</f>
        <v>381.59999999999962</v>
      </c>
      <c r="F48" s="748">
        <f t="shared" ca="1" si="21"/>
        <v>2395.7835051176962</v>
      </c>
      <c r="G48" s="906">
        <f t="shared" ca="1" si="22"/>
        <v>17.999999999999982</v>
      </c>
      <c r="H48" s="720">
        <v>5.5</v>
      </c>
      <c r="I48" s="720">
        <f>+H48</f>
        <v>5.5</v>
      </c>
      <c r="J48" s="720">
        <f>+H48/2</f>
        <v>2.75</v>
      </c>
      <c r="K48" s="725">
        <f t="shared" ref="K48:K50" si="35">+(H48*I48^3)/12</f>
        <v>76.255208333333329</v>
      </c>
      <c r="L48" s="724">
        <f t="shared" ca="1" si="24"/>
        <v>-43.124103092118489</v>
      </c>
      <c r="M48" s="743">
        <f t="shared" ca="1" si="25"/>
        <v>43.124103092118489</v>
      </c>
      <c r="N48" s="723">
        <f t="shared" ca="1" si="26"/>
        <v>172.49641236847395</v>
      </c>
      <c r="O48" s="723">
        <f t="shared" si="27"/>
        <v>27.729166666666664</v>
      </c>
      <c r="P48" s="720">
        <f t="shared" ca="1" si="34"/>
        <v>5.5430795748305544</v>
      </c>
      <c r="Q48" s="720">
        <f t="shared" ca="1" si="28"/>
        <v>3.4644247342690964</v>
      </c>
      <c r="R48" s="720">
        <f t="shared" ca="1" si="29"/>
        <v>2.4250973139883674</v>
      </c>
      <c r="S48" s="720">
        <f ca="1">+P48*0.259459</f>
        <v>1.4382018834059607</v>
      </c>
      <c r="T48" s="720">
        <f ca="1">+P48*0.25</f>
        <v>1.3857698937076386</v>
      </c>
      <c r="U48" s="720">
        <f ca="1">+P48*0.125</f>
        <v>0.69288494685381929</v>
      </c>
      <c r="V48" s="720">
        <f t="shared" ca="1" si="33"/>
        <v>0.59999999999999942</v>
      </c>
      <c r="W48" s="337"/>
    </row>
    <row r="49" spans="1:23" s="317" customFormat="1" ht="11.4" customHeight="1">
      <c r="B49" s="359" t="s">
        <v>569</v>
      </c>
      <c r="C49" s="329">
        <f>28.77</f>
        <v>28.77</v>
      </c>
      <c r="D49" s="330">
        <f t="shared" ca="1" si="20"/>
        <v>1.5983333333333349</v>
      </c>
      <c r="E49" s="729">
        <f ca="1">254.4/12*G49</f>
        <v>381.59999999999962</v>
      </c>
      <c r="F49" s="748">
        <f t="shared" ca="1" si="21"/>
        <v>2395.7835051176962</v>
      </c>
      <c r="G49" s="906">
        <f t="shared" ca="1" si="22"/>
        <v>17.999999999999982</v>
      </c>
      <c r="H49" s="720">
        <v>5.5</v>
      </c>
      <c r="I49" s="720">
        <f>+H49</f>
        <v>5.5</v>
      </c>
      <c r="J49" s="720">
        <f>+H49/2</f>
        <v>2.75</v>
      </c>
      <c r="K49" s="725">
        <f t="shared" si="35"/>
        <v>76.255208333333329</v>
      </c>
      <c r="L49" s="724">
        <f t="shared" ca="1" si="24"/>
        <v>-43.124103092118489</v>
      </c>
      <c r="M49" s="743">
        <f t="shared" ca="1" si="25"/>
        <v>43.124103092118489</v>
      </c>
      <c r="N49" s="723">
        <f t="shared" ca="1" si="26"/>
        <v>172.49641236847395</v>
      </c>
      <c r="O49" s="723">
        <f t="shared" si="27"/>
        <v>27.729166666666664</v>
      </c>
      <c r="P49" s="720">
        <f t="shared" ca="1" si="34"/>
        <v>5.5430795748305544</v>
      </c>
      <c r="Q49" s="720">
        <f t="shared" ca="1" si="28"/>
        <v>3.4644247342690964</v>
      </c>
      <c r="R49" s="720">
        <f t="shared" ca="1" si="29"/>
        <v>2.4250973139883674</v>
      </c>
      <c r="S49" s="720">
        <f ca="1">+P49*0.259459</f>
        <v>1.4382018834059607</v>
      </c>
      <c r="T49" s="720">
        <f ca="1">+P49*0.25</f>
        <v>1.3857698937076386</v>
      </c>
      <c r="U49" s="720">
        <f ca="1">+P49*0.125</f>
        <v>0.69288494685381929</v>
      </c>
      <c r="V49" s="720">
        <f t="shared" ca="1" si="33"/>
        <v>0.59999999999999942</v>
      </c>
      <c r="W49" s="337"/>
    </row>
    <row r="50" spans="1:23" s="317" customFormat="1" ht="11.4" customHeight="1">
      <c r="A50" s="401"/>
      <c r="B50" s="359" t="s">
        <v>449</v>
      </c>
      <c r="C50" s="329">
        <v>19</v>
      </c>
      <c r="D50" s="330">
        <f t="shared" ca="1" si="20"/>
        <v>1.0555555555555567</v>
      </c>
      <c r="E50" s="729">
        <f ca="1">103/12*G50</f>
        <v>154.49999999999986</v>
      </c>
      <c r="F50" s="748">
        <f t="shared" ca="1" si="21"/>
        <v>2168.6835051176963</v>
      </c>
      <c r="G50" s="906">
        <f t="shared" ca="1" si="22"/>
        <v>17.999999999999982</v>
      </c>
      <c r="H50" s="720">
        <v>3.5</v>
      </c>
      <c r="I50" s="720">
        <f>+H50</f>
        <v>3.5</v>
      </c>
      <c r="J50" s="720">
        <f>+H50/2</f>
        <v>1.75</v>
      </c>
      <c r="K50" s="725">
        <f t="shared" si="35"/>
        <v>12.505208333333334</v>
      </c>
      <c r="L50" s="724">
        <f t="shared" ca="1" si="24"/>
        <v>-39.036303092118494</v>
      </c>
      <c r="M50" s="743">
        <f t="shared" ca="1" si="25"/>
        <v>39.036303092118494</v>
      </c>
      <c r="N50" s="723">
        <f t="shared" ca="1" si="26"/>
        <v>156.14521236847398</v>
      </c>
      <c r="O50" s="723">
        <f t="shared" si="27"/>
        <v>7.1458333333333339</v>
      </c>
      <c r="P50" s="720">
        <f t="shared" ca="1" si="34"/>
        <v>30.596961468842487</v>
      </c>
      <c r="Q50" s="889">
        <f t="shared" ca="1" si="28"/>
        <v>19.123100918026552</v>
      </c>
      <c r="R50" s="889">
        <f t="shared" ca="1" si="29"/>
        <v>13.386170642618588</v>
      </c>
      <c r="S50" s="720">
        <f ca="1">+P50*0.259459</f>
        <v>7.9386570257444022</v>
      </c>
      <c r="T50" s="720">
        <f ca="1">+P50*0.25</f>
        <v>7.6492403672106217</v>
      </c>
      <c r="U50" s="720">
        <f ca="1">+P50*0.125</f>
        <v>3.8246201836053109</v>
      </c>
      <c r="V50" s="720">
        <f t="shared" ca="1" si="33"/>
        <v>0.59999999999999942</v>
      </c>
      <c r="W50" s="337"/>
    </row>
    <row r="51" spans="1:23" s="317" customFormat="1" ht="11.4" customHeight="1">
      <c r="A51" s="401"/>
      <c r="B51" s="358" t="s">
        <v>372</v>
      </c>
      <c r="F51" s="728"/>
      <c r="G51" s="908"/>
      <c r="I51" s="323"/>
      <c r="K51" s="323"/>
      <c r="L51" s="323"/>
      <c r="M51" s="743"/>
      <c r="N51" s="323"/>
      <c r="O51" s="323"/>
      <c r="P51" s="720"/>
      <c r="Q51" s="720"/>
      <c r="R51" s="720"/>
      <c r="S51" s="720"/>
      <c r="T51" s="720"/>
      <c r="U51" s="720"/>
      <c r="V51" s="720"/>
      <c r="W51" s="323"/>
    </row>
    <row r="52" spans="1:23" s="317" customFormat="1" ht="11.4" customHeight="1">
      <c r="A52" s="401"/>
      <c r="B52" s="359" t="s">
        <v>450</v>
      </c>
      <c r="C52" s="329">
        <v>125</v>
      </c>
      <c r="D52" s="330">
        <f ca="1">+C52/G52</f>
        <v>6.9444444444444509</v>
      </c>
      <c r="E52" s="729">
        <f ca="1">288/24*G52</f>
        <v>215.99999999999977</v>
      </c>
      <c r="F52" s="748">
        <f ca="1">E52+WindForce*COS(RADIANS(EWSolarPowerAngle))</f>
        <v>2230.1835051176963</v>
      </c>
      <c r="G52" s="906">
        <f ca="1">MainAxisLen</f>
        <v>17.999999999999982</v>
      </c>
      <c r="H52" s="720">
        <v>5.5</v>
      </c>
      <c r="I52" s="720">
        <f>+H52</f>
        <v>5.5</v>
      </c>
      <c r="J52" s="720">
        <f>+H52/2</f>
        <v>2.75</v>
      </c>
      <c r="K52" s="725">
        <f>+(H52*I52^3)/12</f>
        <v>76.255208333333329</v>
      </c>
      <c r="L52" s="724">
        <f ca="1">+F52*(G52*12)*BMomOfInertiaMaxFactor/1000</f>
        <v>-40.143303092118494</v>
      </c>
      <c r="M52" s="743">
        <f ca="1">+ABS(L52*1000)/$E$22</f>
        <v>40.143303092118494</v>
      </c>
      <c r="N52" s="723">
        <f ca="1">+M52*BSaftyFactor</f>
        <v>160.57321236847397</v>
      </c>
      <c r="O52" s="723">
        <f t="shared" ref="O52:O53" si="36">K52/(I52/2)</f>
        <v>27.729166666666664</v>
      </c>
      <c r="P52" s="720">
        <f t="shared" ref="P52:P53" ca="1" si="37">+(F52*(G52*12)^3)/(K52*($C$22*1000000)*48)</f>
        <v>5.1599339460076168</v>
      </c>
      <c r="Q52" s="720">
        <f t="shared" ref="Q52:Q53" ca="1" si="38">+P52/1.6</f>
        <v>3.2249587162547604</v>
      </c>
      <c r="R52" s="720">
        <f t="shared" ref="R52:R53" ca="1" si="39">+P52*0.4375</f>
        <v>2.2574711013783322</v>
      </c>
      <c r="S52" s="720">
        <f t="shared" ref="S52:S53" ca="1" si="40">+P52*0.259459</f>
        <v>1.3387913016971902</v>
      </c>
      <c r="T52" s="720">
        <f t="shared" ref="T52:T53" ca="1" si="41">+P52*0.25</f>
        <v>1.2899834865019042</v>
      </c>
      <c r="U52" s="720">
        <f t="shared" ref="U52:U53" ca="1" si="42">+P52*0.125</f>
        <v>0.6449917432509521</v>
      </c>
      <c r="V52" s="720">
        <f t="shared" ref="V52:V53" ca="1" si="43">+G52*12/360</f>
        <v>0.59999999999999942</v>
      </c>
      <c r="W52" s="337"/>
    </row>
    <row r="53" spans="1:23" s="317" customFormat="1" ht="11.4" customHeight="1">
      <c r="A53" s="401"/>
      <c r="B53" s="358" t="s">
        <v>380</v>
      </c>
      <c r="C53" s="329"/>
      <c r="D53" s="330">
        <f>+C53/G53</f>
        <v>0</v>
      </c>
      <c r="E53" s="729"/>
      <c r="F53" s="748">
        <v>600</v>
      </c>
      <c r="G53" s="727">
        <v>12</v>
      </c>
      <c r="H53" s="720">
        <v>1.5</v>
      </c>
      <c r="I53" s="720">
        <v>11.25</v>
      </c>
      <c r="J53" s="720">
        <f>+H53/2</f>
        <v>0.75</v>
      </c>
      <c r="K53" s="725">
        <f>+(H53*I53^3-(H53-J53*2)*(I53-J53*2)^3)/12</f>
        <v>177.978515625</v>
      </c>
      <c r="L53" s="724">
        <f>+F53*(G53*12)*BMomOfInertiaMaxFactor/1000</f>
        <v>-7.2</v>
      </c>
      <c r="M53" s="743">
        <f>+ABS(L53*1000)/$E$22</f>
        <v>7.2</v>
      </c>
      <c r="N53" s="723">
        <f>+M53*BSaftyFactor</f>
        <v>28.8</v>
      </c>
      <c r="O53" s="723">
        <f t="shared" si="36"/>
        <v>31.640625</v>
      </c>
      <c r="P53" s="720">
        <f t="shared" si="37"/>
        <v>0.17623126050420168</v>
      </c>
      <c r="Q53" s="720">
        <f t="shared" si="38"/>
        <v>0.11014453781512605</v>
      </c>
      <c r="R53" s="720">
        <f t="shared" si="39"/>
        <v>7.7101176470588229E-2</v>
      </c>
      <c r="S53" s="720">
        <f t="shared" si="40"/>
        <v>4.5724786619159664E-2</v>
      </c>
      <c r="T53" s="720">
        <f t="shared" si="41"/>
        <v>4.405781512605042E-2</v>
      </c>
      <c r="U53" s="720">
        <f t="shared" si="42"/>
        <v>2.202890756302521E-2</v>
      </c>
      <c r="V53" s="720">
        <f t="shared" si="43"/>
        <v>0.4</v>
      </c>
      <c r="W53" s="337"/>
    </row>
    <row r="54" spans="1:23" s="317" customFormat="1" ht="11.4" customHeight="1">
      <c r="A54" s="401"/>
      <c r="B54" s="327"/>
      <c r="C54" s="329"/>
      <c r="D54" s="330"/>
      <c r="E54" s="331"/>
      <c r="F54" s="328"/>
      <c r="G54" s="332"/>
      <c r="H54" s="333"/>
      <c r="I54" s="334"/>
      <c r="J54" s="334"/>
      <c r="K54" s="335"/>
      <c r="L54" s="336"/>
      <c r="M54" s="335"/>
      <c r="N54" s="335"/>
    </row>
    <row r="55" spans="1:23" s="317" customFormat="1" ht="23.4">
      <c r="A55" s="397"/>
      <c r="B55" s="353" t="s">
        <v>434</v>
      </c>
      <c r="G55" s="326"/>
      <c r="I55" s="323"/>
      <c r="J55" s="326"/>
      <c r="L55" s="341" t="s">
        <v>698</v>
      </c>
      <c r="N55" s="341" t="s">
        <v>699</v>
      </c>
      <c r="O55" s="342" t="s">
        <v>453</v>
      </c>
      <c r="R55" s="337"/>
    </row>
    <row r="56" spans="1:23" s="317" customFormat="1" ht="11.4" customHeight="1">
      <c r="A56" s="397"/>
      <c r="B56" s="50" t="s">
        <v>441</v>
      </c>
      <c r="C56" s="349">
        <v>5</v>
      </c>
      <c r="D56" s="349">
        <v>3.5</v>
      </c>
      <c r="L56" s="917">
        <f>-1</f>
        <v>-1</v>
      </c>
      <c r="N56" s="900">
        <v>2</v>
      </c>
      <c r="O56" s="899">
        <v>2</v>
      </c>
    </row>
    <row r="57" spans="1:23" s="317" customFormat="1" ht="11.4" customHeight="1">
      <c r="A57" s="397"/>
      <c r="B57" s="353"/>
      <c r="C57" s="317" t="s">
        <v>690</v>
      </c>
      <c r="D57" s="317" t="s">
        <v>690</v>
      </c>
      <c r="E57" s="317" t="s">
        <v>690</v>
      </c>
      <c r="F57" s="317" t="s">
        <v>410</v>
      </c>
      <c r="G57" s="326" t="s">
        <v>410</v>
      </c>
      <c r="H57" s="317" t="s">
        <v>693</v>
      </c>
      <c r="I57" s="317" t="s">
        <v>694</v>
      </c>
      <c r="J57" s="317" t="s">
        <v>695</v>
      </c>
      <c r="K57" s="317" t="s">
        <v>404</v>
      </c>
      <c r="L57" s="317" t="s">
        <v>406</v>
      </c>
      <c r="M57" s="317" t="s">
        <v>454</v>
      </c>
      <c r="N57" s="505" t="s">
        <v>702</v>
      </c>
      <c r="O57" s="317" t="s">
        <v>409</v>
      </c>
      <c r="P57" s="348" t="s">
        <v>59</v>
      </c>
    </row>
    <row r="58" spans="1:23" s="317" customFormat="1" ht="11.4" customHeight="1" thickBot="1">
      <c r="A58" s="401"/>
      <c r="B58" s="887" t="s">
        <v>697</v>
      </c>
      <c r="C58" s="341" t="s">
        <v>383</v>
      </c>
      <c r="D58" s="341" t="s">
        <v>692</v>
      </c>
      <c r="E58" s="341" t="s">
        <v>240</v>
      </c>
      <c r="F58" s="341" t="s">
        <v>411</v>
      </c>
      <c r="G58" s="340" t="s">
        <v>24</v>
      </c>
      <c r="H58" s="341" t="s">
        <v>25</v>
      </c>
      <c r="I58" s="347" t="s">
        <v>377</v>
      </c>
      <c r="J58" s="342" t="s">
        <v>26</v>
      </c>
      <c r="K58" s="340" t="s">
        <v>405</v>
      </c>
      <c r="L58" s="341" t="s">
        <v>378</v>
      </c>
      <c r="M58" s="341" t="s">
        <v>455</v>
      </c>
      <c r="N58" s="369" t="s">
        <v>407</v>
      </c>
      <c r="O58" s="369" t="s">
        <v>407</v>
      </c>
      <c r="P58" s="341" t="s">
        <v>430</v>
      </c>
      <c r="Q58" s="348" t="s">
        <v>390</v>
      </c>
      <c r="R58" s="339"/>
      <c r="T58" s="331"/>
    </row>
    <row r="59" spans="1:23" s="499" customFormat="1" ht="11.4" customHeight="1" thickTop="1" thickBot="1">
      <c r="A59" s="870" t="s">
        <v>691</v>
      </c>
      <c r="B59" s="871" t="str">
        <f ca="1">OFFSET(SelectPierBeam,,B60)</f>
        <v>Win ST 24'x6x3x1/8</v>
      </c>
      <c r="C59" s="858">
        <f ca="1">OFFSET(SelectPierBeam,,2)</f>
        <v>148.63</v>
      </c>
      <c r="D59" s="859">
        <f t="shared" ref="D59:Q59" ca="1" si="44">OFFSET(SelectPierBeam,,D60)</f>
        <v>6.1929166666666662</v>
      </c>
      <c r="E59" s="860">
        <f t="shared" ca="1" si="44"/>
        <v>90.902340879265083</v>
      </c>
      <c r="F59" s="861">
        <f t="shared" ca="1" si="44"/>
        <v>2014.1835051176965</v>
      </c>
      <c r="G59" s="862">
        <f t="shared" ca="1" si="44"/>
        <v>12.401410761154855</v>
      </c>
      <c r="H59" s="863">
        <f t="shared" ca="1" si="44"/>
        <v>3</v>
      </c>
      <c r="I59" s="863">
        <f t="shared" ca="1" si="44"/>
        <v>6</v>
      </c>
      <c r="J59" s="863">
        <f t="shared" ca="1" si="44"/>
        <v>0.125</v>
      </c>
      <c r="K59" s="864">
        <f t="shared" ca="1" si="44"/>
        <v>10.433268229166666</v>
      </c>
      <c r="L59" s="892">
        <f t="shared" ca="1" si="44"/>
        <v>-178.89359363662467</v>
      </c>
      <c r="M59" s="897">
        <f t="shared" ca="1" si="44"/>
        <v>3.3313518368086528</v>
      </c>
      <c r="N59" s="896">
        <f t="shared" ca="1" si="44"/>
        <v>3.3313518368086528</v>
      </c>
      <c r="O59" s="896">
        <f t="shared" ca="1" si="44"/>
        <v>3.4777560763888888</v>
      </c>
      <c r="P59" s="863">
        <f t="shared" ca="1" si="44"/>
        <v>0.76417470093119078</v>
      </c>
      <c r="Q59" s="869">
        <f t="shared" ca="1" si="44"/>
        <v>0.24671369203849514</v>
      </c>
    </row>
    <row r="60" spans="1:23" s="499" customFormat="1" ht="11.4" customHeight="1" thickTop="1">
      <c r="A60" s="856">
        <f>0</f>
        <v>0</v>
      </c>
      <c r="B60" s="499">
        <f>A60+1</f>
        <v>1</v>
      </c>
      <c r="C60" s="499">
        <f t="shared" ref="C60:Q60" si="45">B60+1</f>
        <v>2</v>
      </c>
      <c r="D60" s="499">
        <f t="shared" si="45"/>
        <v>3</v>
      </c>
      <c r="E60" s="499">
        <f t="shared" si="45"/>
        <v>4</v>
      </c>
      <c r="F60" s="499">
        <f t="shared" si="45"/>
        <v>5</v>
      </c>
      <c r="G60" s="499">
        <f t="shared" si="45"/>
        <v>6</v>
      </c>
      <c r="H60" s="499">
        <f t="shared" si="45"/>
        <v>7</v>
      </c>
      <c r="I60" s="499">
        <f t="shared" si="45"/>
        <v>8</v>
      </c>
      <c r="J60" s="499">
        <f t="shared" si="45"/>
        <v>9</v>
      </c>
      <c r="K60" s="499">
        <f t="shared" si="45"/>
        <v>10</v>
      </c>
      <c r="L60" s="499">
        <f t="shared" si="45"/>
        <v>11</v>
      </c>
      <c r="M60" s="499">
        <f t="shared" si="45"/>
        <v>12</v>
      </c>
      <c r="N60" s="499">
        <f t="shared" si="45"/>
        <v>13</v>
      </c>
      <c r="O60" s="499">
        <f t="shared" si="45"/>
        <v>14</v>
      </c>
      <c r="P60" s="499">
        <f t="shared" si="45"/>
        <v>15</v>
      </c>
      <c r="Q60" s="499">
        <f t="shared" si="45"/>
        <v>16</v>
      </c>
    </row>
    <row r="61" spans="1:23" s="499" customFormat="1" ht="11.4" customHeight="1">
      <c r="B61" s="903" t="s">
        <v>402</v>
      </c>
      <c r="C61" s="329">
        <v>288.60000000000002</v>
      </c>
      <c r="D61" s="330">
        <f>+C61/24</f>
        <v>12.025</v>
      </c>
      <c r="E61" s="730">
        <f>191.52/24*G61</f>
        <v>98.963257874015753</v>
      </c>
      <c r="F61" s="748">
        <f t="shared" ref="F61:F75" ca="1" si="46">WindForce*COS(RADIANS(EWSolarPowerAngle))</f>
        <v>2014.1835051176965</v>
      </c>
      <c r="G61" s="906">
        <f t="shared" ref="G61:G75" si="47">PedHeight+FrostLine</f>
        <v>12.401410761154855</v>
      </c>
      <c r="H61" s="721">
        <v>6</v>
      </c>
      <c r="I61" s="721">
        <v>6</v>
      </c>
      <c r="J61" s="720">
        <f>3/16</f>
        <v>0.1875</v>
      </c>
      <c r="K61" s="726">
        <f>+(H61*I61^3-(H61-J61*2)*(I61-J61*2)^3)/12</f>
        <v>24.57257080078125</v>
      </c>
      <c r="L61" s="893">
        <f t="shared" ref="L61:L75" ca="1" si="48">+F61*(PedHeight*12)*PierMomOfInertiaMaxFactor/1000</f>
        <v>-178.89359363662467</v>
      </c>
      <c r="M61" s="894">
        <f t="shared" ref="M61:M66" ca="1" si="49">+ABS(L61*1000)/$E$20</f>
        <v>3.3313518368086528</v>
      </c>
      <c r="N61" s="895">
        <f t="shared" ref="N61:N75" ca="1" si="50">+M61/PierNumberOffBeams*PierSafetyFactor</f>
        <v>3.3313518368086528</v>
      </c>
      <c r="O61" s="895">
        <f>K61/(I61/2)</f>
        <v>8.19085693359375</v>
      </c>
      <c r="P61" s="720">
        <f ca="1">+(F61*(PedHeight*12)^3)/(3*($C$20*1000000)*K61)/PierNumberOffBeams</f>
        <v>0.32446094848589663</v>
      </c>
      <c r="Q61" s="720">
        <f t="shared" ref="Q61:Q75" si="51">+PedHeight*12/360</f>
        <v>0.24671369203849514</v>
      </c>
      <c r="W61" s="337"/>
    </row>
    <row r="62" spans="1:23" s="499" customFormat="1" ht="11.4" customHeight="1">
      <c r="B62" s="903" t="s">
        <v>700</v>
      </c>
      <c r="C62" s="329">
        <v>186.98</v>
      </c>
      <c r="D62" s="330">
        <f>+C62/20</f>
        <v>9.3490000000000002</v>
      </c>
      <c r="E62" s="730">
        <f>199.98/20*G62</f>
        <v>124.00170620078738</v>
      </c>
      <c r="F62" s="748">
        <f t="shared" ca="1" si="46"/>
        <v>2014.1835051176965</v>
      </c>
      <c r="G62" s="906">
        <f t="shared" si="47"/>
        <v>12.401410761154855</v>
      </c>
      <c r="H62" s="721">
        <v>3</v>
      </c>
      <c r="I62" s="721">
        <v>5</v>
      </c>
      <c r="J62" s="720">
        <v>0.24592345046066394</v>
      </c>
      <c r="K62" s="726">
        <f>12.1</f>
        <v>12.1</v>
      </c>
      <c r="L62" s="893">
        <f t="shared" ca="1" si="48"/>
        <v>-178.89359363662467</v>
      </c>
      <c r="M62" s="894">
        <f t="shared" ca="1" si="49"/>
        <v>3.3313518368086528</v>
      </c>
      <c r="N62" s="895">
        <f t="shared" ca="1" si="50"/>
        <v>3.3313518368086528</v>
      </c>
      <c r="O62" s="895">
        <f t="shared" ref="O62:O75" si="52">K62/(I62/2)</f>
        <v>4.84</v>
      </c>
      <c r="P62" s="720">
        <f ca="1">+(F62*(PedHeight*12)^3)/(3*($C$20*1000000)*K62)/PierNumberOffBeams</f>
        <v>0.65891236601308534</v>
      </c>
      <c r="Q62" s="720">
        <f t="shared" si="51"/>
        <v>0.24671369203849514</v>
      </c>
      <c r="R62" s="499" t="s">
        <v>233</v>
      </c>
      <c r="W62" s="337"/>
    </row>
    <row r="63" spans="1:23" s="499" customFormat="1" ht="11.4" customHeight="1">
      <c r="A63" s="856"/>
      <c r="B63" s="904" t="s">
        <v>400</v>
      </c>
      <c r="C63" s="351">
        <v>161.22999999999999</v>
      </c>
      <c r="D63" s="352">
        <f>+C63/24</f>
        <v>6.7179166666666665</v>
      </c>
      <c r="E63" s="730">
        <f>191.52/24*G63</f>
        <v>98.963257874015753</v>
      </c>
      <c r="F63" s="748">
        <f t="shared" ca="1" si="46"/>
        <v>2014.1835051176965</v>
      </c>
      <c r="G63" s="906">
        <f t="shared" si="47"/>
        <v>12.401410761154855</v>
      </c>
      <c r="H63" s="721">
        <v>4</v>
      </c>
      <c r="I63" s="721">
        <v>6</v>
      </c>
      <c r="J63" s="721">
        <f>1/8</f>
        <v>0.125</v>
      </c>
      <c r="K63" s="726">
        <f>+(H63*I63^3-(H63-J63*2)*(I63-J63*2)^3)/12</f>
        <v>12.5908203125</v>
      </c>
      <c r="L63" s="893">
        <f t="shared" ca="1" si="48"/>
        <v>-178.89359363662467</v>
      </c>
      <c r="M63" s="894">
        <f t="shared" ca="1" si="49"/>
        <v>3.3313518368086528</v>
      </c>
      <c r="N63" s="895">
        <f t="shared" ca="1" si="50"/>
        <v>3.3313518368086528</v>
      </c>
      <c r="O63" s="895">
        <f t="shared" si="52"/>
        <v>4.196940104166667</v>
      </c>
      <c r="P63" s="720">
        <f ca="1">+(F63*(PedHeight*12)^3)/(3*($C$20*1000000)*K63)/PierNumberOffBeams</f>
        <v>0.63322638484825344</v>
      </c>
      <c r="Q63" s="720">
        <f t="shared" si="51"/>
        <v>0.24671369203849514</v>
      </c>
      <c r="R63" s="350"/>
      <c r="T63" s="331"/>
      <c r="U63" s="350"/>
      <c r="V63" s="350"/>
      <c r="W63" s="337"/>
    </row>
    <row r="64" spans="1:23" s="499" customFormat="1" ht="11.4" customHeight="1">
      <c r="A64" s="404" t="s">
        <v>439</v>
      </c>
      <c r="B64" s="904" t="s">
        <v>478</v>
      </c>
      <c r="C64" s="351">
        <v>148.63</v>
      </c>
      <c r="D64" s="352">
        <f>+C64/24</f>
        <v>6.1929166666666662</v>
      </c>
      <c r="E64" s="730">
        <f>175.92/24*G64</f>
        <v>90.902340879265083</v>
      </c>
      <c r="F64" s="748">
        <f t="shared" ca="1" si="46"/>
        <v>2014.1835051176965</v>
      </c>
      <c r="G64" s="906">
        <f t="shared" si="47"/>
        <v>12.401410761154855</v>
      </c>
      <c r="H64" s="721">
        <v>3</v>
      </c>
      <c r="I64" s="721">
        <v>6</v>
      </c>
      <c r="J64" s="721">
        <f>0.125</f>
        <v>0.125</v>
      </c>
      <c r="K64" s="726">
        <f>+(H64*I64^3-(H64-J64*2)*(I64-J64*2)^3)/12</f>
        <v>10.433268229166666</v>
      </c>
      <c r="L64" s="893">
        <f t="shared" ca="1" si="48"/>
        <v>-178.89359363662467</v>
      </c>
      <c r="M64" s="894">
        <f t="shared" ca="1" si="49"/>
        <v>3.3313518368086528</v>
      </c>
      <c r="N64" s="895">
        <f t="shared" ca="1" si="50"/>
        <v>3.3313518368086528</v>
      </c>
      <c r="O64" s="895">
        <f t="shared" si="52"/>
        <v>3.4777560763888888</v>
      </c>
      <c r="P64" s="720">
        <f ca="1">+(F64*(PedHeight*12)^3)/(3*($C$20*1000000)*K64)/PierNumberOffBeams</f>
        <v>0.76417470093119078</v>
      </c>
      <c r="Q64" s="720">
        <f t="shared" si="51"/>
        <v>0.24671369203849514</v>
      </c>
      <c r="R64" s="350"/>
      <c r="T64" s="331"/>
      <c r="U64" s="350"/>
      <c r="V64" s="350"/>
      <c r="W64" s="337"/>
    </row>
    <row r="65" spans="1:23" s="499" customFormat="1" ht="11.4" customHeight="1">
      <c r="A65" s="856"/>
      <c r="B65" s="903" t="s">
        <v>607</v>
      </c>
      <c r="C65" s="329">
        <v>157.38</v>
      </c>
      <c r="D65" s="330">
        <f>+C65/20</f>
        <v>7.8689999999999998</v>
      </c>
      <c r="E65" s="730">
        <f>191.52/24*G65</f>
        <v>98.963257874015753</v>
      </c>
      <c r="F65" s="748">
        <f t="shared" ca="1" si="46"/>
        <v>2014.1835051176965</v>
      </c>
      <c r="G65" s="906">
        <f t="shared" si="47"/>
        <v>12.401410761154855</v>
      </c>
      <c r="H65" s="722">
        <f>I65-J65*2</f>
        <v>5.76</v>
      </c>
      <c r="I65" s="854">
        <f>6</f>
        <v>6</v>
      </c>
      <c r="J65" s="720">
        <v>0.12</v>
      </c>
      <c r="K65" s="725">
        <f>+(PI()*(I65^4-H65^4))/64</f>
        <v>9.5841577419261288</v>
      </c>
      <c r="L65" s="893">
        <f t="shared" ca="1" si="48"/>
        <v>-178.89359363662467</v>
      </c>
      <c r="M65" s="894">
        <f t="shared" ca="1" si="49"/>
        <v>3.3313518368086528</v>
      </c>
      <c r="N65" s="895">
        <f t="shared" ca="1" si="50"/>
        <v>3.3313518368086528</v>
      </c>
      <c r="O65" s="895">
        <f t="shared" si="52"/>
        <v>3.1947192473087096</v>
      </c>
      <c r="P65" s="720">
        <f ca="1">+(F65*(PedHeight*12)^3)/(3*($C$20*1000000)*K65)/PierNumberOffBeams</f>
        <v>0.83187692058541085</v>
      </c>
      <c r="Q65" s="720">
        <f t="shared" si="51"/>
        <v>0.24671369203849514</v>
      </c>
      <c r="W65" s="337"/>
    </row>
    <row r="66" spans="1:23" s="499" customFormat="1" ht="11.4" customHeight="1">
      <c r="A66" s="856"/>
      <c r="B66" s="903" t="s">
        <v>398</v>
      </c>
      <c r="C66" s="329">
        <v>139.63</v>
      </c>
      <c r="D66" s="330">
        <f>+C66/24</f>
        <v>5.8179166666666662</v>
      </c>
      <c r="E66" s="729">
        <f>154.8/24*G66</f>
        <v>79.989099409448812</v>
      </c>
      <c r="F66" s="748">
        <f t="shared" ca="1" si="46"/>
        <v>2014.1835051176965</v>
      </c>
      <c r="G66" s="906">
        <f t="shared" si="47"/>
        <v>12.401410761154855</v>
      </c>
      <c r="H66" s="721">
        <v>4</v>
      </c>
      <c r="I66" s="721">
        <v>4</v>
      </c>
      <c r="J66" s="721">
        <f>0.125</f>
        <v>0.125</v>
      </c>
      <c r="K66" s="726">
        <f>+(H66*I66^3-(H66-J66*2)*(I66-J66*2)^3)/12</f>
        <v>4.853841145833333</v>
      </c>
      <c r="L66" s="893">
        <f t="shared" ca="1" si="48"/>
        <v>-178.89359363662467</v>
      </c>
      <c r="M66" s="894">
        <f t="shared" ca="1" si="49"/>
        <v>3.3313518368086528</v>
      </c>
      <c r="N66" s="895">
        <f t="shared" ca="1" si="50"/>
        <v>3.3313518368086528</v>
      </c>
      <c r="O66" s="895">
        <f t="shared" si="52"/>
        <v>2.4269205729166665</v>
      </c>
      <c r="P66" s="720">
        <f ca="1">+(F66*(PedHeight*12)^3)/(3*($C$20*1000000)*K66)/PierNumberOffBeams</f>
        <v>1.6425835517098515</v>
      </c>
      <c r="Q66" s="720">
        <f t="shared" si="51"/>
        <v>0.24671369203849514</v>
      </c>
      <c r="R66" s="350"/>
      <c r="T66" s="331"/>
      <c r="U66" s="350"/>
      <c r="V66" s="350"/>
      <c r="W66" s="337"/>
    </row>
    <row r="67" spans="1:23" s="317" customFormat="1" ht="11.4" customHeight="1">
      <c r="B67" s="327" t="s">
        <v>444</v>
      </c>
      <c r="C67" s="329">
        <f>13.67*4</f>
        <v>54.68</v>
      </c>
      <c r="D67" s="330">
        <f t="shared" ref="D67:D71" si="53">+C67/G67</f>
        <v>4.4091757827484495</v>
      </c>
      <c r="E67" s="729">
        <f>((H67*I67)-(H67-J67*2)*(I67-J67*2))*$G$22*G67*12</f>
        <v>221.38055573631806</v>
      </c>
      <c r="F67" s="748">
        <f t="shared" ca="1" si="46"/>
        <v>2014.1835051176965</v>
      </c>
      <c r="G67" s="906">
        <f t="shared" si="47"/>
        <v>12.401410761154855</v>
      </c>
      <c r="H67" s="720">
        <v>7.5</v>
      </c>
      <c r="I67" s="720">
        <v>10.5</v>
      </c>
      <c r="J67" s="720">
        <v>1.5</v>
      </c>
      <c r="K67" s="725">
        <f t="shared" ref="K67:K70" si="54">+(H67*I67^3-(H67-J67*2)*(I67-J67*2)^3)/12</f>
        <v>565.3125</v>
      </c>
      <c r="L67" s="893">
        <f t="shared" ca="1" si="48"/>
        <v>-178.89359363662467</v>
      </c>
      <c r="M67" s="894">
        <f ca="1">+ABS(L67*1000)/$E$22</f>
        <v>178.89359363662467</v>
      </c>
      <c r="N67" s="895">
        <f t="shared" ca="1" si="50"/>
        <v>178.89359363662467</v>
      </c>
      <c r="O67" s="895">
        <f t="shared" si="52"/>
        <v>107.67857142857143</v>
      </c>
      <c r="P67" s="720">
        <f ca="1">+(F67*(PedHeight*12)^3)/(3*($C$22*1000000)*K67)/PierNumberOffBeams</f>
        <v>0.3496225970775379</v>
      </c>
      <c r="Q67" s="720">
        <f t="shared" si="51"/>
        <v>0.24671369203849514</v>
      </c>
      <c r="R67" s="350"/>
      <c r="T67" s="331"/>
      <c r="U67" s="350"/>
      <c r="V67" s="350"/>
      <c r="W67" s="337"/>
    </row>
    <row r="68" spans="1:23" s="317" customFormat="1" ht="11.4" customHeight="1">
      <c r="A68" s="401"/>
      <c r="B68" s="327" t="s">
        <v>443</v>
      </c>
      <c r="C68" s="329">
        <f>13.67*2+10.77*2</f>
        <v>48.879999999999995</v>
      </c>
      <c r="D68" s="330">
        <f t="shared" si="53"/>
        <v>3.941487056707099</v>
      </c>
      <c r="E68" s="729">
        <f>((H68*I68)-(H68-J68*2)*(I68-J68*2))*$G$22*G68*12</f>
        <v>191.86314830480902</v>
      </c>
      <c r="F68" s="748">
        <f t="shared" ca="1" si="46"/>
        <v>2014.1835051176965</v>
      </c>
      <c r="G68" s="906">
        <f t="shared" si="47"/>
        <v>12.401410761154855</v>
      </c>
      <c r="H68" s="720">
        <v>7.5</v>
      </c>
      <c r="I68" s="720">
        <v>8.5</v>
      </c>
      <c r="J68" s="720">
        <v>1.5</v>
      </c>
      <c r="K68" s="725">
        <f t="shared" si="54"/>
        <v>321.4375</v>
      </c>
      <c r="L68" s="893">
        <f t="shared" ca="1" si="48"/>
        <v>-178.89359363662467</v>
      </c>
      <c r="M68" s="894">
        <f t="shared" ref="M68:M72" ca="1" si="55">+ABS(L68*1000)/$E$22</f>
        <v>178.89359363662467</v>
      </c>
      <c r="N68" s="895">
        <f t="shared" ca="1" si="50"/>
        <v>178.89359363662467</v>
      </c>
      <c r="O68" s="895">
        <f t="shared" si="52"/>
        <v>75.632352941176464</v>
      </c>
      <c r="P68" s="720">
        <f ca="1">+(F68*(PedHeight*12)^3)/(3*($C$22*1000000)*K68)/PierNumberOffBeams</f>
        <v>0.61488166256393739</v>
      </c>
      <c r="Q68" s="720">
        <f t="shared" si="51"/>
        <v>0.24671369203849514</v>
      </c>
      <c r="R68" s="350"/>
      <c r="T68" s="331"/>
      <c r="U68" s="350"/>
      <c r="V68" s="350"/>
      <c r="W68" s="337"/>
    </row>
    <row r="69" spans="1:23" s="317" customFormat="1" ht="11.4" customHeight="1">
      <c r="A69" s="397"/>
      <c r="B69" s="327" t="s">
        <v>442</v>
      </c>
      <c r="C69" s="329">
        <v>0</v>
      </c>
      <c r="D69" s="330">
        <f t="shared" si="53"/>
        <v>0</v>
      </c>
      <c r="E69" s="729">
        <f>(H69*I69)*$G$22*G69*12</f>
        <v>276.72569467039762</v>
      </c>
      <c r="F69" s="748">
        <f t="shared" ca="1" si="46"/>
        <v>2014.1835051176965</v>
      </c>
      <c r="G69" s="906">
        <f t="shared" si="47"/>
        <v>12.401410761154855</v>
      </c>
      <c r="H69" s="720">
        <v>7.5</v>
      </c>
      <c r="I69" s="720">
        <f>+H69</f>
        <v>7.5</v>
      </c>
      <c r="J69" s="720"/>
      <c r="K69" s="725">
        <f>+(H69*I69^3)/12</f>
        <v>263.671875</v>
      </c>
      <c r="L69" s="893">
        <f t="shared" ca="1" si="48"/>
        <v>-178.89359363662467</v>
      </c>
      <c r="M69" s="894">
        <f t="shared" ca="1" si="55"/>
        <v>178.89359363662467</v>
      </c>
      <c r="N69" s="895">
        <f t="shared" ca="1" si="50"/>
        <v>178.89359363662467</v>
      </c>
      <c r="O69" s="895">
        <f t="shared" si="52"/>
        <v>70.3125</v>
      </c>
      <c r="P69" s="720">
        <f ca="1">+(F69*(PedHeight*12)^3)/(3*($C$22*1000000)*K69)/PierNumberOffBeams</f>
        <v>0.74959084813424115</v>
      </c>
      <c r="Q69" s="720">
        <f t="shared" si="51"/>
        <v>0.24671369203849514</v>
      </c>
      <c r="R69" s="350"/>
      <c r="T69" s="350"/>
      <c r="U69" s="350"/>
      <c r="V69" s="350"/>
      <c r="W69" s="337"/>
    </row>
    <row r="70" spans="1:23" s="317" customFormat="1" ht="11.4" customHeight="1">
      <c r="A70" s="401"/>
      <c r="B70" s="327" t="s">
        <v>452</v>
      </c>
      <c r="C70" s="329">
        <f>13.67*2+7.67*2</f>
        <v>42.68</v>
      </c>
      <c r="D70" s="330">
        <f t="shared" si="53"/>
        <v>3.4415439357663464</v>
      </c>
      <c r="E70" s="729">
        <f>((H70*I70)-(H70-J70*2)*(I70-J70*2))*$G$22*G70*12</f>
        <v>162.34574087329992</v>
      </c>
      <c r="F70" s="748">
        <f t="shared" ca="1" si="46"/>
        <v>2014.1835051176965</v>
      </c>
      <c r="G70" s="906">
        <f t="shared" si="47"/>
        <v>12.401410761154855</v>
      </c>
      <c r="H70" s="720">
        <v>5.5</v>
      </c>
      <c r="I70" s="720">
        <v>8.5</v>
      </c>
      <c r="J70" s="720">
        <v>1.5</v>
      </c>
      <c r="K70" s="725">
        <f t="shared" si="54"/>
        <v>246.8125</v>
      </c>
      <c r="L70" s="893">
        <f t="shared" ca="1" si="48"/>
        <v>-178.89359363662467</v>
      </c>
      <c r="M70" s="894">
        <f t="shared" ca="1" si="55"/>
        <v>178.89359363662467</v>
      </c>
      <c r="N70" s="895">
        <f t="shared" ca="1" si="50"/>
        <v>178.89359363662467</v>
      </c>
      <c r="O70" s="895">
        <f t="shared" si="52"/>
        <v>58.073529411764703</v>
      </c>
      <c r="P70" s="720">
        <f ca="1">+(F70*(PedHeight*12)^3)/(3*($C$22*1000000)*K70)/PierNumberOffBeams</f>
        <v>0.80079422399755129</v>
      </c>
      <c r="Q70" s="720">
        <f t="shared" si="51"/>
        <v>0.24671369203849514</v>
      </c>
      <c r="R70" s="350"/>
      <c r="T70" s="337"/>
      <c r="U70" s="350"/>
      <c r="V70" s="350"/>
      <c r="W70" s="337"/>
    </row>
    <row r="71" spans="1:23" s="317" customFormat="1" ht="11.4" customHeight="1">
      <c r="B71" s="327" t="s">
        <v>385</v>
      </c>
      <c r="C71" s="329">
        <f>44.97</f>
        <v>44.97</v>
      </c>
      <c r="D71" s="330">
        <f t="shared" si="53"/>
        <v>3.6262003465654309</v>
      </c>
      <c r="E71" s="729">
        <f>254.4/12*G71</f>
        <v>262.9099081364829</v>
      </c>
      <c r="F71" s="748">
        <f t="shared" ca="1" si="46"/>
        <v>2014.1835051176965</v>
      </c>
      <c r="G71" s="906">
        <f t="shared" si="47"/>
        <v>12.401410761154855</v>
      </c>
      <c r="H71" s="720">
        <v>5.5</v>
      </c>
      <c r="I71" s="720">
        <f>+H71</f>
        <v>5.5</v>
      </c>
      <c r="J71" s="720"/>
      <c r="K71" s="725">
        <f>+(H71*I71^3)/12</f>
        <v>76.255208333333329</v>
      </c>
      <c r="L71" s="893">
        <f t="shared" ca="1" si="48"/>
        <v>-178.89359363662467</v>
      </c>
      <c r="M71" s="894">
        <f t="shared" ca="1" si="55"/>
        <v>178.89359363662467</v>
      </c>
      <c r="N71" s="895">
        <f t="shared" ca="1" si="50"/>
        <v>178.89359363662467</v>
      </c>
      <c r="O71" s="895">
        <f t="shared" si="52"/>
        <v>27.729166666666664</v>
      </c>
      <c r="P71" s="720">
        <f ca="1">+(F71*(PedHeight*12)^3)/(3*($C$22*1000000)*K71)/PierNumberOffBeams</f>
        <v>2.5919019661768976</v>
      </c>
      <c r="Q71" s="720">
        <f t="shared" si="51"/>
        <v>0.24671369203849514</v>
      </c>
      <c r="R71" s="350"/>
      <c r="T71" s="350"/>
      <c r="U71" s="350"/>
      <c r="V71" s="350"/>
      <c r="W71" s="337"/>
    </row>
    <row r="72" spans="1:23" s="317" customFormat="1" ht="11.4" customHeight="1">
      <c r="B72" s="327" t="s">
        <v>572</v>
      </c>
      <c r="C72" s="329">
        <v>9.57</v>
      </c>
      <c r="D72" s="330">
        <f t="shared" ref="D72" si="56">+C72/G72</f>
        <v>0.77168639796822713</v>
      </c>
      <c r="E72" s="729">
        <f>103/12*G72</f>
        <v>106.44544236657917</v>
      </c>
      <c r="F72" s="748">
        <f t="shared" ca="1" si="46"/>
        <v>2014.1835051176965</v>
      </c>
      <c r="G72" s="906">
        <f t="shared" si="47"/>
        <v>12.401410761154855</v>
      </c>
      <c r="H72" s="720">
        <v>1.5</v>
      </c>
      <c r="I72" s="720">
        <f>7.25</f>
        <v>7.25</v>
      </c>
      <c r="J72" s="720"/>
      <c r="K72" s="725">
        <f>+(H72*I72^3)/12</f>
        <v>47.634765625</v>
      </c>
      <c r="L72" s="893">
        <f t="shared" ca="1" si="48"/>
        <v>-178.89359363662467</v>
      </c>
      <c r="M72" s="894">
        <f t="shared" ca="1" si="55"/>
        <v>178.89359363662467</v>
      </c>
      <c r="N72" s="895">
        <f t="shared" ca="1" si="50"/>
        <v>178.89359363662467</v>
      </c>
      <c r="O72" s="895">
        <f t="shared" si="52"/>
        <v>13.140625</v>
      </c>
      <c r="P72" s="720">
        <f ca="1">+(F72*(PedHeight*12)^3)/(3*($C$22*1000000)*K72)/PierNumberOffBeams</f>
        <v>4.1491969534676523</v>
      </c>
      <c r="Q72" s="720">
        <f t="shared" si="51"/>
        <v>0.24671369203849514</v>
      </c>
      <c r="R72" s="350"/>
      <c r="T72" s="350"/>
      <c r="U72" s="350"/>
      <c r="V72" s="350"/>
      <c r="W72" s="337"/>
    </row>
    <row r="73" spans="1:23" s="317" customFormat="1" ht="11.4" customHeight="1">
      <c r="A73" s="401"/>
      <c r="B73" s="327" t="s">
        <v>571</v>
      </c>
      <c r="C73" s="329">
        <v>7.47</v>
      </c>
      <c r="D73" s="330">
        <f t="shared" ref="D73" si="57">+C73/G73</f>
        <v>0.60235082474635904</v>
      </c>
      <c r="E73" s="729">
        <f t="shared" ref="E73" si="58">103/12*G73</f>
        <v>106.44544236657917</v>
      </c>
      <c r="F73" s="748">
        <f t="shared" ca="1" si="46"/>
        <v>2014.1835051176965</v>
      </c>
      <c r="G73" s="906">
        <f t="shared" si="47"/>
        <v>12.401410761154855</v>
      </c>
      <c r="H73" s="720">
        <v>1.5</v>
      </c>
      <c r="I73" s="720">
        <f>5.5</f>
        <v>5.5</v>
      </c>
      <c r="J73" s="720"/>
      <c r="K73" s="725">
        <f>+(H73*I73^3)/12</f>
        <v>20.796875</v>
      </c>
      <c r="L73" s="893">
        <f t="shared" ca="1" si="48"/>
        <v>-178.89359363662467</v>
      </c>
      <c r="M73" s="894">
        <f ca="1">+ABS(L73*1000)/$E$22</f>
        <v>178.89359363662467</v>
      </c>
      <c r="N73" s="895">
        <f t="shared" ca="1" si="50"/>
        <v>178.89359363662467</v>
      </c>
      <c r="O73" s="895">
        <f t="shared" si="52"/>
        <v>7.5625</v>
      </c>
      <c r="P73" s="720">
        <f ca="1">+(F73*(PedHeight*12)^3)/(3*($C$22*1000000)*K73)/PierNumberOffBeams</f>
        <v>9.5036405426486255</v>
      </c>
      <c r="Q73" s="720">
        <f t="shared" si="51"/>
        <v>0.24671369203849514</v>
      </c>
      <c r="R73" s="350"/>
      <c r="T73" s="350"/>
      <c r="U73" s="350"/>
      <c r="V73" s="350"/>
      <c r="W73" s="337"/>
    </row>
    <row r="74" spans="1:23" s="317" customFormat="1" ht="11.4" customHeight="1">
      <c r="B74" s="327" t="s">
        <v>570</v>
      </c>
      <c r="C74" s="329">
        <v>9.9700000000000006</v>
      </c>
      <c r="D74" s="330">
        <f>+C74/G74</f>
        <v>0.80394079286763065</v>
      </c>
      <c r="E74" s="729">
        <f>103/12*G74</f>
        <v>106.44544236657917</v>
      </c>
      <c r="F74" s="748">
        <f t="shared" ca="1" si="46"/>
        <v>2014.1835051176965</v>
      </c>
      <c r="G74" s="906">
        <f t="shared" si="47"/>
        <v>12.401410761154855</v>
      </c>
      <c r="H74" s="720">
        <v>3.56</v>
      </c>
      <c r="I74" s="720">
        <f t="shared" ref="I74" si="59">+H74</f>
        <v>3.56</v>
      </c>
      <c r="J74" s="720"/>
      <c r="K74" s="725">
        <f>+(H74*I74^3)/12</f>
        <v>13.385011413333336</v>
      </c>
      <c r="L74" s="893">
        <f t="shared" ca="1" si="48"/>
        <v>-178.89359363662467</v>
      </c>
      <c r="M74" s="894">
        <f ca="1">+ABS(L74*1000)/$E$22</f>
        <v>178.89359363662467</v>
      </c>
      <c r="N74" s="895">
        <f t="shared" ca="1" si="50"/>
        <v>178.89359363662467</v>
      </c>
      <c r="O74" s="895">
        <f t="shared" si="52"/>
        <v>7.5196693333333346</v>
      </c>
      <c r="P74" s="720">
        <f ca="1">+(F74*(PedHeight*12)^3)/(3*($C$22*1000000)*K74)/PierNumberOffBeams</f>
        <v>14.766220088054064</v>
      </c>
      <c r="Q74" s="720">
        <f t="shared" si="51"/>
        <v>0.24671369203849514</v>
      </c>
      <c r="R74" s="350"/>
      <c r="T74" s="350"/>
      <c r="U74" s="350"/>
      <c r="V74" s="350"/>
      <c r="W74" s="337"/>
    </row>
    <row r="75" spans="1:23" s="317" customFormat="1" ht="11.4" customHeight="1">
      <c r="B75" s="327" t="s">
        <v>386</v>
      </c>
      <c r="C75" s="329">
        <v>19</v>
      </c>
      <c r="D75" s="330">
        <f>+C75/G75</f>
        <v>1.5320837577216631</v>
      </c>
      <c r="E75" s="729">
        <f>103/12*G75</f>
        <v>106.44544236657917</v>
      </c>
      <c r="F75" s="748">
        <f t="shared" ca="1" si="46"/>
        <v>2014.1835051176965</v>
      </c>
      <c r="G75" s="906">
        <f t="shared" si="47"/>
        <v>12.401410761154855</v>
      </c>
      <c r="H75" s="720">
        <v>3.5</v>
      </c>
      <c r="I75" s="720">
        <f>+H75</f>
        <v>3.5</v>
      </c>
      <c r="J75" s="720"/>
      <c r="K75" s="725">
        <f>+(H75*I75^3)/12</f>
        <v>12.505208333333334</v>
      </c>
      <c r="L75" s="893">
        <f t="shared" ca="1" si="48"/>
        <v>-178.89359363662467</v>
      </c>
      <c r="M75" s="894">
        <f ca="1">+ABS(L75*1000)/$E$22</f>
        <v>178.89359363662467</v>
      </c>
      <c r="N75" s="895">
        <f t="shared" ca="1" si="50"/>
        <v>178.89359363662467</v>
      </c>
      <c r="O75" s="895">
        <f t="shared" si="52"/>
        <v>7.1458333333333339</v>
      </c>
      <c r="P75" s="720">
        <f ca="1">+(F75*(PedHeight*12)^3)/(3*($C$22*1000000)*K75)/PierNumberOffBeams</f>
        <v>15.805096495958335</v>
      </c>
      <c r="Q75" s="720">
        <f t="shared" si="51"/>
        <v>0.24671369203849514</v>
      </c>
      <c r="R75" s="350"/>
      <c r="T75" s="350"/>
      <c r="U75" s="350"/>
      <c r="V75" s="350"/>
      <c r="W75" s="337"/>
    </row>
    <row r="77" spans="1:23" s="317" customFormat="1" ht="11.4" customHeight="1">
      <c r="A77" s="401"/>
      <c r="B77" s="327" t="s">
        <v>372</v>
      </c>
      <c r="F77" s="728"/>
      <c r="G77" s="326"/>
      <c r="I77" s="323"/>
      <c r="K77" s="337"/>
      <c r="L77" s="323"/>
      <c r="M77" s="894"/>
      <c r="N77" s="895"/>
      <c r="O77" s="323"/>
      <c r="P77" s="720"/>
      <c r="Q77" s="720"/>
      <c r="R77" s="339"/>
      <c r="S77" s="323"/>
      <c r="T77" s="323"/>
      <c r="U77" s="323"/>
      <c r="W77" s="323"/>
    </row>
    <row r="78" spans="1:23" s="317" customFormat="1" ht="11.4" customHeight="1">
      <c r="A78" s="401"/>
      <c r="B78" s="327" t="s">
        <v>384</v>
      </c>
      <c r="C78" s="329">
        <v>125</v>
      </c>
      <c r="D78" s="330">
        <f>+C78/G78</f>
        <v>10.079498406063573</v>
      </c>
      <c r="E78" s="729">
        <f>288/24*G78</f>
        <v>148.81692913385825</v>
      </c>
      <c r="F78" s="748">
        <f ca="1">WindForce*COS(RADIANS(EWSolarPowerAngle))</f>
        <v>2014.1835051176965</v>
      </c>
      <c r="G78" s="906">
        <f>PedHeight+FrostLine</f>
        <v>12.401410761154855</v>
      </c>
      <c r="H78" s="720">
        <v>5.5</v>
      </c>
      <c r="I78" s="720">
        <f>+H78</f>
        <v>5.5</v>
      </c>
      <c r="J78" s="720"/>
      <c r="K78" s="725">
        <f>+(H78*I78^3)/12</f>
        <v>76.255208333333329</v>
      </c>
      <c r="L78" s="893">
        <f ca="1">+F78*(PedHeight*12)*PierMomOfInertiaMaxFactor/1000</f>
        <v>-178.89359363662467</v>
      </c>
      <c r="M78" s="894">
        <f t="shared" ref="M78:M79" ca="1" si="60">+ABS(L78*1000)/$E$22</f>
        <v>178.89359363662467</v>
      </c>
      <c r="N78" s="895">
        <f ca="1">+M78/PierNumberOffBeams*PierSafetyFactor</f>
        <v>178.89359363662467</v>
      </c>
      <c r="O78" s="895">
        <f t="shared" ref="O78:O79" si="61">K78/(I78/2)</f>
        <v>27.729166666666664</v>
      </c>
      <c r="P78" s="720">
        <f ca="1">+(F78*(PedHeight*12)^3)/(3*($C$22*1000000)*K78)/PierNumberOffBeams</f>
        <v>2.5919019661768976</v>
      </c>
      <c r="Q78" s="720">
        <f>+PedHeight*12/360</f>
        <v>0.24671369203849514</v>
      </c>
      <c r="R78" s="350"/>
      <c r="S78" s="350"/>
      <c r="T78" s="350"/>
      <c r="U78" s="350"/>
      <c r="V78" s="350"/>
      <c r="W78" s="337"/>
    </row>
    <row r="79" spans="1:23" s="317" customFormat="1" ht="11.4" customHeight="1">
      <c r="A79" s="401"/>
      <c r="B79" s="327" t="s">
        <v>380</v>
      </c>
      <c r="C79" s="329"/>
      <c r="D79" s="330">
        <f>+C79/G79</f>
        <v>0</v>
      </c>
      <c r="E79" s="729"/>
      <c r="F79" s="728">
        <v>600</v>
      </c>
      <c r="G79" s="906">
        <f>PedHeight+FrostLine</f>
        <v>12.401410761154855</v>
      </c>
      <c r="H79" s="720">
        <v>1.5</v>
      </c>
      <c r="I79" s="720">
        <v>11.25</v>
      </c>
      <c r="J79" s="720">
        <f>+H79/2</f>
        <v>0.75</v>
      </c>
      <c r="K79" s="725">
        <f>+(H79*I79^3-(H79-J79*2)*(I79-J79*2)^3)/12</f>
        <v>177.978515625</v>
      </c>
      <c r="L79" s="893">
        <f>+F79*(PedHeight*12)*PierMomOfInertiaMaxFactor/1000</f>
        <v>-53.290157480314946</v>
      </c>
      <c r="M79" s="894">
        <f t="shared" si="60"/>
        <v>53.290157480314946</v>
      </c>
      <c r="N79" s="895">
        <f>+M79/PierNumberOffBeams*PierSafetyFactor</f>
        <v>53.290157480314946</v>
      </c>
      <c r="O79" s="895">
        <f t="shared" si="61"/>
        <v>31.640625</v>
      </c>
      <c r="P79" s="720">
        <f>+(F79*(PedHeight*12)^3)/(3*($C$22*1000000)*K79)/PierNumberOffBeams</f>
        <v>0.3308054973275093</v>
      </c>
      <c r="Q79" s="720">
        <f>+PedHeight*12/360</f>
        <v>0.24671369203849514</v>
      </c>
      <c r="R79" s="350"/>
      <c r="S79" s="350"/>
      <c r="T79" s="350"/>
      <c r="U79" s="350"/>
      <c r="V79" s="350"/>
      <c r="W79" s="337"/>
    </row>
    <row r="80" spans="1:23" s="317" customFormat="1" ht="11.4" customHeight="1">
      <c r="A80" s="401"/>
      <c r="B80" s="327"/>
      <c r="C80" s="329"/>
      <c r="D80" s="330"/>
      <c r="E80" s="729"/>
      <c r="F80" s="728"/>
      <c r="G80" s="727"/>
      <c r="H80" s="720"/>
      <c r="I80" s="720"/>
      <c r="J80" s="720"/>
      <c r="K80" s="725"/>
      <c r="L80" s="724"/>
      <c r="M80" s="723"/>
      <c r="N80" s="723"/>
      <c r="O80" s="723"/>
      <c r="P80" s="720"/>
      <c r="Q80" s="720"/>
      <c r="R80" s="350"/>
      <c r="S80" s="350"/>
      <c r="T80" s="350"/>
      <c r="U80" s="350"/>
      <c r="V80" s="350"/>
      <c r="W80" s="339"/>
    </row>
    <row r="81" spans="1:23" s="317" customFormat="1" ht="23.4">
      <c r="A81" s="397"/>
      <c r="B81" s="353" t="s">
        <v>645</v>
      </c>
      <c r="G81" s="326"/>
      <c r="I81" s="323"/>
      <c r="J81" s="326"/>
      <c r="O81" s="341" t="s">
        <v>453</v>
      </c>
      <c r="R81" s="337"/>
    </row>
    <row r="82" spans="1:23" s="317" customFormat="1" ht="11.4" customHeight="1">
      <c r="A82" s="401"/>
      <c r="B82" s="327"/>
      <c r="C82" s="329"/>
      <c r="D82" s="330"/>
      <c r="E82" s="729"/>
      <c r="F82" s="728"/>
      <c r="G82" s="727"/>
      <c r="H82" s="720"/>
      <c r="I82" s="720"/>
      <c r="J82" s="720"/>
      <c r="K82" s="725"/>
      <c r="L82" s="724"/>
      <c r="M82" s="723"/>
      <c r="N82" s="317" t="s">
        <v>647</v>
      </c>
      <c r="O82" s="373">
        <v>2</v>
      </c>
      <c r="P82" s="720"/>
      <c r="Q82" s="720"/>
      <c r="R82" s="350"/>
      <c r="S82" s="350"/>
      <c r="T82" s="350"/>
      <c r="U82" s="350"/>
      <c r="V82" s="350"/>
      <c r="W82" s="339"/>
    </row>
    <row r="83" spans="1:23" s="317" customFormat="1" ht="11.4" customHeight="1">
      <c r="A83" s="397"/>
      <c r="B83" s="353"/>
      <c r="C83" s="317" t="s">
        <v>403</v>
      </c>
      <c r="D83" s="317" t="s">
        <v>403</v>
      </c>
      <c r="E83" s="317" t="s">
        <v>403</v>
      </c>
      <c r="F83" s="317" t="s">
        <v>410</v>
      </c>
      <c r="G83" s="326" t="s">
        <v>410</v>
      </c>
      <c r="H83" s="317" t="s">
        <v>425</v>
      </c>
      <c r="I83" s="317" t="s">
        <v>426</v>
      </c>
      <c r="J83" s="317" t="s">
        <v>579</v>
      </c>
      <c r="K83" s="317" t="s">
        <v>404</v>
      </c>
      <c r="L83" s="317" t="s">
        <v>406</v>
      </c>
      <c r="M83" s="317" t="s">
        <v>408</v>
      </c>
      <c r="N83" s="369" t="s">
        <v>648</v>
      </c>
      <c r="O83" s="317" t="s">
        <v>409</v>
      </c>
      <c r="P83" s="348" t="s">
        <v>59</v>
      </c>
    </row>
    <row r="84" spans="1:23" s="317" customFormat="1" ht="11.4" customHeight="1">
      <c r="A84" s="401"/>
      <c r="B84" s="327"/>
      <c r="C84" s="341" t="s">
        <v>383</v>
      </c>
      <c r="D84" s="341" t="s">
        <v>427</v>
      </c>
      <c r="E84" s="341" t="s">
        <v>240</v>
      </c>
      <c r="F84" s="341" t="s">
        <v>411</v>
      </c>
      <c r="G84" s="340" t="s">
        <v>24</v>
      </c>
      <c r="H84" s="341" t="s">
        <v>25</v>
      </c>
      <c r="I84" s="347" t="s">
        <v>377</v>
      </c>
      <c r="J84" s="341" t="s">
        <v>26</v>
      </c>
      <c r="K84" s="340" t="s">
        <v>405</v>
      </c>
      <c r="L84" s="341" t="s">
        <v>378</v>
      </c>
      <c r="M84" s="342" t="s">
        <v>428</v>
      </c>
      <c r="O84" s="369" t="s">
        <v>407</v>
      </c>
      <c r="P84" s="341" t="s">
        <v>430</v>
      </c>
      <c r="Q84" s="348" t="s">
        <v>390</v>
      </c>
      <c r="R84" s="339"/>
      <c r="T84" s="331"/>
    </row>
    <row r="85" spans="1:23" s="317" customFormat="1" ht="11.4" customHeight="1">
      <c r="B85" s="327" t="s">
        <v>649</v>
      </c>
      <c r="C85" s="329"/>
      <c r="D85" s="330"/>
      <c r="E85" s="729"/>
      <c r="F85" s="748">
        <f ca="1">[0]!HookLoad</f>
        <v>551.49999999999989</v>
      </c>
      <c r="G85" s="747">
        <f ca="1">HookOverhang</f>
        <v>7.5661218498199236</v>
      </c>
      <c r="H85" s="747">
        <f>HookWidth</f>
        <v>2</v>
      </c>
      <c r="I85" s="747">
        <f>HookThick</f>
        <v>0.375</v>
      </c>
      <c r="J85" s="720"/>
      <c r="K85" s="741">
        <f>+(H85*I85^3)/12</f>
        <v>8.7890625E-3</v>
      </c>
      <c r="L85" s="745">
        <f ca="1">+(F85*G85)/1</f>
        <v>4172.7162001756869</v>
      </c>
      <c r="M85" s="742">
        <f ca="1">+F85*G85/$E$20</f>
        <v>7.770421229377443E-2</v>
      </c>
      <c r="N85" s="742">
        <f ca="1">+M85*$O$82</f>
        <v>0.15540842458754886</v>
      </c>
      <c r="O85" s="742">
        <f t="shared" ref="O85" si="62">K85/(I85/2)</f>
        <v>4.6875E-2</v>
      </c>
      <c r="P85" s="746">
        <f ca="1">+(F85*G85^3)/(3*($C$20*1000000)*K85)</f>
        <v>0.30709990833544071</v>
      </c>
      <c r="Q85" s="746">
        <f ca="1">+G85/360</f>
        <v>2.1017005138388677E-2</v>
      </c>
      <c r="R85" s="350"/>
      <c r="S85" s="350"/>
      <c r="T85" s="331"/>
      <c r="U85" s="350"/>
      <c r="V85" s="350"/>
      <c r="W85" s="337"/>
    </row>
    <row r="86" spans="1:23" s="317" customFormat="1" ht="11.4" customHeight="1">
      <c r="B86" s="327"/>
      <c r="C86" s="329"/>
      <c r="D86" s="330"/>
      <c r="E86" s="729"/>
      <c r="F86" s="748"/>
      <c r="G86" s="747"/>
      <c r="H86" s="747"/>
      <c r="I86" s="747"/>
      <c r="J86" s="720"/>
      <c r="K86" s="741"/>
      <c r="L86" s="745"/>
      <c r="M86" s="742">
        <f>(H85*I85^2)/3</f>
        <v>9.375E-2</v>
      </c>
      <c r="N86" s="742"/>
      <c r="O86" s="742"/>
      <c r="P86" s="746"/>
      <c r="Q86" s="746"/>
      <c r="R86" s="350"/>
      <c r="S86" s="350"/>
      <c r="T86" s="331"/>
      <c r="U86" s="350"/>
      <c r="V86" s="350"/>
      <c r="W86" s="339"/>
    </row>
    <row r="87" spans="1:23" s="317" customFormat="1" ht="11.4" customHeight="1">
      <c r="B87" s="327"/>
      <c r="C87" s="329"/>
      <c r="D87" s="330"/>
      <c r="E87" s="729"/>
      <c r="F87" s="748"/>
      <c r="G87" s="747"/>
      <c r="H87" s="747"/>
      <c r="I87" s="747"/>
      <c r="J87" s="720"/>
      <c r="K87" s="741"/>
      <c r="L87" s="745"/>
      <c r="M87" s="742"/>
      <c r="N87" s="742"/>
      <c r="O87" s="742"/>
      <c r="P87" s="746"/>
      <c r="Q87" s="746"/>
      <c r="R87" s="350"/>
      <c r="S87" s="350"/>
      <c r="T87" s="331"/>
      <c r="U87" s="350"/>
      <c r="V87" s="350"/>
      <c r="W87" s="339"/>
    </row>
    <row r="88" spans="1:23" s="317" customFormat="1" ht="11.4" customHeight="1">
      <c r="B88" s="327" t="s">
        <v>654</v>
      </c>
      <c r="C88" s="329"/>
      <c r="D88" s="330"/>
      <c r="E88" s="729"/>
      <c r="F88" s="748">
        <f ca="1">[0]!HookLoad</f>
        <v>551.49999999999989</v>
      </c>
      <c r="G88" s="747">
        <f>HookWidth</f>
        <v>2</v>
      </c>
      <c r="I88" s="750">
        <f>PivitDia</f>
        <v>0.625</v>
      </c>
      <c r="J88" s="720"/>
      <c r="K88" s="741">
        <f>(PI()*I88^4)/64</f>
        <v>7.4901405658478575E-3</v>
      </c>
      <c r="L88" s="751">
        <f ca="1">(F88*G88^2)/12</f>
        <v>183.83333333333329</v>
      </c>
      <c r="M88" s="742">
        <f ca="1">+F88*G88/$E$20</f>
        <v>2.0540037243947856E-2</v>
      </c>
      <c r="N88" s="742">
        <f ca="1">+M88*$O$82</f>
        <v>4.1080074487895711E-2</v>
      </c>
      <c r="O88" s="742">
        <f t="shared" ref="O88:O89" si="63">K88/(I88/2)</f>
        <v>2.3968449810713145E-2</v>
      </c>
      <c r="P88" s="749">
        <f ca="1">(F88*G88^3)/(($C$20*1000000)*K88*384)</f>
        <v>5.1998677155113706E-5</v>
      </c>
      <c r="Q88" s="746">
        <f>+G88/360</f>
        <v>5.5555555555555558E-3</v>
      </c>
      <c r="R88" s="350"/>
      <c r="S88" s="350"/>
      <c r="T88" s="331"/>
      <c r="U88" s="350"/>
      <c r="V88" s="350"/>
      <c r="W88" s="337"/>
    </row>
    <row r="89" spans="1:23" s="317" customFormat="1" ht="11.4" customHeight="1">
      <c r="B89" s="327" t="s">
        <v>655</v>
      </c>
      <c r="C89" s="329"/>
      <c r="D89" s="330"/>
      <c r="E89" s="729"/>
      <c r="F89" s="748">
        <f ca="1">[0]!HookLoad</f>
        <v>551.49999999999989</v>
      </c>
      <c r="G89" s="747">
        <f>HookWidth</f>
        <v>2</v>
      </c>
      <c r="I89" s="750">
        <f>PivitDia</f>
        <v>0.625</v>
      </c>
      <c r="J89" s="720"/>
      <c r="K89" s="741">
        <f>(PI()*I89^4)/64</f>
        <v>7.4901405658478575E-3</v>
      </c>
      <c r="L89" s="752">
        <f ca="1">(F89*G89^2)/8</f>
        <v>275.74999999999994</v>
      </c>
      <c r="M89" s="742">
        <f ca="1">+F89*G89/$E$20</f>
        <v>2.0540037243947856E-2</v>
      </c>
      <c r="N89" s="742">
        <f ca="1">+M89*$O$82</f>
        <v>4.1080074487895711E-2</v>
      </c>
      <c r="O89" s="742">
        <f t="shared" si="63"/>
        <v>2.3968449810713145E-2</v>
      </c>
      <c r="P89" s="749">
        <f ca="1">(F89*G89^3)/(($C$20*1000000)*K89*(384/5))</f>
        <v>2.5999338577556853E-4</v>
      </c>
      <c r="Q89" s="746">
        <f>+G89/360</f>
        <v>5.5555555555555558E-3</v>
      </c>
      <c r="R89" s="350"/>
      <c r="S89" s="350"/>
      <c r="T89" s="331"/>
      <c r="U89" s="350"/>
      <c r="V89" s="350"/>
      <c r="W89" s="337"/>
    </row>
    <row r="90" spans="1:23" s="317" customFormat="1" ht="11.4" customHeight="1">
      <c r="A90" s="401"/>
      <c r="B90" s="337"/>
      <c r="C90" s="329"/>
      <c r="D90" s="330"/>
      <c r="E90" s="729"/>
      <c r="F90" s="728"/>
      <c r="G90" s="727"/>
      <c r="H90" s="720"/>
      <c r="I90" s="720"/>
      <c r="J90" s="720"/>
      <c r="K90" s="725"/>
      <c r="L90" s="724"/>
      <c r="M90" s="723"/>
      <c r="N90" s="723"/>
      <c r="O90" s="723"/>
      <c r="P90" s="720"/>
      <c r="Q90" s="720"/>
      <c r="R90" s="350"/>
      <c r="S90" s="350"/>
      <c r="T90" s="350"/>
      <c r="U90" s="350"/>
      <c r="V90" s="350"/>
      <c r="W90" s="339"/>
    </row>
    <row r="91" spans="1:23" s="317" customFormat="1" ht="11.4" customHeight="1">
      <c r="A91" s="401"/>
      <c r="B91" s="337"/>
      <c r="C91" s="329"/>
      <c r="D91" s="330"/>
      <c r="E91" s="729"/>
      <c r="F91" s="728"/>
      <c r="G91" s="727"/>
      <c r="H91" s="720"/>
      <c r="I91" s="720"/>
      <c r="J91" s="720"/>
      <c r="K91" s="725"/>
      <c r="L91" s="724"/>
      <c r="M91" s="723"/>
      <c r="N91" s="723"/>
      <c r="O91" s="723"/>
      <c r="P91" s="720"/>
      <c r="Q91" s="720"/>
      <c r="R91" s="350"/>
      <c r="S91" s="350"/>
      <c r="T91" s="350"/>
      <c r="U91" s="350"/>
      <c r="V91" s="350"/>
      <c r="W91" s="339"/>
    </row>
    <row r="92" spans="1:23" s="317" customFormat="1" ht="11.4" customHeight="1">
      <c r="A92" s="401"/>
      <c r="B92" s="327"/>
      <c r="C92" s="329"/>
      <c r="D92" s="330"/>
      <c r="E92" s="729"/>
      <c r="F92" s="728"/>
      <c r="G92" s="727"/>
      <c r="H92" s="720"/>
      <c r="I92" s="720"/>
      <c r="J92" s="720"/>
      <c r="K92" s="725"/>
      <c r="L92" s="724"/>
      <c r="M92" s="723"/>
      <c r="N92" s="723"/>
      <c r="O92" s="723"/>
      <c r="P92" s="720"/>
      <c r="Q92" s="720"/>
      <c r="R92" s="350"/>
      <c r="S92" s="350"/>
      <c r="T92" s="350"/>
      <c r="U92" s="350"/>
      <c r="V92" s="350"/>
      <c r="W92" s="339"/>
    </row>
    <row r="93" spans="1:23" s="317" customFormat="1" ht="11.4" customHeight="1">
      <c r="A93" s="401"/>
      <c r="B93" s="327"/>
      <c r="C93" s="329"/>
      <c r="D93" s="330"/>
      <c r="E93" s="729"/>
      <c r="F93" s="728"/>
      <c r="G93" s="727"/>
      <c r="H93" s="720"/>
      <c r="I93" s="720"/>
      <c r="J93" s="720"/>
      <c r="K93" s="725"/>
      <c r="L93" s="724"/>
      <c r="M93" s="723"/>
      <c r="N93" s="723"/>
      <c r="O93" s="723"/>
      <c r="P93" s="720"/>
      <c r="Q93" s="720"/>
      <c r="R93" s="350"/>
      <c r="S93" s="350"/>
      <c r="T93" s="350"/>
      <c r="U93" s="350"/>
      <c r="V93" s="350"/>
      <c r="W93" s="339"/>
    </row>
    <row r="94" spans="1:23" s="317" customFormat="1" ht="11.4" customHeight="1">
      <c r="A94" s="401"/>
      <c r="B94" s="327"/>
      <c r="C94" s="329"/>
      <c r="D94" s="330"/>
      <c r="E94" s="729"/>
      <c r="F94" s="728"/>
      <c r="G94" s="727"/>
      <c r="H94" s="720"/>
      <c r="I94" s="720"/>
      <c r="J94" s="720"/>
      <c r="K94" s="725"/>
      <c r="L94" s="724"/>
      <c r="M94" s="723"/>
      <c r="N94" s="723"/>
      <c r="O94" s="723"/>
      <c r="P94" s="720"/>
      <c r="Q94" s="720"/>
      <c r="R94" s="350"/>
      <c r="S94" s="350"/>
      <c r="T94" s="350"/>
      <c r="U94" s="350"/>
      <c r="V94" s="350"/>
      <c r="W94" s="339"/>
    </row>
    <row r="95" spans="1:23" s="317" customFormat="1" ht="11.4" customHeight="1">
      <c r="A95" s="401"/>
      <c r="B95" s="327"/>
      <c r="C95" s="329"/>
      <c r="D95" s="330"/>
      <c r="E95" s="729"/>
      <c r="F95" s="728"/>
      <c r="G95" s="727"/>
      <c r="H95" s="720"/>
      <c r="I95" s="720"/>
      <c r="J95" s="720"/>
      <c r="K95" s="725"/>
      <c r="L95" s="724"/>
      <c r="M95" s="723"/>
      <c r="N95" s="723"/>
      <c r="O95" s="723"/>
      <c r="P95" s="720"/>
      <c r="Q95" s="720"/>
      <c r="R95" s="350"/>
      <c r="S95" s="350"/>
      <c r="T95" s="350"/>
      <c r="U95" s="350"/>
      <c r="V95" s="350"/>
      <c r="W95" s="339"/>
    </row>
    <row r="96" spans="1:23" s="317" customFormat="1" ht="11.4" customHeight="1">
      <c r="A96" s="401"/>
      <c r="B96" s="327"/>
      <c r="C96" s="329"/>
      <c r="D96" s="330"/>
      <c r="E96" s="729"/>
      <c r="F96" s="728"/>
      <c r="G96" s="727"/>
      <c r="H96" s="720"/>
      <c r="I96" s="720"/>
      <c r="J96" s="720"/>
      <c r="K96" s="725"/>
      <c r="L96" s="724"/>
      <c r="M96" s="723"/>
      <c r="N96" s="723"/>
      <c r="O96" s="723"/>
      <c r="P96" s="720"/>
      <c r="Q96" s="720"/>
      <c r="R96" s="350"/>
      <c r="S96" s="350"/>
      <c r="T96" s="350"/>
      <c r="U96" s="350"/>
      <c r="V96" s="350"/>
      <c r="W96" s="339"/>
    </row>
    <row r="97" spans="1:23" s="317" customFormat="1" ht="11.4" customHeight="1">
      <c r="A97" s="401"/>
      <c r="B97" s="327"/>
      <c r="C97" s="329"/>
      <c r="D97" s="330"/>
      <c r="E97" s="729"/>
      <c r="F97" s="728"/>
      <c r="G97" s="727"/>
      <c r="H97" s="720"/>
      <c r="I97" s="720"/>
      <c r="J97" s="720"/>
      <c r="K97" s="725"/>
      <c r="L97" s="724"/>
      <c r="M97" s="723"/>
      <c r="N97" s="723"/>
      <c r="O97" s="723"/>
      <c r="P97" s="720"/>
      <c r="Q97" s="720"/>
      <c r="R97" s="350"/>
      <c r="S97" s="350"/>
      <c r="T97" s="350"/>
      <c r="U97" s="350"/>
      <c r="V97" s="350"/>
      <c r="W97" s="339"/>
    </row>
    <row r="98" spans="1:23" s="317" customFormat="1" ht="11.4" customHeight="1">
      <c r="A98" s="401"/>
      <c r="B98" s="327"/>
      <c r="D98" s="329"/>
      <c r="E98" s="330"/>
      <c r="F98" s="331"/>
      <c r="G98" s="328"/>
      <c r="H98" s="332"/>
      <c r="I98" s="333"/>
      <c r="J98" s="334"/>
      <c r="K98" s="334"/>
      <c r="L98" s="335"/>
      <c r="M98" s="336"/>
      <c r="N98" s="336"/>
    </row>
    <row r="99" spans="1:23" s="317" customFormat="1" ht="23.4">
      <c r="A99" s="397"/>
      <c r="B99" s="353" t="s">
        <v>440</v>
      </c>
      <c r="G99" s="326"/>
      <c r="I99" s="323"/>
      <c r="J99" s="326"/>
    </row>
    <row r="100" spans="1:23" s="360" customFormat="1" ht="11.4" customHeight="1">
      <c r="A100" s="405"/>
      <c r="B100" s="496" t="s">
        <v>652</v>
      </c>
      <c r="C100" s="361"/>
      <c r="D100" s="361"/>
      <c r="E100" s="361"/>
      <c r="F100" s="361"/>
      <c r="G100" s="361"/>
      <c r="H100" s="361"/>
      <c r="I100" s="361"/>
      <c r="J100" s="361"/>
      <c r="K100" s="361"/>
      <c r="L100" s="361"/>
      <c r="M100" s="361"/>
      <c r="N100" s="361"/>
      <c r="O100" s="361"/>
      <c r="P100" s="361"/>
      <c r="Q100" s="361"/>
      <c r="R100" s="361"/>
      <c r="S100" s="361"/>
      <c r="T100" s="361"/>
      <c r="U100" s="361"/>
      <c r="V100" s="361"/>
    </row>
    <row r="101" spans="1:23" s="360" customFormat="1" ht="11.4" customHeight="1">
      <c r="A101" s="405"/>
      <c r="B101" s="360" t="s">
        <v>143</v>
      </c>
      <c r="D101" s="363">
        <f ca="1">+MainAxisLen</f>
        <v>17.999999999999982</v>
      </c>
      <c r="E101" s="596">
        <f ca="1">+BCostPerFt</f>
        <v>6.7179166666666665</v>
      </c>
      <c r="F101" s="901">
        <f ca="1">+D101*E101</f>
        <v>120.92249999999987</v>
      </c>
      <c r="I101" s="361"/>
      <c r="J101" s="361"/>
      <c r="K101" s="361"/>
      <c r="L101" s="361"/>
      <c r="M101" s="361"/>
      <c r="N101" s="361"/>
      <c r="O101" s="361"/>
      <c r="P101" s="361"/>
      <c r="Q101" s="361"/>
      <c r="R101" s="361"/>
      <c r="S101" s="361"/>
      <c r="T101" s="361"/>
      <c r="U101" s="361"/>
      <c r="V101" s="361"/>
    </row>
    <row r="102" spans="1:23" s="360" customFormat="1" ht="11.4" customHeight="1">
      <c r="A102" s="406"/>
      <c r="B102" s="362" t="s">
        <v>144</v>
      </c>
      <c r="D102" s="363">
        <f ca="1">+SupLenHighEnd*2</f>
        <v>0</v>
      </c>
      <c r="E102" s="366">
        <v>2</v>
      </c>
      <c r="F102" s="365" t="str">
        <f ca="1">+IF(D102&lt;&gt;0,D102*E102*MetalCostPerPound,"")</f>
        <v/>
      </c>
      <c r="I102" s="361"/>
      <c r="J102" s="361"/>
      <c r="K102" s="361"/>
      <c r="L102" s="361"/>
      <c r="M102" s="361"/>
      <c r="N102" s="361"/>
      <c r="O102" s="361"/>
      <c r="P102" s="361"/>
      <c r="Q102" s="361"/>
      <c r="R102" s="361"/>
      <c r="S102" s="361"/>
      <c r="T102" s="361"/>
      <c r="U102" s="361"/>
      <c r="V102" s="361"/>
    </row>
    <row r="103" spans="1:23" s="360" customFormat="1" ht="11.4" customHeight="1">
      <c r="A103" s="406"/>
      <c r="B103" s="362" t="s">
        <v>349</v>
      </c>
      <c r="D103" s="363">
        <f ca="1">+Main!C25*0</f>
        <v>0</v>
      </c>
      <c r="E103" s="367">
        <v>0.5</v>
      </c>
      <c r="F103" s="365" t="str">
        <f ca="1">+IF(D103&lt;&gt;0,D103*E103,"")</f>
        <v/>
      </c>
      <c r="I103" s="361"/>
      <c r="J103" s="361"/>
      <c r="K103" s="361"/>
      <c r="L103" s="361"/>
      <c r="M103" s="361"/>
      <c r="N103" s="361"/>
      <c r="O103" s="361"/>
      <c r="P103" s="361"/>
      <c r="Q103" s="361"/>
      <c r="R103" s="361"/>
      <c r="S103" s="361"/>
      <c r="T103" s="361"/>
      <c r="U103" s="361"/>
      <c r="V103" s="361"/>
    </row>
    <row r="104" spans="1:23" s="360" customFormat="1" ht="11.4" customHeight="1">
      <c r="A104" s="406"/>
      <c r="B104" s="362" t="s">
        <v>145</v>
      </c>
      <c r="D104" s="368">
        <f>1+1/RowsOfMounts</f>
        <v>1.25</v>
      </c>
      <c r="E104" s="364">
        <f ca="1">+PierCost*PierLFt/12*PierNumberOffBeams</f>
        <v>307.20361357174102</v>
      </c>
      <c r="F104" s="901">
        <f ca="1">+IF(D104&lt;&gt;0,D104*E104,"")</f>
        <v>384.00451696467627</v>
      </c>
      <c r="I104" s="361"/>
      <c r="J104" s="361"/>
      <c r="K104" s="361"/>
      <c r="L104" s="361"/>
      <c r="M104" s="361"/>
      <c r="N104" s="361"/>
      <c r="O104" s="361"/>
      <c r="P104" s="361"/>
      <c r="Q104" s="361"/>
      <c r="R104" s="361"/>
      <c r="S104" s="361"/>
      <c r="T104" s="361"/>
      <c r="U104" s="361"/>
      <c r="V104" s="361"/>
    </row>
    <row r="105" spans="1:23" s="360" customFormat="1" ht="11.4" customHeight="1">
      <c r="A105" s="406"/>
      <c r="B105" s="495" t="s">
        <v>510</v>
      </c>
      <c r="D105" s="368"/>
      <c r="E105" s="364"/>
      <c r="F105" s="365" t="str">
        <f>+IF(D105&lt;&gt;0,D105*E105*MetalCostPerPound,"")</f>
        <v/>
      </c>
      <c r="I105" s="361"/>
      <c r="J105" s="361"/>
      <c r="K105" s="361"/>
      <c r="L105" s="361"/>
      <c r="M105" s="361"/>
      <c r="N105" s="361"/>
      <c r="O105" s="361"/>
      <c r="P105" s="361"/>
      <c r="Q105" s="361"/>
      <c r="R105" s="361"/>
      <c r="S105" s="361"/>
      <c r="T105" s="361"/>
      <c r="U105" s="361"/>
      <c r="V105" s="361"/>
    </row>
    <row r="106" spans="1:23" s="360" customFormat="1" ht="11.4" customHeight="1">
      <c r="A106" s="406"/>
      <c r="B106" s="362" t="s">
        <v>469</v>
      </c>
      <c r="D106" s="499"/>
      <c r="E106" s="365">
        <v>200</v>
      </c>
      <c r="F106" s="365" t="str">
        <f>+IF(D106&lt;&gt;0,D106*E106,"")</f>
        <v/>
      </c>
      <c r="I106" s="361"/>
      <c r="J106" s="361"/>
      <c r="K106" s="371" t="s">
        <v>451</v>
      </c>
      <c r="L106" s="361"/>
      <c r="M106" s="361"/>
      <c r="N106" s="361"/>
      <c r="O106" s="361"/>
      <c r="P106" s="361"/>
      <c r="Q106" s="361"/>
      <c r="R106" s="361"/>
      <c r="S106" s="361"/>
      <c r="T106" s="361"/>
      <c r="U106" s="361"/>
      <c r="V106" s="361"/>
    </row>
    <row r="107" spans="1:23" s="360" customFormat="1" ht="11.4" customHeight="1">
      <c r="A107" s="406"/>
      <c r="B107" s="495" t="s">
        <v>511</v>
      </c>
      <c r="D107" s="368"/>
      <c r="E107" s="365"/>
      <c r="F107" s="365" t="str">
        <f>+IF(D107&lt;&gt;0,D107*E107*MetalCostPerPound,"")</f>
        <v/>
      </c>
      <c r="I107" s="361"/>
      <c r="J107" s="361"/>
      <c r="K107" s="371" t="s">
        <v>549</v>
      </c>
      <c r="L107" s="361"/>
      <c r="M107" s="361"/>
      <c r="N107" s="361"/>
      <c r="O107" s="361" t="s">
        <v>550</v>
      </c>
      <c r="P107" s="361"/>
      <c r="Q107" s="361"/>
      <c r="R107" s="361"/>
      <c r="S107" s="361"/>
      <c r="T107" s="361"/>
      <c r="U107" s="361"/>
      <c r="V107" s="361"/>
    </row>
    <row r="108" spans="1:23" s="360" customFormat="1" ht="11.4" customHeight="1">
      <c r="A108" s="406"/>
      <c r="B108" s="362" t="s">
        <v>548</v>
      </c>
      <c r="D108" s="499"/>
      <c r="E108" s="365">
        <v>99.99</v>
      </c>
      <c r="F108" s="365" t="str">
        <f>+IF(D108&lt;&gt;0,D108*E108,"")</f>
        <v/>
      </c>
      <c r="H108" s="720">
        <v>24</v>
      </c>
      <c r="I108" s="497">
        <v>1200</v>
      </c>
      <c r="J108" s="497"/>
      <c r="K108" s="371" t="s">
        <v>540</v>
      </c>
      <c r="L108" s="361"/>
      <c r="M108" s="361"/>
      <c r="N108" s="361"/>
      <c r="O108" s="361"/>
      <c r="P108" s="361"/>
      <c r="Q108" s="361"/>
      <c r="R108" s="361"/>
      <c r="S108" s="361"/>
      <c r="T108" s="361"/>
      <c r="U108" s="361"/>
      <c r="V108" s="361"/>
    </row>
    <row r="109" spans="1:23" s="360" customFormat="1" ht="11.4" customHeight="1">
      <c r="A109" s="406"/>
      <c r="B109" s="362" t="s">
        <v>554</v>
      </c>
      <c r="D109" s="499"/>
      <c r="E109" s="365">
        <v>99</v>
      </c>
      <c r="F109" s="365" t="str">
        <f t="shared" ref="F109:F118" si="64">+IF(D109&lt;&gt;0,D109*E109,"")</f>
        <v/>
      </c>
      <c r="H109" s="720">
        <v>18</v>
      </c>
      <c r="I109" s="497">
        <v>900</v>
      </c>
      <c r="J109" s="497"/>
      <c r="K109" s="371" t="s">
        <v>553</v>
      </c>
      <c r="L109" s="361"/>
      <c r="M109" s="361"/>
      <c r="N109" s="361"/>
      <c r="O109" s="361"/>
      <c r="P109" s="361"/>
      <c r="Q109" s="361"/>
      <c r="R109" s="361"/>
      <c r="S109" s="361"/>
      <c r="T109" s="361"/>
      <c r="U109" s="361"/>
      <c r="V109" s="361"/>
    </row>
    <row r="110" spans="1:23" s="360" customFormat="1" ht="11.4" customHeight="1">
      <c r="A110" s="406"/>
      <c r="B110" s="362" t="s">
        <v>556</v>
      </c>
      <c r="D110" s="595">
        <f>IF(DualSingle=2,2/DualMountsServed,1/DualMountsServed)</f>
        <v>0.25</v>
      </c>
      <c r="E110" s="365">
        <v>46</v>
      </c>
      <c r="F110" s="365">
        <f>+IF(D110&lt;&gt;0,D110*E110,"")</f>
        <v>11.5</v>
      </c>
      <c r="H110" s="720">
        <v>24</v>
      </c>
      <c r="I110" s="497">
        <v>550</v>
      </c>
      <c r="J110" s="497">
        <v>1000</v>
      </c>
      <c r="K110" s="371" t="s">
        <v>555</v>
      </c>
      <c r="L110" s="361"/>
      <c r="M110" s="361"/>
      <c r="N110" s="361"/>
      <c r="O110" s="361"/>
      <c r="P110" s="361"/>
      <c r="Q110" s="361"/>
      <c r="R110" s="361"/>
      <c r="S110" s="361"/>
      <c r="T110" s="361"/>
      <c r="U110" s="361"/>
      <c r="V110" s="361"/>
    </row>
    <row r="111" spans="1:23" s="360" customFormat="1" ht="11.4" customHeight="1">
      <c r="A111" s="406"/>
      <c r="B111" s="362" t="s">
        <v>557</v>
      </c>
      <c r="D111" s="595">
        <f>2/DualMountsServed*0</f>
        <v>0</v>
      </c>
      <c r="E111" s="365">
        <v>96</v>
      </c>
      <c r="F111" s="365" t="str">
        <f>+IF(D111&lt;&gt;0,D111*E111,"")</f>
        <v/>
      </c>
      <c r="H111" s="720">
        <v>24</v>
      </c>
      <c r="I111" s="497">
        <v>440</v>
      </c>
      <c r="J111" s="497">
        <v>1200</v>
      </c>
      <c r="K111" s="371" t="s">
        <v>555</v>
      </c>
      <c r="L111" s="361"/>
      <c r="M111" s="361"/>
      <c r="N111" s="361"/>
      <c r="O111" s="361"/>
      <c r="P111" s="361"/>
      <c r="Q111" s="361"/>
      <c r="R111" s="361"/>
      <c r="S111" s="361"/>
      <c r="T111" s="361"/>
      <c r="U111" s="361"/>
      <c r="V111" s="361"/>
    </row>
    <row r="112" spans="1:23" s="360" customFormat="1" ht="11.4" customHeight="1">
      <c r="A112" s="406"/>
      <c r="B112" s="362" t="s">
        <v>558</v>
      </c>
      <c r="D112" s="499"/>
      <c r="E112" s="365">
        <v>102</v>
      </c>
      <c r="F112" s="365" t="str">
        <f t="shared" ref="F112:F117" si="65">+IF(D112&lt;&gt;0,D112*E112,"")</f>
        <v/>
      </c>
      <c r="H112" s="720">
        <v>24</v>
      </c>
      <c r="I112" s="497">
        <v>440</v>
      </c>
      <c r="J112" s="497">
        <v>1200</v>
      </c>
      <c r="K112" s="371" t="s">
        <v>555</v>
      </c>
      <c r="L112" s="361"/>
      <c r="M112" s="361"/>
      <c r="N112" s="361"/>
      <c r="O112" s="361"/>
      <c r="P112" s="361"/>
      <c r="Q112" s="361"/>
      <c r="R112" s="361"/>
      <c r="S112" s="361"/>
      <c r="T112" s="361"/>
      <c r="U112" s="361"/>
      <c r="V112" s="361"/>
    </row>
    <row r="113" spans="1:22" s="360" customFormat="1" ht="11.4" customHeight="1">
      <c r="A113" s="406"/>
      <c r="B113" s="362" t="s">
        <v>559</v>
      </c>
      <c r="D113" s="499"/>
      <c r="E113" s="365">
        <v>59.59</v>
      </c>
      <c r="F113" s="365" t="str">
        <f t="shared" si="65"/>
        <v/>
      </c>
      <c r="H113" s="720">
        <v>24</v>
      </c>
      <c r="I113" s="497">
        <v>441</v>
      </c>
      <c r="J113" s="497">
        <v>800</v>
      </c>
      <c r="K113" s="371" t="s">
        <v>560</v>
      </c>
      <c r="L113" s="361"/>
      <c r="M113" s="361"/>
      <c r="N113" s="361"/>
      <c r="O113" s="361"/>
      <c r="P113" s="361"/>
      <c r="Q113" s="361"/>
      <c r="R113" s="361"/>
      <c r="S113" s="361"/>
      <c r="T113" s="361"/>
      <c r="U113" s="361"/>
      <c r="V113" s="361"/>
    </row>
    <row r="114" spans="1:22" s="360" customFormat="1" ht="11.4" customHeight="1">
      <c r="A114" s="406"/>
      <c r="B114" s="362"/>
      <c r="D114" s="499"/>
      <c r="E114" s="365"/>
      <c r="F114" s="365" t="str">
        <f t="shared" si="65"/>
        <v/>
      </c>
      <c r="H114" s="720">
        <v>24</v>
      </c>
      <c r="I114" s="497">
        <v>440</v>
      </c>
      <c r="J114" s="497">
        <v>1200</v>
      </c>
      <c r="K114" s="371"/>
      <c r="L114" s="361"/>
      <c r="M114" s="361"/>
      <c r="N114" s="361"/>
      <c r="O114" s="361"/>
      <c r="P114" s="361"/>
      <c r="Q114" s="361"/>
      <c r="R114" s="361"/>
      <c r="S114" s="361"/>
      <c r="T114" s="361"/>
      <c r="U114" s="361"/>
      <c r="V114" s="361"/>
    </row>
    <row r="115" spans="1:22" s="360" customFormat="1" ht="11.4" customHeight="1">
      <c r="A115" s="406"/>
      <c r="B115" s="362"/>
      <c r="D115" s="499"/>
      <c r="E115" s="365"/>
      <c r="F115" s="365" t="str">
        <f t="shared" si="65"/>
        <v/>
      </c>
      <c r="H115" s="720">
        <v>24</v>
      </c>
      <c r="I115" s="497">
        <v>440</v>
      </c>
      <c r="J115" s="497">
        <v>1200</v>
      </c>
      <c r="K115" s="371"/>
      <c r="L115" s="361"/>
      <c r="M115" s="361"/>
      <c r="N115" s="361"/>
      <c r="O115" s="361"/>
      <c r="P115" s="361"/>
      <c r="Q115" s="361"/>
      <c r="R115" s="361"/>
      <c r="S115" s="361"/>
      <c r="T115" s="361"/>
      <c r="U115" s="361"/>
      <c r="V115" s="361"/>
    </row>
    <row r="116" spans="1:22" s="360" customFormat="1" ht="11.4" customHeight="1">
      <c r="A116" s="406"/>
      <c r="B116" s="362"/>
      <c r="D116" s="499"/>
      <c r="E116" s="365"/>
      <c r="F116" s="365" t="str">
        <f t="shared" si="65"/>
        <v/>
      </c>
      <c r="H116" s="720">
        <v>24</v>
      </c>
      <c r="I116" s="497">
        <v>440</v>
      </c>
      <c r="J116" s="497">
        <v>1200</v>
      </c>
      <c r="K116" s="371"/>
      <c r="L116" s="361"/>
      <c r="M116" s="361"/>
      <c r="N116" s="361"/>
      <c r="O116" s="361"/>
      <c r="P116" s="361"/>
      <c r="Q116" s="361"/>
      <c r="R116" s="361"/>
      <c r="S116" s="361"/>
      <c r="T116" s="361"/>
      <c r="U116" s="361"/>
      <c r="V116" s="361"/>
    </row>
    <row r="117" spans="1:22" s="360" customFormat="1" ht="11.4" customHeight="1">
      <c r="A117" s="406"/>
      <c r="B117" s="362"/>
      <c r="D117" s="499"/>
      <c r="E117" s="365"/>
      <c r="F117" s="365" t="str">
        <f t="shared" si="65"/>
        <v/>
      </c>
      <c r="H117" s="720">
        <v>24</v>
      </c>
      <c r="I117" s="497">
        <v>440</v>
      </c>
      <c r="J117" s="497">
        <v>1200</v>
      </c>
      <c r="K117" s="371"/>
      <c r="L117" s="361"/>
      <c r="M117" s="361"/>
      <c r="N117" s="361"/>
      <c r="O117" s="361"/>
      <c r="P117" s="361"/>
      <c r="Q117" s="361"/>
      <c r="R117" s="361"/>
      <c r="S117" s="361"/>
      <c r="T117" s="361"/>
      <c r="U117" s="361"/>
      <c r="V117" s="361"/>
    </row>
    <row r="118" spans="1:22" s="360" customFormat="1" ht="11.4" customHeight="1">
      <c r="A118" s="406"/>
      <c r="D118" s="499"/>
      <c r="E118" s="365"/>
      <c r="F118" s="365" t="str">
        <f t="shared" si="64"/>
        <v/>
      </c>
      <c r="H118" s="720">
        <v>24</v>
      </c>
      <c r="I118" s="497">
        <v>1200</v>
      </c>
      <c r="J118" s="497"/>
      <c r="K118" s="371"/>
      <c r="L118" s="361"/>
      <c r="M118" s="361"/>
      <c r="N118" s="361"/>
      <c r="O118" s="361"/>
      <c r="P118" s="361"/>
      <c r="Q118" s="361"/>
      <c r="R118" s="361"/>
      <c r="S118" s="361"/>
      <c r="T118" s="361"/>
      <c r="U118" s="361"/>
      <c r="V118" s="361"/>
    </row>
    <row r="119" spans="1:22" s="360" customFormat="1" ht="11.4" customHeight="1">
      <c r="A119" s="406"/>
      <c r="B119" s="362"/>
      <c r="D119" s="499"/>
      <c r="E119" s="365">
        <v>74.989999999999995</v>
      </c>
      <c r="F119" s="365" t="str">
        <f>+IF(D119&lt;&gt;0,D119*E119,"")</f>
        <v/>
      </c>
      <c r="H119" s="720">
        <v>18</v>
      </c>
      <c r="I119" s="497">
        <v>500</v>
      </c>
      <c r="J119" s="497"/>
      <c r="K119" s="371" t="s">
        <v>541</v>
      </c>
      <c r="L119" s="361"/>
      <c r="M119" s="361"/>
      <c r="N119" s="361"/>
      <c r="O119" s="361"/>
      <c r="P119" s="361"/>
      <c r="Q119" s="361"/>
      <c r="R119" s="361"/>
      <c r="S119" s="361"/>
      <c r="T119" s="361"/>
      <c r="U119" s="361"/>
      <c r="V119" s="361"/>
    </row>
    <row r="120" spans="1:22" s="360" customFormat="1" ht="11.4" customHeight="1">
      <c r="A120" s="406"/>
      <c r="B120" s="362" t="s">
        <v>543</v>
      </c>
      <c r="D120" s="499"/>
      <c r="E120" s="365">
        <v>159.99</v>
      </c>
      <c r="F120" s="365" t="str">
        <f>+IF(D120&lt;&gt;0,D120*E120,"")</f>
        <v/>
      </c>
      <c r="H120" s="720">
        <v>24</v>
      </c>
      <c r="I120" s="497">
        <v>1000</v>
      </c>
      <c r="J120" s="497"/>
      <c r="K120" s="371" t="s">
        <v>542</v>
      </c>
      <c r="L120" s="361"/>
      <c r="M120" s="361"/>
      <c r="N120" s="361"/>
      <c r="O120" s="361"/>
      <c r="P120" s="361"/>
      <c r="Q120" s="361"/>
      <c r="R120" s="361"/>
      <c r="S120" s="361"/>
      <c r="T120" s="361"/>
      <c r="U120" s="361"/>
      <c r="V120" s="361"/>
    </row>
    <row r="121" spans="1:22" s="360" customFormat="1" ht="11.4" customHeight="1">
      <c r="A121" s="406"/>
      <c r="B121" s="362" t="s">
        <v>545</v>
      </c>
      <c r="D121" s="499"/>
      <c r="E121" s="365">
        <v>288.88</v>
      </c>
      <c r="F121" s="365" t="str">
        <f t="shared" ref="F121:F123" si="66">+IF(D121&lt;&gt;0,D121*E121,"")</f>
        <v/>
      </c>
      <c r="H121" s="720">
        <v>24</v>
      </c>
      <c r="I121" s="497">
        <v>1500</v>
      </c>
      <c r="J121" s="497"/>
      <c r="K121" s="371" t="s">
        <v>542</v>
      </c>
      <c r="L121" s="361"/>
      <c r="M121" s="361"/>
      <c r="N121" s="361"/>
      <c r="O121" s="361"/>
      <c r="P121" s="361"/>
      <c r="Q121" s="361"/>
      <c r="R121" s="361"/>
      <c r="S121" s="361"/>
      <c r="T121" s="361"/>
      <c r="U121" s="361"/>
      <c r="V121" s="361"/>
    </row>
    <row r="122" spans="1:22" s="360" customFormat="1" ht="11.4" customHeight="1">
      <c r="A122" s="406"/>
      <c r="B122" s="362" t="s">
        <v>544</v>
      </c>
      <c r="D122" s="499"/>
      <c r="E122" s="365">
        <v>399.99</v>
      </c>
      <c r="F122" s="365" t="str">
        <f t="shared" si="66"/>
        <v/>
      </c>
      <c r="H122" s="720">
        <v>36</v>
      </c>
      <c r="I122" s="497">
        <v>1000</v>
      </c>
      <c r="J122" s="497"/>
      <c r="K122" s="371" t="s">
        <v>542</v>
      </c>
      <c r="L122" s="361"/>
      <c r="M122" s="361"/>
      <c r="N122" s="361"/>
      <c r="O122" s="361"/>
      <c r="P122" s="361"/>
      <c r="Q122" s="361"/>
      <c r="R122" s="361"/>
      <c r="S122" s="361"/>
      <c r="T122" s="361"/>
      <c r="U122" s="361"/>
      <c r="V122" s="361"/>
    </row>
    <row r="123" spans="1:22" s="360" customFormat="1" ht="11.4" customHeight="1">
      <c r="A123" s="406"/>
      <c r="B123" s="362" t="s">
        <v>546</v>
      </c>
      <c r="D123" s="499"/>
      <c r="E123" s="365">
        <v>79.989999999999995</v>
      </c>
      <c r="F123" s="365" t="str">
        <f t="shared" si="66"/>
        <v/>
      </c>
      <c r="H123" s="720">
        <v>18</v>
      </c>
      <c r="I123" s="497">
        <v>500</v>
      </c>
      <c r="J123" s="497"/>
      <c r="K123" s="371" t="s">
        <v>542</v>
      </c>
      <c r="L123" s="361"/>
      <c r="M123" s="361"/>
      <c r="N123" s="361"/>
      <c r="O123" s="361"/>
      <c r="P123" s="361"/>
      <c r="Q123" s="361"/>
      <c r="R123" s="361"/>
      <c r="S123" s="361"/>
      <c r="T123" s="361"/>
      <c r="U123" s="361"/>
      <c r="V123" s="361"/>
    </row>
    <row r="124" spans="1:22" s="360" customFormat="1" ht="11.4" customHeight="1">
      <c r="A124" s="406"/>
      <c r="B124" s="362"/>
      <c r="D124" s="499"/>
      <c r="E124" s="365">
        <f>172.99/2</f>
        <v>86.495000000000005</v>
      </c>
      <c r="F124" s="365" t="str">
        <f t="shared" ref="F124:F130" si="67">+IF(D124&lt;&gt;0,D124*E124,"")</f>
        <v/>
      </c>
      <c r="H124" s="720">
        <v>30</v>
      </c>
      <c r="I124" s="497">
        <v>225</v>
      </c>
      <c r="J124" s="497"/>
      <c r="K124" s="371" t="s">
        <v>547</v>
      </c>
      <c r="L124" s="361"/>
      <c r="M124" s="361"/>
      <c r="N124" s="361"/>
      <c r="O124" s="361"/>
      <c r="P124" s="361"/>
      <c r="Q124" s="361"/>
      <c r="R124" s="361"/>
      <c r="S124" s="361"/>
      <c r="T124" s="361"/>
      <c r="U124" s="361"/>
      <c r="V124" s="361"/>
    </row>
    <row r="125" spans="1:22" s="360" customFormat="1" ht="11.4" customHeight="1">
      <c r="A125" s="406"/>
      <c r="B125" s="362"/>
      <c r="D125" s="499"/>
      <c r="E125" s="365">
        <v>0</v>
      </c>
      <c r="F125" s="365" t="str">
        <f t="shared" si="67"/>
        <v/>
      </c>
      <c r="H125" s="498"/>
      <c r="I125" s="497"/>
      <c r="J125" s="497"/>
      <c r="K125" s="371"/>
      <c r="L125" s="361"/>
      <c r="M125" s="361"/>
      <c r="N125" s="361"/>
      <c r="O125" s="361"/>
      <c r="P125" s="361"/>
      <c r="Q125" s="361"/>
      <c r="R125" s="361"/>
      <c r="S125" s="361"/>
      <c r="T125" s="361"/>
      <c r="U125" s="361"/>
      <c r="V125" s="361"/>
    </row>
    <row r="126" spans="1:22" s="360" customFormat="1" ht="11.4" customHeight="1">
      <c r="A126" s="406"/>
      <c r="B126" s="362"/>
      <c r="D126" s="499"/>
      <c r="E126" s="365">
        <v>0</v>
      </c>
      <c r="F126" s="365" t="str">
        <f t="shared" si="67"/>
        <v/>
      </c>
      <c r="H126" s="498"/>
      <c r="I126" s="497"/>
      <c r="J126" s="497"/>
      <c r="K126" s="371"/>
      <c r="L126" s="361"/>
      <c r="M126" s="361"/>
      <c r="N126" s="361"/>
      <c r="O126" s="361"/>
      <c r="P126" s="361"/>
      <c r="Q126" s="361"/>
      <c r="R126" s="361"/>
      <c r="S126" s="361"/>
      <c r="T126" s="361"/>
      <c r="U126" s="361"/>
      <c r="V126" s="361"/>
    </row>
    <row r="127" spans="1:22" s="360" customFormat="1" ht="11.4" customHeight="1">
      <c r="A127" s="406"/>
      <c r="B127" s="362"/>
      <c r="D127" s="499"/>
      <c r="E127" s="365">
        <v>0</v>
      </c>
      <c r="F127" s="365" t="str">
        <f t="shared" si="67"/>
        <v/>
      </c>
      <c r="H127" s="498"/>
      <c r="I127" s="497"/>
      <c r="J127" s="497"/>
      <c r="K127" s="371"/>
      <c r="L127" s="361"/>
      <c r="M127" s="361"/>
      <c r="N127" s="361"/>
      <c r="O127" s="361"/>
      <c r="P127" s="361"/>
      <c r="Q127" s="361"/>
      <c r="R127" s="361"/>
      <c r="S127" s="361"/>
      <c r="T127" s="361"/>
      <c r="U127" s="361"/>
      <c r="V127" s="361"/>
    </row>
    <row r="128" spans="1:22" s="360" customFormat="1" ht="11.4" customHeight="1">
      <c r="A128" s="406"/>
      <c r="B128" s="362"/>
      <c r="D128" s="499"/>
      <c r="E128" s="365">
        <v>0</v>
      </c>
      <c r="F128" s="365" t="str">
        <f t="shared" si="67"/>
        <v/>
      </c>
      <c r="H128" s="498"/>
      <c r="I128" s="497"/>
      <c r="J128" s="497"/>
      <c r="K128" s="371"/>
      <c r="L128" s="361"/>
      <c r="M128" s="361"/>
      <c r="N128" s="361"/>
      <c r="O128" s="361"/>
      <c r="P128" s="361"/>
      <c r="Q128" s="361"/>
      <c r="R128" s="361"/>
      <c r="S128" s="361"/>
      <c r="T128" s="361"/>
      <c r="U128" s="361"/>
      <c r="V128" s="361"/>
    </row>
    <row r="129" spans="1:22" s="360" customFormat="1" ht="11.4" customHeight="1">
      <c r="A129" s="406"/>
      <c r="B129" s="362"/>
      <c r="D129" s="499"/>
      <c r="E129" s="365">
        <v>0</v>
      </c>
      <c r="F129" s="365" t="str">
        <f t="shared" si="67"/>
        <v/>
      </c>
      <c r="H129" s="498"/>
      <c r="I129" s="497"/>
      <c r="J129" s="497"/>
      <c r="K129" s="371"/>
      <c r="L129" s="361"/>
      <c r="M129" s="361"/>
      <c r="N129" s="361"/>
      <c r="O129" s="361"/>
      <c r="P129" s="361"/>
      <c r="Q129" s="361"/>
      <c r="R129" s="361"/>
      <c r="S129" s="361"/>
      <c r="T129" s="361"/>
      <c r="U129" s="361"/>
      <c r="V129" s="361"/>
    </row>
    <row r="130" spans="1:22" s="360" customFormat="1" ht="11.4" customHeight="1">
      <c r="A130" s="406"/>
      <c r="B130" s="362"/>
      <c r="D130" s="499"/>
      <c r="E130" s="365">
        <v>0</v>
      </c>
      <c r="F130" s="365" t="str">
        <f t="shared" si="67"/>
        <v/>
      </c>
      <c r="H130" s="498"/>
      <c r="I130" s="497"/>
      <c r="J130" s="497"/>
      <c r="K130" s="371"/>
      <c r="L130" s="361"/>
      <c r="M130" s="361"/>
      <c r="N130" s="361"/>
      <c r="O130" s="361"/>
      <c r="P130" s="361"/>
      <c r="Q130" s="361"/>
      <c r="R130" s="361"/>
      <c r="S130" s="361"/>
      <c r="T130" s="361"/>
      <c r="U130" s="361"/>
      <c r="V130" s="361"/>
    </row>
    <row r="131" spans="1:22" s="360" customFormat="1" ht="11.4" customHeight="1">
      <c r="A131" s="406"/>
      <c r="B131" s="495" t="s">
        <v>468</v>
      </c>
      <c r="D131" s="368"/>
      <c r="E131" s="365"/>
      <c r="F131" s="365" t="str">
        <f>+IF(D131&lt;&gt;0,D131*E131*MetalCostPerPound,"")</f>
        <v/>
      </c>
      <c r="I131" s="361"/>
      <c r="J131" s="361"/>
      <c r="K131" s="371"/>
      <c r="L131" s="361"/>
      <c r="M131" s="361"/>
      <c r="N131" s="361"/>
      <c r="O131" s="361"/>
      <c r="P131" s="361"/>
      <c r="Q131" s="361"/>
      <c r="R131" s="361"/>
      <c r="S131" s="361"/>
      <c r="T131" s="361"/>
      <c r="U131" s="361"/>
      <c r="V131" s="361"/>
    </row>
    <row r="132" spans="1:22" s="360" customFormat="1" ht="11.4" customHeight="1">
      <c r="A132" s="406"/>
      <c r="B132" s="362"/>
      <c r="D132" s="368"/>
      <c r="E132" s="365"/>
      <c r="F132" s="365" t="str">
        <f t="shared" ref="F132:F135" si="68">+IF(D132&lt;&gt;0,D132*E132,"")</f>
        <v/>
      </c>
      <c r="G132" s="361"/>
      <c r="H132" s="361"/>
      <c r="I132" s="371"/>
      <c r="J132" s="361"/>
      <c r="K132" s="361"/>
      <c r="L132" s="361"/>
      <c r="M132" s="361"/>
      <c r="N132" s="361"/>
      <c r="O132" s="361"/>
      <c r="P132" s="361"/>
      <c r="Q132" s="361"/>
      <c r="R132" s="361"/>
      <c r="S132" s="361"/>
      <c r="T132" s="361"/>
      <c r="U132" s="361"/>
      <c r="V132" s="361"/>
    </row>
    <row r="133" spans="1:22" s="360" customFormat="1" ht="11.4" customHeight="1">
      <c r="A133" s="406"/>
      <c r="B133" s="362"/>
      <c r="D133" s="368"/>
      <c r="E133" s="365"/>
      <c r="F133" s="365" t="str">
        <f t="shared" si="68"/>
        <v/>
      </c>
      <c r="G133" s="361"/>
      <c r="H133" s="361"/>
      <c r="I133" s="371"/>
      <c r="J133" s="361"/>
      <c r="K133" s="361"/>
      <c r="L133" s="361"/>
      <c r="M133" s="361"/>
      <c r="N133" s="361"/>
      <c r="O133" s="361"/>
      <c r="P133" s="361"/>
      <c r="Q133" s="361"/>
      <c r="R133" s="361"/>
      <c r="S133" s="361"/>
      <c r="T133" s="361"/>
      <c r="U133" s="361"/>
      <c r="V133" s="361"/>
    </row>
    <row r="134" spans="1:22" s="360" customFormat="1" ht="11.4" customHeight="1">
      <c r="A134" s="406"/>
      <c r="B134" s="362"/>
      <c r="D134" s="368"/>
      <c r="E134" s="365"/>
      <c r="F134" s="365" t="str">
        <f t="shared" si="68"/>
        <v/>
      </c>
      <c r="G134" s="361"/>
      <c r="H134" s="361"/>
      <c r="I134" s="371"/>
      <c r="J134" s="361"/>
      <c r="K134" s="361"/>
      <c r="L134" s="361"/>
      <c r="M134" s="361"/>
      <c r="N134" s="361"/>
      <c r="O134" s="361"/>
      <c r="P134" s="361"/>
      <c r="Q134" s="361"/>
      <c r="R134" s="361"/>
      <c r="S134" s="361"/>
      <c r="T134" s="361"/>
      <c r="U134" s="361"/>
      <c r="V134" s="361"/>
    </row>
    <row r="135" spans="1:22" s="360" customFormat="1" ht="11.4" customHeight="1">
      <c r="A135" s="406"/>
      <c r="B135" s="362"/>
      <c r="D135" s="368"/>
      <c r="E135" s="365"/>
      <c r="F135" s="365" t="str">
        <f t="shared" si="68"/>
        <v/>
      </c>
      <c r="G135" s="361"/>
      <c r="H135" s="361"/>
      <c r="I135" s="371"/>
      <c r="J135" s="361"/>
      <c r="K135" s="361"/>
      <c r="L135" s="361"/>
      <c r="M135" s="361"/>
      <c r="N135" s="361"/>
      <c r="O135" s="361"/>
      <c r="P135" s="361"/>
      <c r="Q135" s="361"/>
      <c r="R135" s="361"/>
      <c r="S135" s="361"/>
      <c r="T135" s="361"/>
      <c r="U135" s="361"/>
      <c r="V135" s="361"/>
    </row>
    <row r="136" spans="1:22" s="360" customFormat="1" ht="11.4" customHeight="1">
      <c r="A136" s="405"/>
      <c r="B136" s="360" t="s">
        <v>432</v>
      </c>
      <c r="D136" s="369"/>
      <c r="E136" s="369"/>
      <c r="F136" s="370">
        <f ca="1">+SUM(F101:F135)</f>
        <v>516.42701696467611</v>
      </c>
      <c r="G136" s="361"/>
      <c r="H136" s="361">
        <f ca="1">MountCost*NumberOfMounts</f>
        <v>4131.4161357174089</v>
      </c>
      <c r="I136" s="361"/>
      <c r="J136" s="361"/>
      <c r="K136" s="361" t="s">
        <v>552</v>
      </c>
      <c r="L136" s="361"/>
      <c r="M136" s="361"/>
      <c r="N136" s="361"/>
      <c r="O136" s="361"/>
      <c r="P136" s="361"/>
      <c r="Q136" s="361"/>
      <c r="R136" s="361"/>
      <c r="S136" s="361"/>
      <c r="T136" s="361"/>
      <c r="U136" s="361"/>
      <c r="V136" s="361"/>
    </row>
    <row r="137" spans="1:22" s="317" customFormat="1" ht="11.4" customHeight="1">
      <c r="A137" s="397"/>
      <c r="F137" s="337"/>
      <c r="G137" s="337"/>
      <c r="H137" s="337"/>
      <c r="I137" s="337"/>
      <c r="J137" s="500" t="s">
        <v>551</v>
      </c>
      <c r="K137" s="337"/>
      <c r="L137" s="337"/>
      <c r="M137" s="337"/>
      <c r="N137" s="337"/>
      <c r="O137" s="337"/>
      <c r="P137" s="337"/>
      <c r="Q137" s="337"/>
      <c r="R137" s="337"/>
      <c r="S137" s="337"/>
      <c r="T137" s="337"/>
      <c r="U137" s="337"/>
      <c r="V137" s="337"/>
    </row>
    <row r="138" spans="1:22" s="317" customFormat="1" ht="11.4" customHeight="1">
      <c r="A138" s="397"/>
      <c r="F138" s="337"/>
      <c r="G138" s="337"/>
      <c r="H138" s="337"/>
      <c r="I138" s="337"/>
      <c r="J138" s="337"/>
      <c r="K138" s="337"/>
      <c r="L138" s="337"/>
      <c r="M138" s="337"/>
      <c r="N138" s="337"/>
      <c r="O138" s="337"/>
      <c r="P138" s="337"/>
      <c r="Q138" s="337"/>
      <c r="R138" s="337"/>
      <c r="S138" s="337"/>
      <c r="T138" s="337"/>
      <c r="U138" s="337"/>
      <c r="V138" s="337"/>
    </row>
    <row r="139" spans="1:22" s="317" customFormat="1" ht="10.199999999999999">
      <c r="A139" s="397"/>
    </row>
    <row r="140" spans="1:22" s="317" customFormat="1" ht="10.199999999999999">
      <c r="A140" s="397"/>
    </row>
    <row r="141" spans="1:22" s="317" customFormat="1" ht="10.199999999999999">
      <c r="A141" s="397"/>
    </row>
    <row r="142" spans="1:22" s="317" customFormat="1" ht="10.199999999999999">
      <c r="A142" s="397"/>
    </row>
    <row r="143" spans="1:22" s="317" customFormat="1" ht="10.199999999999999">
      <c r="A143" s="397"/>
    </row>
    <row r="144" spans="1:22" s="317" customFormat="1" ht="10.199999999999999">
      <c r="A144" s="397"/>
    </row>
    <row r="145" spans="1:1" s="317" customFormat="1" ht="10.199999999999999">
      <c r="A145" s="397"/>
    </row>
    <row r="146" spans="1:1" s="317" customFormat="1" ht="10.199999999999999">
      <c r="A146" s="397"/>
    </row>
    <row r="147" spans="1:1" s="317" customFormat="1" ht="10.199999999999999">
      <c r="A147" s="397"/>
    </row>
    <row r="148" spans="1:1" s="317" customFormat="1" ht="10.199999999999999">
      <c r="A148" s="397"/>
    </row>
    <row r="149" spans="1:1" s="317" customFormat="1" ht="10.199999999999999">
      <c r="A149" s="397"/>
    </row>
  </sheetData>
  <sheetProtection sheet="1" objects="1" scenarios="1"/>
  <sortState ref="A29:X43">
    <sortCondition descending="1" ref="O29:O43"/>
  </sortState>
  <conditionalFormatting sqref="O53">
    <cfRule type="cellIs" dxfId="89" priority="285" operator="lessThan">
      <formula>N53</formula>
    </cfRule>
    <cfRule type="cellIs" dxfId="88" priority="286" operator="greaterThanOrEqual">
      <formula>N53</formula>
    </cfRule>
  </conditionalFormatting>
  <conditionalFormatting sqref="O45">
    <cfRule type="cellIs" dxfId="87" priority="275" operator="lessThan">
      <formula>N45</formula>
    </cfRule>
    <cfRule type="cellIs" dxfId="86" priority="276" operator="greaterThanOrEqual">
      <formula>N45</formula>
    </cfRule>
  </conditionalFormatting>
  <conditionalFormatting sqref="O31">
    <cfRule type="cellIs" dxfId="85" priority="263" operator="lessThan">
      <formula>N31</formula>
    </cfRule>
    <cfRule type="cellIs" dxfId="84" priority="264" operator="greaterThanOrEqual">
      <formula>N31</formula>
    </cfRule>
  </conditionalFormatting>
  <conditionalFormatting sqref="O37">
    <cfRule type="cellIs" dxfId="83" priority="255" operator="lessThan">
      <formula>N37</formula>
    </cfRule>
    <cfRule type="cellIs" dxfId="82" priority="256" operator="greaterThanOrEqual">
      <formula>N37</formula>
    </cfRule>
  </conditionalFormatting>
  <conditionalFormatting sqref="O38">
    <cfRule type="cellIs" dxfId="81" priority="252" operator="lessThan">
      <formula>N38</formula>
    </cfRule>
    <cfRule type="cellIs" dxfId="80" priority="253" operator="greaterThanOrEqual">
      <formula>N38</formula>
    </cfRule>
  </conditionalFormatting>
  <conditionalFormatting sqref="O50">
    <cfRule type="cellIs" dxfId="79" priority="229" operator="lessThan">
      <formula>N50</formula>
    </cfRule>
    <cfRule type="cellIs" dxfId="78" priority="230" operator="greaterThanOrEqual">
      <formula>N50</formula>
    </cfRule>
  </conditionalFormatting>
  <conditionalFormatting sqref="O67">
    <cfRule type="cellIs" dxfId="77" priority="191" operator="lessThan">
      <formula>N67</formula>
    </cfRule>
    <cfRule type="cellIs" dxfId="76" priority="192" operator="greaterThanOrEqual">
      <formula>N67</formula>
    </cfRule>
  </conditionalFormatting>
  <conditionalFormatting sqref="O71">
    <cfRule type="cellIs" dxfId="75" priority="183" operator="lessThan">
      <formula>N71</formula>
    </cfRule>
    <cfRule type="cellIs" dxfId="74" priority="184" operator="greaterThanOrEqual">
      <formula>N71</formula>
    </cfRule>
  </conditionalFormatting>
  <conditionalFormatting sqref="O29">
    <cfRule type="cellIs" dxfId="73" priority="258" operator="lessThan">
      <formula>N29</formula>
    </cfRule>
    <cfRule type="cellIs" dxfId="72" priority="259" operator="greaterThanOrEqual">
      <formula>N29</formula>
    </cfRule>
  </conditionalFormatting>
  <conditionalFormatting sqref="O32">
    <cfRule type="cellIs" dxfId="71" priority="175" operator="lessThan">
      <formula>N32</formula>
    </cfRule>
    <cfRule type="cellIs" dxfId="70" priority="176" operator="greaterThanOrEqual">
      <formula>N32</formula>
    </cfRule>
  </conditionalFormatting>
  <conditionalFormatting sqref="O35">
    <cfRule type="cellIs" dxfId="69" priority="171" operator="lessThan">
      <formula>N35</formula>
    </cfRule>
    <cfRule type="cellIs" dxfId="68" priority="172" operator="greaterThanOrEqual">
      <formula>N35</formula>
    </cfRule>
  </conditionalFormatting>
  <conditionalFormatting sqref="O36">
    <cfRule type="cellIs" dxfId="67" priority="169" operator="lessThan">
      <formula>N36</formula>
    </cfRule>
    <cfRule type="cellIs" dxfId="66" priority="170" operator="greaterThanOrEqual">
      <formula>N36</formula>
    </cfRule>
  </conditionalFormatting>
  <conditionalFormatting sqref="O39">
    <cfRule type="cellIs" dxfId="65" priority="167" operator="lessThan">
      <formula>N39</formula>
    </cfRule>
    <cfRule type="cellIs" dxfId="64" priority="168" operator="greaterThanOrEqual">
      <formula>N39</formula>
    </cfRule>
  </conditionalFormatting>
  <conditionalFormatting sqref="O40">
    <cfRule type="cellIs" dxfId="63" priority="165" operator="lessThan">
      <formula>N40</formula>
    </cfRule>
    <cfRule type="cellIs" dxfId="62" priority="166" operator="greaterThanOrEqual">
      <formula>N40</formula>
    </cfRule>
  </conditionalFormatting>
  <conditionalFormatting sqref="O41">
    <cfRule type="cellIs" dxfId="61" priority="163" operator="lessThan">
      <formula>N41</formula>
    </cfRule>
    <cfRule type="cellIs" dxfId="60" priority="164" operator="greaterThanOrEqual">
      <formula>N41</formula>
    </cfRule>
  </conditionalFormatting>
  <conditionalFormatting sqref="O42">
    <cfRule type="cellIs" dxfId="59" priority="161" operator="lessThan">
      <formula>N42</formula>
    </cfRule>
    <cfRule type="cellIs" dxfId="58" priority="162" operator="greaterThanOrEqual">
      <formula>N42</formula>
    </cfRule>
  </conditionalFormatting>
  <conditionalFormatting sqref="O43">
    <cfRule type="cellIs" dxfId="57" priority="159" operator="lessThan">
      <formula>N43</formula>
    </cfRule>
    <cfRule type="cellIs" dxfId="56" priority="160" operator="greaterThanOrEqual">
      <formula>N43</formula>
    </cfRule>
  </conditionalFormatting>
  <conditionalFormatting sqref="O46">
    <cfRule type="cellIs" dxfId="55" priority="157" operator="lessThan">
      <formula>N46</formula>
    </cfRule>
    <cfRule type="cellIs" dxfId="54" priority="158" operator="greaterThanOrEqual">
      <formula>N46</formula>
    </cfRule>
  </conditionalFormatting>
  <conditionalFormatting sqref="O47">
    <cfRule type="cellIs" dxfId="53" priority="155" operator="lessThan">
      <formula>N47</formula>
    </cfRule>
    <cfRule type="cellIs" dxfId="52" priority="156" operator="greaterThanOrEqual">
      <formula>N47</formula>
    </cfRule>
  </conditionalFormatting>
  <conditionalFormatting sqref="O70">
    <cfRule type="cellIs" dxfId="51" priority="187" operator="lessThan">
      <formula>N70</formula>
    </cfRule>
    <cfRule type="cellIs" dxfId="50" priority="188" operator="greaterThanOrEqual">
      <formula>N70</formula>
    </cfRule>
  </conditionalFormatting>
  <conditionalFormatting sqref="O30">
    <cfRule type="cellIs" dxfId="49" priority="149" operator="lessThan">
      <formula>N30</formula>
    </cfRule>
    <cfRule type="cellIs" dxfId="48" priority="150" operator="greaterThanOrEqual">
      <formula>N30</formula>
    </cfRule>
  </conditionalFormatting>
  <conditionalFormatting sqref="O68">
    <cfRule type="cellIs" dxfId="47" priority="143" operator="lessThan">
      <formula>N68</formula>
    </cfRule>
    <cfRule type="cellIs" dxfId="46" priority="144" operator="greaterThanOrEqual">
      <formula>N68</formula>
    </cfRule>
  </conditionalFormatting>
  <conditionalFormatting sqref="O69">
    <cfRule type="cellIs" dxfId="45" priority="139" operator="lessThan">
      <formula>N69</formula>
    </cfRule>
    <cfRule type="cellIs" dxfId="44" priority="140" operator="greaterThanOrEqual">
      <formula>N69</formula>
    </cfRule>
  </conditionalFormatting>
  <conditionalFormatting sqref="O33">
    <cfRule type="cellIs" dxfId="43" priority="173" operator="lessThan">
      <formula>N33</formula>
    </cfRule>
    <cfRule type="cellIs" dxfId="42" priority="174" operator="greaterThanOrEqual">
      <formula>N33</formula>
    </cfRule>
  </conditionalFormatting>
  <conditionalFormatting sqref="O34">
    <cfRule type="cellIs" dxfId="41" priority="137" operator="lessThan">
      <formula>N34</formula>
    </cfRule>
    <cfRule type="cellIs" dxfId="40" priority="138" operator="greaterThanOrEqual">
      <formula>N34</formula>
    </cfRule>
  </conditionalFormatting>
  <conditionalFormatting sqref="O88">
    <cfRule type="cellIs" dxfId="39" priority="131" operator="lessThan">
      <formula>N88</formula>
    </cfRule>
    <cfRule type="cellIs" dxfId="38" priority="132" operator="greaterThanOrEqual">
      <formula>N88</formula>
    </cfRule>
  </conditionalFormatting>
  <conditionalFormatting sqref="O89">
    <cfRule type="cellIs" dxfId="37" priority="129" operator="lessThan">
      <formula>N89</formula>
    </cfRule>
    <cfRule type="cellIs" dxfId="36" priority="130" operator="greaterThanOrEqual">
      <formula>N89</formula>
    </cfRule>
  </conditionalFormatting>
  <conditionalFormatting sqref="O59">
    <cfRule type="cellIs" dxfId="35" priority="125" operator="lessThan">
      <formula>N59</formula>
    </cfRule>
    <cfRule type="cellIs" dxfId="34" priority="126" operator="greaterThanOrEqual">
      <formula>N59</formula>
    </cfRule>
  </conditionalFormatting>
  <conditionalFormatting sqref="O27">
    <cfRule type="cellIs" dxfId="33" priority="121" operator="lessThan">
      <formula>N27</formula>
    </cfRule>
    <cfRule type="cellIs" dxfId="32" priority="122" operator="greaterThanOrEqual">
      <formula>N27</formula>
    </cfRule>
  </conditionalFormatting>
  <conditionalFormatting sqref="O64">
    <cfRule type="cellIs" dxfId="31" priority="101" operator="lessThan">
      <formula>N64</formula>
    </cfRule>
    <cfRule type="cellIs" dxfId="30" priority="102" operator="greaterThanOrEqual">
      <formula>N64</formula>
    </cfRule>
  </conditionalFormatting>
  <conditionalFormatting sqref="O78">
    <cfRule type="cellIs" dxfId="29" priority="93" operator="lessThan">
      <formula>N78</formula>
    </cfRule>
    <cfRule type="cellIs" dxfId="28" priority="94" operator="greaterThanOrEqual">
      <formula>N78</formula>
    </cfRule>
  </conditionalFormatting>
  <conditionalFormatting sqref="O66">
    <cfRule type="cellIs" dxfId="27" priority="95" operator="lessThan">
      <formula>N66</formula>
    </cfRule>
    <cfRule type="cellIs" dxfId="26" priority="96" operator="greaterThanOrEqual">
      <formula>N66</formula>
    </cfRule>
  </conditionalFormatting>
  <conditionalFormatting sqref="O62">
    <cfRule type="cellIs" dxfId="25" priority="81" operator="lessThan">
      <formula>N62</formula>
    </cfRule>
    <cfRule type="cellIs" dxfId="24" priority="82" operator="greaterThanOrEqual">
      <formula>N62</formula>
    </cfRule>
  </conditionalFormatting>
  <conditionalFormatting sqref="O65">
    <cfRule type="cellIs" dxfId="23" priority="49" operator="lessThan">
      <formula>N65</formula>
    </cfRule>
    <cfRule type="cellIs" dxfId="22" priority="50" operator="greaterThanOrEqual">
      <formula>N65</formula>
    </cfRule>
  </conditionalFormatting>
  <conditionalFormatting sqref="O61">
    <cfRule type="cellIs" dxfId="21" priority="33" operator="lessThan">
      <formula>N61</formula>
    </cfRule>
    <cfRule type="cellIs" dxfId="20" priority="34" operator="greaterThanOrEqual">
      <formula>N61</formula>
    </cfRule>
  </conditionalFormatting>
  <conditionalFormatting sqref="O63">
    <cfRule type="cellIs" dxfId="19" priority="53" operator="lessThan">
      <formula>N63</formula>
    </cfRule>
    <cfRule type="cellIs" dxfId="18" priority="54" operator="greaterThanOrEqual">
      <formula>N63</formula>
    </cfRule>
  </conditionalFormatting>
  <conditionalFormatting sqref="O52">
    <cfRule type="cellIs" dxfId="17" priority="293" operator="lessThan">
      <formula>N52</formula>
    </cfRule>
    <cfRule type="cellIs" dxfId="16" priority="294" operator="greaterThanOrEqual">
      <formula>N52</formula>
    </cfRule>
  </conditionalFormatting>
  <conditionalFormatting sqref="O48">
    <cfRule type="cellIs" dxfId="15" priority="153" operator="lessThan">
      <formula>N48</formula>
    </cfRule>
    <cfRule type="cellIs" dxfId="14" priority="154" operator="greaterThanOrEqual">
      <formula>N48</formula>
    </cfRule>
  </conditionalFormatting>
  <conditionalFormatting sqref="O49">
    <cfRule type="cellIs" dxfId="13" priority="31" operator="lessThan">
      <formula>N49</formula>
    </cfRule>
    <cfRule type="cellIs" dxfId="12" priority="32" operator="greaterThanOrEqual">
      <formula>N49</formula>
    </cfRule>
  </conditionalFormatting>
  <conditionalFormatting sqref="O72">
    <cfRule type="cellIs" dxfId="11" priority="29" operator="lessThan">
      <formula>N72</formula>
    </cfRule>
    <cfRule type="cellIs" dxfId="10" priority="30" operator="greaterThanOrEqual">
      <formula>N72</formula>
    </cfRule>
  </conditionalFormatting>
  <conditionalFormatting sqref="O73">
    <cfRule type="cellIs" dxfId="9" priority="27" operator="lessThan">
      <formula>N73</formula>
    </cfRule>
    <cfRule type="cellIs" dxfId="8" priority="28" operator="greaterThanOrEqual">
      <formula>N73</formula>
    </cfRule>
  </conditionalFormatting>
  <conditionalFormatting sqref="O74">
    <cfRule type="cellIs" dxfId="7" priority="25" operator="lessThan">
      <formula>N74</formula>
    </cfRule>
    <cfRule type="cellIs" dxfId="6" priority="26" operator="greaterThanOrEqual">
      <formula>N74</formula>
    </cfRule>
  </conditionalFormatting>
  <conditionalFormatting sqref="O75">
    <cfRule type="cellIs" dxfId="5" priority="23" operator="lessThan">
      <formula>N75</formula>
    </cfRule>
    <cfRule type="cellIs" dxfId="4" priority="24" operator="greaterThanOrEqual">
      <formula>N75</formula>
    </cfRule>
  </conditionalFormatting>
  <conditionalFormatting sqref="O79">
    <cfRule type="cellIs" dxfId="3" priority="21" operator="lessThan">
      <formula>N79</formula>
    </cfRule>
    <cfRule type="cellIs" dxfId="2" priority="22" operator="greaterThanOrEqual">
      <formula>N79</formula>
    </cfRule>
  </conditionalFormatting>
  <conditionalFormatting sqref="O85">
    <cfRule type="cellIs" dxfId="1" priority="133" operator="lessThan">
      <formula>N85</formula>
    </cfRule>
    <cfRule type="cellIs" dxfId="0" priority="134" operator="greaterThanOrEqual">
      <formula>N85</formula>
    </cfRule>
  </conditionalFormatting>
  <hyperlinks>
    <hyperlink ref="B4" r:id="rId1"/>
    <hyperlink ref="D4" r:id="rId2"/>
    <hyperlink ref="C4" r:id="rId3"/>
    <hyperlink ref="E4" r:id="rId4"/>
    <hyperlink ref="F4" r:id="rId5"/>
    <hyperlink ref="B40" r:id="rId6" display="24'x4x4x.125"/>
    <hyperlink ref="G4" r:id="rId7"/>
    <hyperlink ref="B35" r:id="rId8" display="24'x4x4x.25"/>
    <hyperlink ref="B41" r:id="rId9" display="24'x3x3x.25"/>
    <hyperlink ref="B43" r:id="rId10" display="24'x3x3x.125"/>
    <hyperlink ref="B42" r:id="rId11" display="24'x3x3x.125"/>
    <hyperlink ref="B38" r:id="rId12" display="24'x4x4x.125"/>
    <hyperlink ref="B32" r:id="rId13" display="24'x4x4x.25"/>
    <hyperlink ref="B39" r:id="rId14" display="24'x4x4x1/8"/>
    <hyperlink ref="B36" r:id="rId15" display="ST 24'x6x4x1/8"/>
    <hyperlink ref="B33" r:id="rId16" display="ST 24'x6x4x3/16"/>
    <hyperlink ref="B20" r:id="rId17"/>
    <hyperlink ref="B30" r:id="rId18" display="ST 20'x8Diax1/8"/>
    <hyperlink ref="B34" r:id="rId19" display="ST 20'x6Diax1/8"/>
    <hyperlink ref="B29" r:id="rId20" display="ST 20'x10Diax1/8"/>
    <hyperlink ref="B31" r:id="rId21" display="ST 24'x6x6x3/16"/>
    <hyperlink ref="B56" r:id="rId22"/>
    <hyperlink ref="K106" r:id="rId23"/>
    <hyperlink ref="B37" r:id="rId24"/>
    <hyperlink ref="B64" r:id="rId25"/>
    <hyperlink ref="B63" r:id="rId26" display="ST 24'x6x4x1/8"/>
    <hyperlink ref="B66" r:id="rId27" display="24'x4x4x1/8"/>
    <hyperlink ref="B61" r:id="rId28" display="ST 24'x6x6x3/16"/>
    <hyperlink ref="B65" r:id="rId29" display="ST 20'x6Diax1/8"/>
    <hyperlink ref="B62" r:id="rId30"/>
  </hyperlinks>
  <pageMargins left="0.7" right="0.7" top="0.75" bottom="0.75" header="0.3" footer="0.3"/>
  <pageSetup orientation="portrait" r:id="rId31"/>
  <legacyDrawing r:id="rId32"/>
</worksheet>
</file>

<file path=xl/worksheets/sheet8.xml><?xml version="1.0" encoding="utf-8"?>
<worksheet xmlns="http://schemas.openxmlformats.org/spreadsheetml/2006/main" xmlns:r="http://schemas.openxmlformats.org/officeDocument/2006/relationships">
  <dimension ref="A1:T48"/>
  <sheetViews>
    <sheetView topLeftCell="A3" zoomScaleNormal="100" workbookViewId="0">
      <selection activeCell="C3" sqref="C3"/>
    </sheetView>
  </sheetViews>
  <sheetFormatPr defaultRowHeight="12"/>
  <cols>
    <col min="1" max="1" width="31.33203125" style="136" customWidth="1"/>
    <col min="2" max="2" width="8.33203125" style="136" customWidth="1"/>
    <col min="3" max="3" width="9.6640625" style="136" customWidth="1"/>
    <col min="4" max="4" width="8.33203125" style="148" bestFit="1" customWidth="1"/>
    <col min="5" max="5" width="3.109375" style="139" bestFit="1" customWidth="1"/>
    <col min="6" max="6" width="3.88671875" style="139" bestFit="1" customWidth="1"/>
    <col min="7" max="7" width="6.33203125" style="139" bestFit="1" customWidth="1"/>
    <col min="8" max="8" width="4.44140625" style="139" bestFit="1" customWidth="1"/>
    <col min="9" max="9" width="4.44140625" style="139" customWidth="1"/>
    <col min="10" max="10" width="3.88671875" style="139" bestFit="1" customWidth="1"/>
    <col min="11" max="11" width="3.77734375" style="139" bestFit="1" customWidth="1"/>
    <col min="12" max="12" width="4.44140625" style="139" bestFit="1" customWidth="1"/>
    <col min="13" max="13" width="3.88671875" style="139" bestFit="1" customWidth="1"/>
    <col min="14" max="14" width="4" style="139" bestFit="1" customWidth="1"/>
    <col min="15" max="15" width="3.44140625" style="139" bestFit="1" customWidth="1"/>
    <col min="16" max="17" width="5.88671875" style="140" bestFit="1" customWidth="1"/>
    <col min="18" max="18" width="1.77734375" style="141" customWidth="1"/>
    <col min="19" max="19" width="6.44140625" style="142" bestFit="1" customWidth="1"/>
    <col min="20" max="16384" width="8.88671875" style="136"/>
  </cols>
  <sheetData>
    <row r="1" spans="1:20" ht="10.199999999999999" customHeight="1">
      <c r="A1" s="136" t="s">
        <v>202</v>
      </c>
      <c r="C1" s="137">
        <f ca="1">+PanelVoc*PanelIsc*SC*PC*MtsT/1000</f>
        <v>26.188800000000008</v>
      </c>
      <c r="D1" s="138">
        <f ca="1">+NumberOfSystemPanels*PanelPower/1000</f>
        <v>20.007999999999996</v>
      </c>
      <c r="Q1" s="355" t="s">
        <v>438</v>
      </c>
      <c r="R1" s="141" t="s">
        <v>171</v>
      </c>
      <c r="T1" s="155" t="s">
        <v>233</v>
      </c>
    </row>
    <row r="2" spans="1:20" ht="10.199999999999999" customHeight="1">
      <c r="A2" s="136" t="s">
        <v>199</v>
      </c>
      <c r="B2" s="143">
        <f>+RowsOfMounts</f>
        <v>4</v>
      </c>
      <c r="C2" s="144">
        <f>+ColumnsOfMounts</f>
        <v>2</v>
      </c>
      <c r="D2" s="145">
        <f>+NS*EW</f>
        <v>8</v>
      </c>
      <c r="R2" s="141" t="s">
        <v>171</v>
      </c>
    </row>
    <row r="3" spans="1:20" ht="10.199999999999999" customHeight="1">
      <c r="A3" s="136" t="s">
        <v>198</v>
      </c>
      <c r="B3" s="146">
        <f ca="1">SerialCon</f>
        <v>5</v>
      </c>
      <c r="C3" s="147">
        <f ca="1">ParallelCon</f>
        <v>2</v>
      </c>
      <c r="F3" s="139" t="s">
        <v>59</v>
      </c>
      <c r="G3" s="139" t="s">
        <v>151</v>
      </c>
      <c r="H3" s="139" t="s">
        <v>152</v>
      </c>
      <c r="L3" s="139" t="s">
        <v>150</v>
      </c>
      <c r="M3" s="139" t="s">
        <v>37</v>
      </c>
      <c r="N3" s="139" t="s">
        <v>36</v>
      </c>
      <c r="O3" s="139" t="s">
        <v>43</v>
      </c>
      <c r="R3" s="141" t="s">
        <v>46</v>
      </c>
    </row>
    <row r="4" spans="1:20" ht="10.199999999999999" customHeight="1">
      <c r="A4" s="136" t="s">
        <v>201</v>
      </c>
      <c r="B4" s="149">
        <f ca="1">PVmp</f>
        <v>30.5</v>
      </c>
      <c r="C4" s="150">
        <f ca="1">PImp</f>
        <v>8.1999999999999993</v>
      </c>
      <c r="G4" s="151" t="s">
        <v>149</v>
      </c>
      <c r="N4" s="151" t="s">
        <v>148</v>
      </c>
    </row>
    <row r="5" spans="1:20" s="155" customFormat="1" ht="10.199999999999999" customHeight="1">
      <c r="A5" s="136" t="s">
        <v>200</v>
      </c>
      <c r="B5" s="166">
        <f ca="1">PVoc</f>
        <v>37.200000000000003</v>
      </c>
      <c r="C5" s="167">
        <f ca="1">PIsc</f>
        <v>8.8000000000000007</v>
      </c>
      <c r="D5" s="152"/>
      <c r="E5" s="151"/>
      <c r="F5" s="151" t="s">
        <v>185</v>
      </c>
      <c r="G5" s="151" t="s">
        <v>186</v>
      </c>
      <c r="H5" s="151" t="s">
        <v>188</v>
      </c>
      <c r="I5" s="151" t="s">
        <v>232</v>
      </c>
      <c r="J5" s="151" t="s">
        <v>187</v>
      </c>
      <c r="K5" s="151" t="s">
        <v>196</v>
      </c>
      <c r="L5" s="151" t="s">
        <v>195</v>
      </c>
      <c r="M5" s="151"/>
      <c r="N5" s="151"/>
      <c r="O5" s="151"/>
      <c r="P5" s="153"/>
      <c r="Q5" s="153"/>
      <c r="R5" s="141"/>
      <c r="S5" s="154"/>
    </row>
    <row r="6" spans="1:20" ht="10.199999999999999" customHeight="1">
      <c r="A6" s="156" t="s">
        <v>120</v>
      </c>
      <c r="B6" s="156"/>
      <c r="C6" s="157"/>
      <c r="D6" s="158"/>
      <c r="E6" s="159"/>
      <c r="F6" s="159"/>
      <c r="G6" s="159"/>
      <c r="H6" s="159"/>
      <c r="I6" s="159"/>
      <c r="J6" s="159"/>
      <c r="K6" s="159"/>
      <c r="L6" s="159"/>
      <c r="M6" s="159"/>
      <c r="N6" s="159"/>
      <c r="O6" s="159"/>
    </row>
    <row r="7" spans="1:20" ht="10.199999999999999" customHeight="1">
      <c r="A7" s="156" t="s">
        <v>119</v>
      </c>
      <c r="B7" s="156"/>
      <c r="C7" s="157"/>
      <c r="D7" s="158">
        <v>35</v>
      </c>
      <c r="E7" s="159">
        <f ca="1">+ROUNDUP(Power/D7,0)</f>
        <v>1</v>
      </c>
      <c r="F7" s="159">
        <v>600</v>
      </c>
      <c r="G7" s="159">
        <v>595</v>
      </c>
      <c r="H7" s="159"/>
      <c r="I7" s="159"/>
      <c r="J7" s="159">
        <v>295</v>
      </c>
      <c r="K7" s="159"/>
      <c r="L7" s="159">
        <f>125</f>
        <v>125</v>
      </c>
      <c r="M7" s="159"/>
      <c r="N7" s="159">
        <f ca="1">+PanelVmp*SC*NS</f>
        <v>610</v>
      </c>
      <c r="O7" s="159">
        <f ca="1">+PanelImp*PC*EW/E7</f>
        <v>32.799999999999997</v>
      </c>
    </row>
    <row r="8" spans="1:20" ht="10.199999999999999" customHeight="1">
      <c r="A8" s="156" t="s">
        <v>126</v>
      </c>
      <c r="B8" s="156"/>
      <c r="C8" s="157"/>
      <c r="D8" s="158">
        <v>40</v>
      </c>
      <c r="E8" s="159">
        <f ca="1">+ROUNDUP(Power/D8,0)</f>
        <v>1</v>
      </c>
      <c r="F8" s="159"/>
      <c r="G8" s="159"/>
      <c r="H8" s="159"/>
      <c r="I8" s="159"/>
      <c r="J8" s="159"/>
      <c r="K8" s="159"/>
      <c r="L8" s="159"/>
      <c r="M8" s="159"/>
      <c r="N8" s="159"/>
      <c r="O8" s="159"/>
    </row>
    <row r="9" spans="1:20" ht="10.199999999999999" customHeight="1">
      <c r="A9" s="156"/>
      <c r="B9" s="156"/>
      <c r="C9" s="157"/>
      <c r="D9" s="158"/>
      <c r="E9" s="159"/>
      <c r="F9" s="159"/>
      <c r="G9" s="159"/>
      <c r="H9" s="159"/>
      <c r="I9" s="159"/>
      <c r="J9" s="159"/>
      <c r="K9" s="159"/>
      <c r="L9" s="159"/>
      <c r="M9" s="159"/>
      <c r="N9" s="159"/>
      <c r="O9" s="159"/>
    </row>
    <row r="10" spans="1:20" ht="10.199999999999999" customHeight="1">
      <c r="A10" s="156" t="s">
        <v>131</v>
      </c>
      <c r="B10" s="156" t="s">
        <v>189</v>
      </c>
      <c r="C10" s="157"/>
      <c r="D10" s="158">
        <v>50</v>
      </c>
      <c r="E10" s="159">
        <f ca="1">+ROUNDUP(Power/D10,0)</f>
        <v>1</v>
      </c>
      <c r="F10" s="159">
        <v>1000</v>
      </c>
      <c r="G10" s="159">
        <v>850</v>
      </c>
      <c r="H10" s="159">
        <v>200</v>
      </c>
      <c r="I10" s="159"/>
      <c r="K10" s="159">
        <v>108</v>
      </c>
      <c r="L10" s="159"/>
      <c r="M10" s="159"/>
      <c r="N10" s="159">
        <f ca="1">+PanelVmp*SC*NS</f>
        <v>610</v>
      </c>
      <c r="O10" s="159">
        <f ca="1">+PanelImp*PC*EW/E10</f>
        <v>32.799999999999997</v>
      </c>
      <c r="P10" s="140">
        <v>11602</v>
      </c>
      <c r="Q10" s="140">
        <f ca="1">+E10*P10</f>
        <v>11602</v>
      </c>
      <c r="S10" s="314">
        <f>+P10/D10/10</f>
        <v>23.204000000000001</v>
      </c>
    </row>
    <row r="11" spans="1:20" ht="10.199999999999999" customHeight="1">
      <c r="A11" s="156" t="s">
        <v>132</v>
      </c>
      <c r="B11" s="156"/>
      <c r="C11" s="157"/>
      <c r="D11" s="148">
        <v>50</v>
      </c>
      <c r="E11" s="159">
        <f ca="1">+ROUNDUP(Power/D11,0)</f>
        <v>1</v>
      </c>
      <c r="F11" s="159"/>
      <c r="G11" s="159"/>
      <c r="H11" s="159"/>
      <c r="I11" s="159"/>
      <c r="J11" s="159"/>
      <c r="K11" s="159"/>
      <c r="L11" s="159"/>
      <c r="M11" s="159"/>
      <c r="N11" s="159"/>
      <c r="O11" s="159"/>
      <c r="P11" s="140">
        <v>12270</v>
      </c>
      <c r="Q11" s="140">
        <f ca="1">+E11*P11</f>
        <v>12270</v>
      </c>
      <c r="S11" s="314">
        <f>+P11/D11/10</f>
        <v>24.54</v>
      </c>
    </row>
    <row r="12" spans="1:20" ht="10.199999999999999" customHeight="1">
      <c r="A12" s="156"/>
      <c r="B12" s="156"/>
      <c r="C12" s="157"/>
    </row>
    <row r="13" spans="1:20" ht="10.199999999999999" customHeight="1">
      <c r="A13" s="156" t="s">
        <v>121</v>
      </c>
      <c r="B13" s="156"/>
      <c r="C13" s="157"/>
    </row>
    <row r="14" spans="1:20" ht="10.199999999999999" customHeight="1">
      <c r="A14" s="156" t="s">
        <v>123</v>
      </c>
      <c r="B14" s="156"/>
      <c r="C14" s="157"/>
    </row>
    <row r="15" spans="1:20" ht="10.199999999999999" customHeight="1">
      <c r="A15" s="156" t="s">
        <v>124</v>
      </c>
      <c r="B15" s="156"/>
      <c r="C15" s="157"/>
      <c r="D15" s="148">
        <v>36</v>
      </c>
      <c r="E15" s="159">
        <f ca="1">+ROUNDUP(Power/D15,0)</f>
        <v>1</v>
      </c>
      <c r="F15" s="159"/>
      <c r="G15" s="159"/>
      <c r="H15" s="159"/>
      <c r="I15" s="159"/>
      <c r="J15" s="159"/>
      <c r="K15" s="159"/>
      <c r="L15" s="159"/>
      <c r="M15" s="159"/>
      <c r="N15" s="159"/>
      <c r="O15" s="159"/>
      <c r="P15" s="140">
        <v>19200</v>
      </c>
      <c r="Q15" s="140">
        <f ca="1">+E15*P15</f>
        <v>19200</v>
      </c>
      <c r="S15" s="314">
        <f>+P15/D15/10</f>
        <v>53.333333333333336</v>
      </c>
    </row>
    <row r="16" spans="1:20" ht="10.199999999999999" customHeight="1">
      <c r="A16" s="156" t="s">
        <v>122</v>
      </c>
      <c r="B16" s="156"/>
      <c r="C16" s="157"/>
      <c r="D16" s="148">
        <v>42</v>
      </c>
      <c r="E16" s="159">
        <f ca="1">+ROUNDUP(Power/D16,0)</f>
        <v>1</v>
      </c>
      <c r="F16" s="159"/>
      <c r="G16" s="159"/>
      <c r="H16" s="159"/>
      <c r="I16" s="159"/>
      <c r="J16" s="159"/>
      <c r="K16" s="159"/>
      <c r="L16" s="159"/>
      <c r="M16" s="159"/>
      <c r="N16" s="159"/>
      <c r="O16" s="159"/>
      <c r="P16" s="140">
        <v>22000</v>
      </c>
      <c r="Q16" s="140">
        <f ca="1">+E16*P16</f>
        <v>22000</v>
      </c>
      <c r="S16" s="314">
        <f>+P16/D16/10</f>
        <v>52.380952380952387</v>
      </c>
    </row>
    <row r="17" spans="1:20" ht="10.199999999999999" customHeight="1">
      <c r="C17" s="160"/>
    </row>
    <row r="18" spans="1:20" ht="10.199999999999999" customHeight="1">
      <c r="A18" s="156" t="s">
        <v>127</v>
      </c>
      <c r="B18" s="156"/>
      <c r="C18" s="157"/>
    </row>
    <row r="19" spans="1:20" ht="10.199999999999999" customHeight="1">
      <c r="A19" s="156" t="s">
        <v>125</v>
      </c>
      <c r="B19" s="156"/>
      <c r="C19" s="157"/>
      <c r="D19" s="158"/>
      <c r="E19" s="159"/>
      <c r="F19" s="159"/>
      <c r="G19" s="159"/>
      <c r="H19" s="159"/>
      <c r="I19" s="159"/>
      <c r="J19" s="159"/>
      <c r="K19" s="159"/>
      <c r="L19" s="159"/>
      <c r="M19" s="159"/>
      <c r="N19" s="159"/>
      <c r="O19" s="159"/>
    </row>
    <row r="20" spans="1:20" ht="10.199999999999999" customHeight="1">
      <c r="A20" s="156" t="s">
        <v>134</v>
      </c>
      <c r="B20" s="165" t="s">
        <v>231</v>
      </c>
      <c r="C20" s="161" t="s">
        <v>135</v>
      </c>
      <c r="D20" s="158">
        <v>5</v>
      </c>
      <c r="E20" s="159">
        <f t="shared" ref="E20:E29" ca="1" si="0">+ROUNDUP(Power/D20,0)</f>
        <v>5</v>
      </c>
      <c r="F20" s="159">
        <v>600</v>
      </c>
      <c r="G20" s="159">
        <v>500</v>
      </c>
      <c r="H20" s="159">
        <v>180</v>
      </c>
      <c r="I20" s="159">
        <v>120</v>
      </c>
      <c r="J20" s="159">
        <v>24</v>
      </c>
      <c r="K20" s="159">
        <v>18</v>
      </c>
      <c r="L20" s="159"/>
      <c r="M20" s="159">
        <f ca="1">+PanelVoc*SC*NS</f>
        <v>744</v>
      </c>
      <c r="N20" s="159">
        <f ca="1">+PanelVmp*SC*NS</f>
        <v>610</v>
      </c>
      <c r="O20" s="159">
        <f ca="1">+PanelImp*PC</f>
        <v>16.399999999999999</v>
      </c>
      <c r="P20" s="140">
        <v>1375</v>
      </c>
      <c r="Q20" s="140">
        <f t="shared" ref="Q20:Q29" ca="1" si="1">+E20*P20</f>
        <v>6875</v>
      </c>
      <c r="S20" s="314">
        <f t="shared" ref="S20:S29" si="2">+P20/D20/10</f>
        <v>27.5</v>
      </c>
      <c r="T20" s="136">
        <f ca="1">+N20*O20</f>
        <v>10004</v>
      </c>
    </row>
    <row r="21" spans="1:20" ht="10.199999999999999" customHeight="1">
      <c r="A21" s="156" t="s">
        <v>136</v>
      </c>
      <c r="B21" s="156"/>
      <c r="C21" s="161"/>
      <c r="D21" s="158">
        <v>7.7</v>
      </c>
      <c r="E21" s="159">
        <f t="shared" ca="1" si="0"/>
        <v>3</v>
      </c>
      <c r="F21" s="159"/>
      <c r="G21" s="159"/>
      <c r="H21" s="159"/>
      <c r="I21" s="159"/>
      <c r="J21" s="159"/>
      <c r="K21" s="159"/>
      <c r="L21" s="159"/>
      <c r="M21" s="159"/>
      <c r="N21" s="159"/>
      <c r="O21" s="159"/>
      <c r="P21" s="140">
        <v>3173</v>
      </c>
      <c r="Q21" s="140">
        <f t="shared" ca="1" si="1"/>
        <v>9519</v>
      </c>
      <c r="S21" s="314">
        <f t="shared" si="2"/>
        <v>41.20779220779221</v>
      </c>
      <c r="T21" s="136">
        <f ca="1">+Power/D21</f>
        <v>2.5984415584415577</v>
      </c>
    </row>
    <row r="22" spans="1:20" ht="10.199999999999999" customHeight="1">
      <c r="A22" s="156" t="s">
        <v>139</v>
      </c>
      <c r="B22" s="156"/>
      <c r="D22" s="148">
        <v>9</v>
      </c>
      <c r="E22" s="159">
        <f t="shared" ca="1" si="0"/>
        <v>3</v>
      </c>
      <c r="F22" s="159"/>
      <c r="G22" s="159"/>
      <c r="H22" s="159"/>
      <c r="I22" s="159"/>
      <c r="J22" s="159"/>
      <c r="K22" s="159"/>
      <c r="L22" s="159"/>
      <c r="M22" s="159"/>
      <c r="N22" s="159"/>
      <c r="O22" s="159"/>
      <c r="P22" s="140">
        <v>3049</v>
      </c>
      <c r="Q22" s="140">
        <f t="shared" ca="1" si="1"/>
        <v>9147</v>
      </c>
      <c r="S22" s="314">
        <f t="shared" si="2"/>
        <v>33.87777777777778</v>
      </c>
    </row>
    <row r="23" spans="1:20" ht="10.199999999999999" customHeight="1">
      <c r="A23" s="156" t="s">
        <v>138</v>
      </c>
      <c r="B23" s="156"/>
      <c r="C23" s="161"/>
      <c r="D23" s="158">
        <v>10.35</v>
      </c>
      <c r="E23" s="159">
        <f t="shared" ca="1" si="0"/>
        <v>2</v>
      </c>
      <c r="F23" s="159"/>
      <c r="G23" s="159"/>
      <c r="H23" s="159"/>
      <c r="I23" s="159"/>
      <c r="J23" s="159"/>
      <c r="K23" s="159"/>
      <c r="L23" s="159"/>
      <c r="M23" s="159"/>
      <c r="N23" s="159"/>
      <c r="O23" s="159"/>
      <c r="P23" s="140">
        <v>3142</v>
      </c>
      <c r="Q23" s="140">
        <f t="shared" ca="1" si="1"/>
        <v>6284</v>
      </c>
      <c r="S23" s="314">
        <f t="shared" si="2"/>
        <v>30.357487922705314</v>
      </c>
    </row>
    <row r="24" spans="1:20" ht="10.199999999999999" customHeight="1">
      <c r="A24" s="156" t="s">
        <v>137</v>
      </c>
      <c r="B24" s="156"/>
      <c r="C24" s="161"/>
      <c r="D24" s="158">
        <v>11</v>
      </c>
      <c r="E24" s="159">
        <f t="shared" ca="1" si="0"/>
        <v>2</v>
      </c>
      <c r="F24" s="159"/>
      <c r="G24" s="159"/>
      <c r="H24" s="159"/>
      <c r="I24" s="159"/>
      <c r="J24" s="159"/>
      <c r="K24" s="159"/>
      <c r="L24" s="159"/>
      <c r="M24" s="159"/>
      <c r="N24" s="159"/>
      <c r="O24" s="159"/>
      <c r="P24" s="140">
        <v>3520</v>
      </c>
      <c r="Q24" s="140">
        <f t="shared" ca="1" si="1"/>
        <v>7040</v>
      </c>
      <c r="S24" s="314">
        <f t="shared" si="2"/>
        <v>32</v>
      </c>
    </row>
    <row r="25" spans="1:20" ht="10.199999999999999" customHeight="1">
      <c r="A25" s="156" t="s">
        <v>146</v>
      </c>
      <c r="B25" s="156"/>
      <c r="C25" s="161"/>
      <c r="D25" s="162">
        <v>7.6</v>
      </c>
      <c r="E25" s="159">
        <f t="shared" ca="1" si="0"/>
        <v>3</v>
      </c>
      <c r="F25" s="159">
        <v>500</v>
      </c>
      <c r="G25" s="159">
        <v>350</v>
      </c>
      <c r="H25" s="159"/>
      <c r="I25" s="159"/>
      <c r="J25" s="159"/>
      <c r="K25" s="159"/>
      <c r="L25" s="159">
        <v>23</v>
      </c>
      <c r="M25" s="159"/>
      <c r="N25" s="159">
        <f ca="1">+MountVmp*NumberOfMounts/E25</f>
        <v>406.66666666666669</v>
      </c>
      <c r="O25" s="159">
        <f ca="1">+MountImp*2</f>
        <v>32.799999999999997</v>
      </c>
      <c r="P25" s="140">
        <v>1575</v>
      </c>
      <c r="Q25" s="140">
        <f t="shared" ca="1" si="1"/>
        <v>4725</v>
      </c>
      <c r="R25" s="136"/>
      <c r="S25" s="314">
        <f t="shared" si="2"/>
        <v>20.723684210526319</v>
      </c>
    </row>
    <row r="26" spans="1:20" ht="10.199999999999999" customHeight="1">
      <c r="A26" s="156" t="s">
        <v>146</v>
      </c>
      <c r="B26" s="156"/>
      <c r="C26" s="161"/>
      <c r="D26" s="162">
        <v>7.6</v>
      </c>
      <c r="E26" s="159">
        <f t="shared" ref="E26" ca="1" si="3">+ROUNDUP(Power/D26,0)</f>
        <v>3</v>
      </c>
      <c r="F26" s="159">
        <v>500</v>
      </c>
      <c r="G26" s="159">
        <v>350</v>
      </c>
      <c r="H26" s="159"/>
      <c r="I26" s="159"/>
      <c r="J26" s="159"/>
      <c r="K26" s="159"/>
      <c r="L26" s="159">
        <v>23</v>
      </c>
      <c r="M26" s="159"/>
      <c r="N26" s="159">
        <f ca="1">+MountVmp*NumberOfMounts/E26</f>
        <v>406.66666666666669</v>
      </c>
      <c r="O26" s="159">
        <f ca="1">+MountImp*2</f>
        <v>32.799999999999997</v>
      </c>
      <c r="P26" s="140">
        <v>1418</v>
      </c>
      <c r="Q26" s="140">
        <f t="shared" ref="Q26" ca="1" si="4">+E26*P26</f>
        <v>4254</v>
      </c>
      <c r="R26" s="354" t="s">
        <v>436</v>
      </c>
      <c r="S26" s="314">
        <f t="shared" ref="S26" si="5">+P26/D26/10</f>
        <v>18.657894736842106</v>
      </c>
    </row>
    <row r="27" spans="1:20" ht="10.199999999999999" customHeight="1">
      <c r="A27" s="156" t="s">
        <v>141</v>
      </c>
      <c r="B27" s="156"/>
      <c r="C27" s="161"/>
      <c r="D27" s="162">
        <v>7.6</v>
      </c>
      <c r="E27" s="159">
        <f t="shared" ca="1" si="0"/>
        <v>3</v>
      </c>
      <c r="F27" s="159">
        <v>500</v>
      </c>
      <c r="G27" s="159">
        <v>350</v>
      </c>
      <c r="H27" s="159"/>
      <c r="I27" s="159"/>
      <c r="J27" s="159"/>
      <c r="K27" s="159"/>
      <c r="L27" s="159">
        <v>23</v>
      </c>
      <c r="M27" s="159"/>
      <c r="N27" s="159">
        <f ca="1">+MountVmp*NumberOfMounts/E25</f>
        <v>406.66666666666669</v>
      </c>
      <c r="O27" s="159">
        <f ca="1">+MountImp*2</f>
        <v>32.799999999999997</v>
      </c>
      <c r="P27" s="140">
        <v>2071</v>
      </c>
      <c r="Q27" s="140">
        <f t="shared" ca="1" si="1"/>
        <v>6213</v>
      </c>
      <c r="S27" s="314">
        <f t="shared" si="2"/>
        <v>27.25</v>
      </c>
    </row>
    <row r="28" spans="1:20" ht="10.199999999999999" customHeight="1">
      <c r="A28" s="156" t="s">
        <v>140</v>
      </c>
      <c r="B28" s="156"/>
      <c r="C28" s="161"/>
      <c r="D28" s="158">
        <v>0.28000000000000003</v>
      </c>
      <c r="E28" s="159">
        <f t="shared" ca="1" si="0"/>
        <v>72</v>
      </c>
      <c r="F28" s="159"/>
      <c r="G28" s="159"/>
      <c r="H28" s="159"/>
      <c r="I28" s="159"/>
      <c r="J28" s="159"/>
      <c r="K28" s="159"/>
      <c r="L28" s="159"/>
      <c r="M28" s="159"/>
      <c r="N28" s="159"/>
      <c r="O28" s="159"/>
      <c r="P28" s="140">
        <v>160</v>
      </c>
      <c r="Q28" s="140">
        <f t="shared" ca="1" si="1"/>
        <v>11520</v>
      </c>
      <c r="S28" s="314">
        <f t="shared" si="2"/>
        <v>57.142857142857132</v>
      </c>
    </row>
    <row r="29" spans="1:20" ht="10.199999999999999" customHeight="1">
      <c r="A29" s="156" t="s">
        <v>142</v>
      </c>
      <c r="B29" s="156"/>
      <c r="C29" s="161"/>
      <c r="D29" s="158">
        <v>12.5</v>
      </c>
      <c r="E29" s="159">
        <f t="shared" ca="1" si="0"/>
        <v>2</v>
      </c>
      <c r="F29" s="159"/>
      <c r="G29" s="159"/>
      <c r="H29" s="159"/>
      <c r="I29" s="159"/>
      <c r="J29" s="159"/>
      <c r="K29" s="159"/>
      <c r="L29" s="159"/>
      <c r="M29" s="159"/>
      <c r="N29" s="159"/>
      <c r="O29" s="159"/>
      <c r="P29" s="140">
        <v>4368</v>
      </c>
      <c r="Q29" s="140">
        <f t="shared" ca="1" si="1"/>
        <v>8736</v>
      </c>
      <c r="S29" s="314">
        <f t="shared" si="2"/>
        <v>34.944000000000003</v>
      </c>
    </row>
    <row r="30" spans="1:20" ht="10.199999999999999" customHeight="1">
      <c r="A30" s="156"/>
      <c r="B30" s="156"/>
      <c r="C30" s="161"/>
      <c r="D30" s="158"/>
      <c r="E30" s="159"/>
      <c r="F30" s="159"/>
      <c r="G30" s="159"/>
      <c r="H30" s="159"/>
      <c r="I30" s="159"/>
      <c r="J30" s="159"/>
      <c r="K30" s="159"/>
      <c r="L30" s="159"/>
      <c r="M30" s="159"/>
      <c r="N30" s="159"/>
      <c r="O30" s="159"/>
    </row>
    <row r="31" spans="1:20" ht="10.199999999999999" customHeight="1">
      <c r="A31" s="136" t="s">
        <v>130</v>
      </c>
    </row>
    <row r="32" spans="1:20" ht="10.199999999999999" customHeight="1">
      <c r="A32" s="156" t="s">
        <v>129</v>
      </c>
      <c r="B32" s="156"/>
      <c r="C32" s="161"/>
      <c r="D32" s="148">
        <v>2.5</v>
      </c>
      <c r="E32" s="159">
        <f ca="1">+ROUNDUP(Power/D32,0)</f>
        <v>9</v>
      </c>
      <c r="F32" s="159"/>
      <c r="G32" s="159"/>
      <c r="H32" s="159"/>
      <c r="I32" s="159"/>
      <c r="J32" s="159"/>
      <c r="K32" s="159"/>
      <c r="L32" s="159"/>
      <c r="M32" s="159"/>
      <c r="N32" s="159"/>
      <c r="O32" s="159"/>
      <c r="P32" s="140">
        <v>1318.67</v>
      </c>
      <c r="Q32" s="140">
        <f ca="1">+E32*P32</f>
        <v>11868.03</v>
      </c>
      <c r="S32" s="314">
        <f t="shared" ref="S32:S33" si="6">+P32/D32/10</f>
        <v>52.746800000000007</v>
      </c>
    </row>
    <row r="33" spans="1:19" ht="10.199999999999999" customHeight="1">
      <c r="A33" s="156" t="s">
        <v>128</v>
      </c>
      <c r="B33" s="156"/>
      <c r="C33" s="161"/>
      <c r="D33" s="148">
        <v>2.5</v>
      </c>
      <c r="E33" s="159">
        <f ca="1">+ROUNDUP(Power/D33,0)</f>
        <v>9</v>
      </c>
      <c r="F33" s="159"/>
      <c r="G33" s="159"/>
      <c r="H33" s="159"/>
      <c r="I33" s="159"/>
      <c r="J33" s="159"/>
      <c r="K33" s="159"/>
      <c r="L33" s="159"/>
      <c r="M33" s="159"/>
      <c r="N33" s="159"/>
      <c r="O33" s="159"/>
      <c r="P33" s="140">
        <v>1550</v>
      </c>
      <c r="Q33" s="140">
        <f ca="1">+E33*P33</f>
        <v>13950</v>
      </c>
      <c r="S33" s="314">
        <f t="shared" si="6"/>
        <v>62</v>
      </c>
    </row>
    <row r="34" spans="1:19" ht="10.199999999999999" customHeight="1"/>
    <row r="35" spans="1:19" ht="10.199999999999999" customHeight="1"/>
    <row r="36" spans="1:19" ht="10.199999999999999" customHeight="1">
      <c r="A36" s="156" t="s">
        <v>133</v>
      </c>
      <c r="B36" s="156"/>
      <c r="C36" s="161"/>
      <c r="D36" s="148">
        <v>12.5</v>
      </c>
      <c r="E36" s="159">
        <f ca="1">+ROUNDUP(Power/D36,0)</f>
        <v>2</v>
      </c>
      <c r="F36" s="159"/>
      <c r="G36" s="159"/>
      <c r="H36" s="159"/>
      <c r="I36" s="159"/>
      <c r="J36" s="159"/>
      <c r="K36" s="159"/>
      <c r="L36" s="159"/>
      <c r="M36" s="159"/>
      <c r="N36" s="159"/>
      <c r="O36" s="159"/>
      <c r="Q36" s="140">
        <f ca="1">+E36*P36</f>
        <v>0</v>
      </c>
      <c r="S36" s="314">
        <f>+P36/D36/10</f>
        <v>0</v>
      </c>
    </row>
    <row r="37" spans="1:19" ht="10.199999999999999" customHeight="1"/>
    <row r="38" spans="1:19" ht="10.199999999999999" customHeight="1">
      <c r="A38" s="850" t="s">
        <v>687</v>
      </c>
    </row>
    <row r="39" spans="1:19" ht="10.199999999999999" customHeight="1">
      <c r="A39" s="136" t="s">
        <v>685</v>
      </c>
      <c r="C39" s="848">
        <v>15</v>
      </c>
      <c r="D39" s="847">
        <v>750</v>
      </c>
      <c r="Q39" s="140">
        <f>C39*D39</f>
        <v>11250</v>
      </c>
    </row>
    <row r="40" spans="1:19" ht="10.199999999999999" customHeight="1">
      <c r="A40" s="136" t="s">
        <v>147</v>
      </c>
      <c r="D40" s="849">
        <v>0.2</v>
      </c>
      <c r="Q40" s="140">
        <f ca="1">+SystemPower*1000*D40</f>
        <v>4000</v>
      </c>
    </row>
    <row r="41" spans="1:19" ht="10.199999999999999" customHeight="1"/>
    <row r="42" spans="1:19" ht="10.199999999999999" customHeight="1">
      <c r="A42" s="136" t="s">
        <v>686</v>
      </c>
      <c r="Q42" s="472">
        <f ca="1">SUM(Q38:Q41)</f>
        <v>15250</v>
      </c>
    </row>
    <row r="43" spans="1:19" ht="10.199999999999999" customHeight="1"/>
    <row r="44" spans="1:19" ht="10.199999999999999" customHeight="1"/>
    <row r="45" spans="1:19" ht="10.199999999999999" customHeight="1"/>
    <row r="46" spans="1:19" ht="10.199999999999999" customHeight="1"/>
    <row r="47" spans="1:19" ht="10.199999999999999" customHeight="1"/>
    <row r="48" spans="1:19" ht="10.199999999999999" customHeight="1"/>
  </sheetData>
  <sheetProtection sheet="1" objects="1" scenarios="1"/>
  <hyperlinks>
    <hyperlink ref="A19" r:id="rId1" display="http://www.google.com/url?sa=t&amp;rct=j&amp;q=&amp;esrc=s&amp;source=web&amp;cd=2&amp;cad=rja&amp;uact=8&amp;ved=0ahUKEwi_msX53fPMAhXLVxQKHV1ACS4QFggkMAE&amp;url=http%3A%2F%2Fpdf.wholesalesolar.com%2Finverter%2520pdf%2520folder%2FSMA%2520SB2500U%2520Manual.pdf&amp;usg=AFQjCNGGZJDEfvKnEruT4PAwDXLCJxh3rQ"/>
    <hyperlink ref="A6" r:id="rId2"/>
    <hyperlink ref="A7" r:id="rId3"/>
    <hyperlink ref="A8" r:id="rId4"/>
    <hyperlink ref="A13" r:id="rId5"/>
    <hyperlink ref="A14" r:id="rId6"/>
    <hyperlink ref="A15" r:id="rId7"/>
    <hyperlink ref="A16" r:id="rId8"/>
    <hyperlink ref="A18" r:id="rId9"/>
    <hyperlink ref="A33" r:id="rId10"/>
    <hyperlink ref="A32" r:id="rId11"/>
    <hyperlink ref="A10" r:id="rId12"/>
    <hyperlink ref="A11" r:id="rId13"/>
    <hyperlink ref="A36" r:id="rId14"/>
    <hyperlink ref="A20" r:id="rId15"/>
    <hyperlink ref="A21" r:id="rId16"/>
    <hyperlink ref="A24" r:id="rId17"/>
    <hyperlink ref="A22" r:id="rId18"/>
    <hyperlink ref="A28" r:id="rId19"/>
    <hyperlink ref="A27" r:id="rId20"/>
    <hyperlink ref="A25" r:id="rId21"/>
    <hyperlink ref="D27" r:id="rId22" display="http://pdf.wholesalesolar.com/inverter pdf folder/SE10000A-US000NNR2-Specifications.pdf"/>
    <hyperlink ref="D25" r:id="rId23" display="https://www.wholesalesolar.com/cms/solaredge-se3000a-us-u-inverter-specs-2669527910.pdf"/>
    <hyperlink ref="B10" r:id="rId24"/>
    <hyperlink ref="B20" r:id="rId25"/>
    <hyperlink ref="A26" r:id="rId26"/>
  </hyperlinks>
  <pageMargins left="0.7" right="0.7" top="0.75" bottom="0.75" header="0.3" footer="0.3"/>
  <legacyDrawing r:id="rId27"/>
</worksheet>
</file>

<file path=xl/worksheets/sheet9.xml><?xml version="1.0" encoding="utf-8"?>
<worksheet xmlns="http://schemas.openxmlformats.org/spreadsheetml/2006/main" xmlns:r="http://schemas.openxmlformats.org/officeDocument/2006/relationships">
  <dimension ref="A1:P43"/>
  <sheetViews>
    <sheetView workbookViewId="0">
      <selection activeCell="M24" sqref="M24"/>
    </sheetView>
  </sheetViews>
  <sheetFormatPr defaultRowHeight="17.399999999999999"/>
  <cols>
    <col min="1" max="1" width="15.44140625" customWidth="1"/>
    <col min="2" max="2" width="5.5546875" customWidth="1"/>
    <col min="3" max="3" width="6.5546875" style="90" bestFit="1" customWidth="1"/>
    <col min="4" max="4" width="6.88671875" style="78" customWidth="1"/>
    <col min="5" max="5" width="2.88671875" style="79" bestFit="1" customWidth="1"/>
    <col min="6" max="6" width="6" style="80" customWidth="1"/>
    <col min="7" max="7" width="2.44140625" style="81" customWidth="1"/>
    <col min="8" max="8" width="6" style="70" customWidth="1"/>
    <col min="10" max="12" width="7" customWidth="1"/>
    <col min="258" max="258" width="16" customWidth="1"/>
    <col min="259" max="259" width="4.5546875" bestFit="1" customWidth="1"/>
    <col min="260" max="260" width="6.109375" bestFit="1" customWidth="1"/>
    <col min="261" max="261" width="6.88671875" customWidth="1"/>
    <col min="262" max="262" width="2.88671875" bestFit="1" customWidth="1"/>
    <col min="263" max="263" width="5.77734375" customWidth="1"/>
    <col min="264" max="264" width="2.88671875" bestFit="1" customWidth="1"/>
    <col min="265" max="265" width="5.77734375" customWidth="1"/>
    <col min="266" max="266" width="21" customWidth="1"/>
    <col min="514" max="514" width="16" customWidth="1"/>
    <col min="515" max="515" width="4.5546875" bestFit="1" customWidth="1"/>
    <col min="516" max="516" width="6.109375" bestFit="1" customWidth="1"/>
    <col min="517" max="517" width="6.88671875" customWidth="1"/>
    <col min="518" max="518" width="2.88671875" bestFit="1" customWidth="1"/>
    <col min="519" max="519" width="5.77734375" customWidth="1"/>
    <col min="520" max="520" width="2.88671875" bestFit="1" customWidth="1"/>
    <col min="521" max="521" width="5.77734375" customWidth="1"/>
    <col min="522" max="522" width="21" customWidth="1"/>
    <col min="770" max="770" width="16" customWidth="1"/>
    <col min="771" max="771" width="4.5546875" bestFit="1" customWidth="1"/>
    <col min="772" max="772" width="6.109375" bestFit="1" customWidth="1"/>
    <col min="773" max="773" width="6.88671875" customWidth="1"/>
    <col min="774" max="774" width="2.88671875" bestFit="1" customWidth="1"/>
    <col min="775" max="775" width="5.77734375" customWidth="1"/>
    <col min="776" max="776" width="2.88671875" bestFit="1" customWidth="1"/>
    <col min="777" max="777" width="5.77734375" customWidth="1"/>
    <col min="778" max="778" width="21" customWidth="1"/>
    <col min="1026" max="1026" width="16" customWidth="1"/>
    <col min="1027" max="1027" width="4.5546875" bestFit="1" customWidth="1"/>
    <col min="1028" max="1028" width="6.109375" bestFit="1" customWidth="1"/>
    <col min="1029" max="1029" width="6.88671875" customWidth="1"/>
    <col min="1030" max="1030" width="2.88671875" bestFit="1" customWidth="1"/>
    <col min="1031" max="1031" width="5.77734375" customWidth="1"/>
    <col min="1032" max="1032" width="2.88671875" bestFit="1" customWidth="1"/>
    <col min="1033" max="1033" width="5.77734375" customWidth="1"/>
    <col min="1034" max="1034" width="21" customWidth="1"/>
    <col min="1282" max="1282" width="16" customWidth="1"/>
    <col min="1283" max="1283" width="4.5546875" bestFit="1" customWidth="1"/>
    <col min="1284" max="1284" width="6.109375" bestFit="1" customWidth="1"/>
    <col min="1285" max="1285" width="6.88671875" customWidth="1"/>
    <col min="1286" max="1286" width="2.88671875" bestFit="1" customWidth="1"/>
    <col min="1287" max="1287" width="5.77734375" customWidth="1"/>
    <col min="1288" max="1288" width="2.88671875" bestFit="1" customWidth="1"/>
    <col min="1289" max="1289" width="5.77734375" customWidth="1"/>
    <col min="1290" max="1290" width="21" customWidth="1"/>
    <col min="1538" max="1538" width="16" customWidth="1"/>
    <col min="1539" max="1539" width="4.5546875" bestFit="1" customWidth="1"/>
    <col min="1540" max="1540" width="6.109375" bestFit="1" customWidth="1"/>
    <col min="1541" max="1541" width="6.88671875" customWidth="1"/>
    <col min="1542" max="1542" width="2.88671875" bestFit="1" customWidth="1"/>
    <col min="1543" max="1543" width="5.77734375" customWidth="1"/>
    <col min="1544" max="1544" width="2.88671875" bestFit="1" customWidth="1"/>
    <col min="1545" max="1545" width="5.77734375" customWidth="1"/>
    <col min="1546" max="1546" width="21" customWidth="1"/>
    <col min="1794" max="1794" width="16" customWidth="1"/>
    <col min="1795" max="1795" width="4.5546875" bestFit="1" customWidth="1"/>
    <col min="1796" max="1796" width="6.109375" bestFit="1" customWidth="1"/>
    <col min="1797" max="1797" width="6.88671875" customWidth="1"/>
    <col min="1798" max="1798" width="2.88671875" bestFit="1" customWidth="1"/>
    <col min="1799" max="1799" width="5.77734375" customWidth="1"/>
    <col min="1800" max="1800" width="2.88671875" bestFit="1" customWidth="1"/>
    <col min="1801" max="1801" width="5.77734375" customWidth="1"/>
    <col min="1802" max="1802" width="21" customWidth="1"/>
    <col min="2050" max="2050" width="16" customWidth="1"/>
    <col min="2051" max="2051" width="4.5546875" bestFit="1" customWidth="1"/>
    <col min="2052" max="2052" width="6.109375" bestFit="1" customWidth="1"/>
    <col min="2053" max="2053" width="6.88671875" customWidth="1"/>
    <col min="2054" max="2054" width="2.88671875" bestFit="1" customWidth="1"/>
    <col min="2055" max="2055" width="5.77734375" customWidth="1"/>
    <col min="2056" max="2056" width="2.88671875" bestFit="1" customWidth="1"/>
    <col min="2057" max="2057" width="5.77734375" customWidth="1"/>
    <col min="2058" max="2058" width="21" customWidth="1"/>
    <col min="2306" max="2306" width="16" customWidth="1"/>
    <col min="2307" max="2307" width="4.5546875" bestFit="1" customWidth="1"/>
    <col min="2308" max="2308" width="6.109375" bestFit="1" customWidth="1"/>
    <col min="2309" max="2309" width="6.88671875" customWidth="1"/>
    <col min="2310" max="2310" width="2.88671875" bestFit="1" customWidth="1"/>
    <col min="2311" max="2311" width="5.77734375" customWidth="1"/>
    <col min="2312" max="2312" width="2.88671875" bestFit="1" customWidth="1"/>
    <col min="2313" max="2313" width="5.77734375" customWidth="1"/>
    <col min="2314" max="2314" width="21" customWidth="1"/>
    <col min="2562" max="2562" width="16" customWidth="1"/>
    <col min="2563" max="2563" width="4.5546875" bestFit="1" customWidth="1"/>
    <col min="2564" max="2564" width="6.109375" bestFit="1" customWidth="1"/>
    <col min="2565" max="2565" width="6.88671875" customWidth="1"/>
    <col min="2566" max="2566" width="2.88671875" bestFit="1" customWidth="1"/>
    <col min="2567" max="2567" width="5.77734375" customWidth="1"/>
    <col min="2568" max="2568" width="2.88671875" bestFit="1" customWidth="1"/>
    <col min="2569" max="2569" width="5.77734375" customWidth="1"/>
    <col min="2570" max="2570" width="21" customWidth="1"/>
    <col min="2818" max="2818" width="16" customWidth="1"/>
    <col min="2819" max="2819" width="4.5546875" bestFit="1" customWidth="1"/>
    <col min="2820" max="2820" width="6.109375" bestFit="1" customWidth="1"/>
    <col min="2821" max="2821" width="6.88671875" customWidth="1"/>
    <col min="2822" max="2822" width="2.88671875" bestFit="1" customWidth="1"/>
    <col min="2823" max="2823" width="5.77734375" customWidth="1"/>
    <col min="2824" max="2824" width="2.88671875" bestFit="1" customWidth="1"/>
    <col min="2825" max="2825" width="5.77734375" customWidth="1"/>
    <col min="2826" max="2826" width="21" customWidth="1"/>
    <col min="3074" max="3074" width="16" customWidth="1"/>
    <col min="3075" max="3075" width="4.5546875" bestFit="1" customWidth="1"/>
    <col min="3076" max="3076" width="6.109375" bestFit="1" customWidth="1"/>
    <col min="3077" max="3077" width="6.88671875" customWidth="1"/>
    <col min="3078" max="3078" width="2.88671875" bestFit="1" customWidth="1"/>
    <col min="3079" max="3079" width="5.77734375" customWidth="1"/>
    <col min="3080" max="3080" width="2.88671875" bestFit="1" customWidth="1"/>
    <col min="3081" max="3081" width="5.77734375" customWidth="1"/>
    <col min="3082" max="3082" width="21" customWidth="1"/>
    <col min="3330" max="3330" width="16" customWidth="1"/>
    <col min="3331" max="3331" width="4.5546875" bestFit="1" customWidth="1"/>
    <col min="3332" max="3332" width="6.109375" bestFit="1" customWidth="1"/>
    <col min="3333" max="3333" width="6.88671875" customWidth="1"/>
    <col min="3334" max="3334" width="2.88671875" bestFit="1" customWidth="1"/>
    <col min="3335" max="3335" width="5.77734375" customWidth="1"/>
    <col min="3336" max="3336" width="2.88671875" bestFit="1" customWidth="1"/>
    <col min="3337" max="3337" width="5.77734375" customWidth="1"/>
    <col min="3338" max="3338" width="21" customWidth="1"/>
    <col min="3586" max="3586" width="16" customWidth="1"/>
    <col min="3587" max="3587" width="4.5546875" bestFit="1" customWidth="1"/>
    <col min="3588" max="3588" width="6.109375" bestFit="1" customWidth="1"/>
    <col min="3589" max="3589" width="6.88671875" customWidth="1"/>
    <col min="3590" max="3590" width="2.88671875" bestFit="1" customWidth="1"/>
    <col min="3591" max="3591" width="5.77734375" customWidth="1"/>
    <col min="3592" max="3592" width="2.88671875" bestFit="1" customWidth="1"/>
    <col min="3593" max="3593" width="5.77734375" customWidth="1"/>
    <col min="3594" max="3594" width="21" customWidth="1"/>
    <col min="3842" max="3842" width="16" customWidth="1"/>
    <col min="3843" max="3843" width="4.5546875" bestFit="1" customWidth="1"/>
    <col min="3844" max="3844" width="6.109375" bestFit="1" customWidth="1"/>
    <col min="3845" max="3845" width="6.88671875" customWidth="1"/>
    <col min="3846" max="3846" width="2.88671875" bestFit="1" customWidth="1"/>
    <col min="3847" max="3847" width="5.77734375" customWidth="1"/>
    <col min="3848" max="3848" width="2.88671875" bestFit="1" customWidth="1"/>
    <col min="3849" max="3849" width="5.77734375" customWidth="1"/>
    <col min="3850" max="3850" width="21" customWidth="1"/>
    <col min="4098" max="4098" width="16" customWidth="1"/>
    <col min="4099" max="4099" width="4.5546875" bestFit="1" customWidth="1"/>
    <col min="4100" max="4100" width="6.109375" bestFit="1" customWidth="1"/>
    <col min="4101" max="4101" width="6.88671875" customWidth="1"/>
    <col min="4102" max="4102" width="2.88671875" bestFit="1" customWidth="1"/>
    <col min="4103" max="4103" width="5.77734375" customWidth="1"/>
    <col min="4104" max="4104" width="2.88671875" bestFit="1" customWidth="1"/>
    <col min="4105" max="4105" width="5.77734375" customWidth="1"/>
    <col min="4106" max="4106" width="21" customWidth="1"/>
    <col min="4354" max="4354" width="16" customWidth="1"/>
    <col min="4355" max="4355" width="4.5546875" bestFit="1" customWidth="1"/>
    <col min="4356" max="4356" width="6.109375" bestFit="1" customWidth="1"/>
    <col min="4357" max="4357" width="6.88671875" customWidth="1"/>
    <col min="4358" max="4358" width="2.88671875" bestFit="1" customWidth="1"/>
    <col min="4359" max="4359" width="5.77734375" customWidth="1"/>
    <col min="4360" max="4360" width="2.88671875" bestFit="1" customWidth="1"/>
    <col min="4361" max="4361" width="5.77734375" customWidth="1"/>
    <col min="4362" max="4362" width="21" customWidth="1"/>
    <col min="4610" max="4610" width="16" customWidth="1"/>
    <col min="4611" max="4611" width="4.5546875" bestFit="1" customWidth="1"/>
    <col min="4612" max="4612" width="6.109375" bestFit="1" customWidth="1"/>
    <col min="4613" max="4613" width="6.88671875" customWidth="1"/>
    <col min="4614" max="4614" width="2.88671875" bestFit="1" customWidth="1"/>
    <col min="4615" max="4615" width="5.77734375" customWidth="1"/>
    <col min="4616" max="4616" width="2.88671875" bestFit="1" customWidth="1"/>
    <col min="4617" max="4617" width="5.77734375" customWidth="1"/>
    <col min="4618" max="4618" width="21" customWidth="1"/>
    <col min="4866" max="4866" width="16" customWidth="1"/>
    <col min="4867" max="4867" width="4.5546875" bestFit="1" customWidth="1"/>
    <col min="4868" max="4868" width="6.109375" bestFit="1" customWidth="1"/>
    <col min="4869" max="4869" width="6.88671875" customWidth="1"/>
    <col min="4870" max="4870" width="2.88671875" bestFit="1" customWidth="1"/>
    <col min="4871" max="4871" width="5.77734375" customWidth="1"/>
    <col min="4872" max="4872" width="2.88671875" bestFit="1" customWidth="1"/>
    <col min="4873" max="4873" width="5.77734375" customWidth="1"/>
    <col min="4874" max="4874" width="21" customWidth="1"/>
    <col min="5122" max="5122" width="16" customWidth="1"/>
    <col min="5123" max="5123" width="4.5546875" bestFit="1" customWidth="1"/>
    <col min="5124" max="5124" width="6.109375" bestFit="1" customWidth="1"/>
    <col min="5125" max="5125" width="6.88671875" customWidth="1"/>
    <col min="5126" max="5126" width="2.88671875" bestFit="1" customWidth="1"/>
    <col min="5127" max="5127" width="5.77734375" customWidth="1"/>
    <col min="5128" max="5128" width="2.88671875" bestFit="1" customWidth="1"/>
    <col min="5129" max="5129" width="5.77734375" customWidth="1"/>
    <col min="5130" max="5130" width="21" customWidth="1"/>
    <col min="5378" max="5378" width="16" customWidth="1"/>
    <col min="5379" max="5379" width="4.5546875" bestFit="1" customWidth="1"/>
    <col min="5380" max="5380" width="6.109375" bestFit="1" customWidth="1"/>
    <col min="5381" max="5381" width="6.88671875" customWidth="1"/>
    <col min="5382" max="5382" width="2.88671875" bestFit="1" customWidth="1"/>
    <col min="5383" max="5383" width="5.77734375" customWidth="1"/>
    <col min="5384" max="5384" width="2.88671875" bestFit="1" customWidth="1"/>
    <col min="5385" max="5385" width="5.77734375" customWidth="1"/>
    <col min="5386" max="5386" width="21" customWidth="1"/>
    <col min="5634" max="5634" width="16" customWidth="1"/>
    <col min="5635" max="5635" width="4.5546875" bestFit="1" customWidth="1"/>
    <col min="5636" max="5636" width="6.109375" bestFit="1" customWidth="1"/>
    <col min="5637" max="5637" width="6.88671875" customWidth="1"/>
    <col min="5638" max="5638" width="2.88671875" bestFit="1" customWidth="1"/>
    <col min="5639" max="5639" width="5.77734375" customWidth="1"/>
    <col min="5640" max="5640" width="2.88671875" bestFit="1" customWidth="1"/>
    <col min="5641" max="5641" width="5.77734375" customWidth="1"/>
    <col min="5642" max="5642" width="21" customWidth="1"/>
    <col min="5890" max="5890" width="16" customWidth="1"/>
    <col min="5891" max="5891" width="4.5546875" bestFit="1" customWidth="1"/>
    <col min="5892" max="5892" width="6.109375" bestFit="1" customWidth="1"/>
    <col min="5893" max="5893" width="6.88671875" customWidth="1"/>
    <col min="5894" max="5894" width="2.88671875" bestFit="1" customWidth="1"/>
    <col min="5895" max="5895" width="5.77734375" customWidth="1"/>
    <col min="5896" max="5896" width="2.88671875" bestFit="1" customWidth="1"/>
    <col min="5897" max="5897" width="5.77734375" customWidth="1"/>
    <col min="5898" max="5898" width="21" customWidth="1"/>
    <col min="6146" max="6146" width="16" customWidth="1"/>
    <col min="6147" max="6147" width="4.5546875" bestFit="1" customWidth="1"/>
    <col min="6148" max="6148" width="6.109375" bestFit="1" customWidth="1"/>
    <col min="6149" max="6149" width="6.88671875" customWidth="1"/>
    <col min="6150" max="6150" width="2.88671875" bestFit="1" customWidth="1"/>
    <col min="6151" max="6151" width="5.77734375" customWidth="1"/>
    <col min="6152" max="6152" width="2.88671875" bestFit="1" customWidth="1"/>
    <col min="6153" max="6153" width="5.77734375" customWidth="1"/>
    <col min="6154" max="6154" width="21" customWidth="1"/>
    <col min="6402" max="6402" width="16" customWidth="1"/>
    <col min="6403" max="6403" width="4.5546875" bestFit="1" customWidth="1"/>
    <col min="6404" max="6404" width="6.109375" bestFit="1" customWidth="1"/>
    <col min="6405" max="6405" width="6.88671875" customWidth="1"/>
    <col min="6406" max="6406" width="2.88671875" bestFit="1" customWidth="1"/>
    <col min="6407" max="6407" width="5.77734375" customWidth="1"/>
    <col min="6408" max="6408" width="2.88671875" bestFit="1" customWidth="1"/>
    <col min="6409" max="6409" width="5.77734375" customWidth="1"/>
    <col min="6410" max="6410" width="21" customWidth="1"/>
    <col min="6658" max="6658" width="16" customWidth="1"/>
    <col min="6659" max="6659" width="4.5546875" bestFit="1" customWidth="1"/>
    <col min="6660" max="6660" width="6.109375" bestFit="1" customWidth="1"/>
    <col min="6661" max="6661" width="6.88671875" customWidth="1"/>
    <col min="6662" max="6662" width="2.88671875" bestFit="1" customWidth="1"/>
    <col min="6663" max="6663" width="5.77734375" customWidth="1"/>
    <col min="6664" max="6664" width="2.88671875" bestFit="1" customWidth="1"/>
    <col min="6665" max="6665" width="5.77734375" customWidth="1"/>
    <col min="6666" max="6666" width="21" customWidth="1"/>
    <col min="6914" max="6914" width="16" customWidth="1"/>
    <col min="6915" max="6915" width="4.5546875" bestFit="1" customWidth="1"/>
    <col min="6916" max="6916" width="6.109375" bestFit="1" customWidth="1"/>
    <col min="6917" max="6917" width="6.88671875" customWidth="1"/>
    <col min="6918" max="6918" width="2.88671875" bestFit="1" customWidth="1"/>
    <col min="6919" max="6919" width="5.77734375" customWidth="1"/>
    <col min="6920" max="6920" width="2.88671875" bestFit="1" customWidth="1"/>
    <col min="6921" max="6921" width="5.77734375" customWidth="1"/>
    <col min="6922" max="6922" width="21" customWidth="1"/>
    <col min="7170" max="7170" width="16" customWidth="1"/>
    <col min="7171" max="7171" width="4.5546875" bestFit="1" customWidth="1"/>
    <col min="7172" max="7172" width="6.109375" bestFit="1" customWidth="1"/>
    <col min="7173" max="7173" width="6.88671875" customWidth="1"/>
    <col min="7174" max="7174" width="2.88671875" bestFit="1" customWidth="1"/>
    <col min="7175" max="7175" width="5.77734375" customWidth="1"/>
    <col min="7176" max="7176" width="2.88671875" bestFit="1" customWidth="1"/>
    <col min="7177" max="7177" width="5.77734375" customWidth="1"/>
    <col min="7178" max="7178" width="21" customWidth="1"/>
    <col min="7426" max="7426" width="16" customWidth="1"/>
    <col min="7427" max="7427" width="4.5546875" bestFit="1" customWidth="1"/>
    <col min="7428" max="7428" width="6.109375" bestFit="1" customWidth="1"/>
    <col min="7429" max="7429" width="6.88671875" customWidth="1"/>
    <col min="7430" max="7430" width="2.88671875" bestFit="1" customWidth="1"/>
    <col min="7431" max="7431" width="5.77734375" customWidth="1"/>
    <col min="7432" max="7432" width="2.88671875" bestFit="1" customWidth="1"/>
    <col min="7433" max="7433" width="5.77734375" customWidth="1"/>
    <col min="7434" max="7434" width="21" customWidth="1"/>
    <col min="7682" max="7682" width="16" customWidth="1"/>
    <col min="7683" max="7683" width="4.5546875" bestFit="1" customWidth="1"/>
    <col min="7684" max="7684" width="6.109375" bestFit="1" customWidth="1"/>
    <col min="7685" max="7685" width="6.88671875" customWidth="1"/>
    <col min="7686" max="7686" width="2.88671875" bestFit="1" customWidth="1"/>
    <col min="7687" max="7687" width="5.77734375" customWidth="1"/>
    <col min="7688" max="7688" width="2.88671875" bestFit="1" customWidth="1"/>
    <col min="7689" max="7689" width="5.77734375" customWidth="1"/>
    <col min="7690" max="7690" width="21" customWidth="1"/>
    <col min="7938" max="7938" width="16" customWidth="1"/>
    <col min="7939" max="7939" width="4.5546875" bestFit="1" customWidth="1"/>
    <col min="7940" max="7940" width="6.109375" bestFit="1" customWidth="1"/>
    <col min="7941" max="7941" width="6.88671875" customWidth="1"/>
    <col min="7942" max="7942" width="2.88671875" bestFit="1" customWidth="1"/>
    <col min="7943" max="7943" width="5.77734375" customWidth="1"/>
    <col min="7944" max="7944" width="2.88671875" bestFit="1" customWidth="1"/>
    <col min="7945" max="7945" width="5.77734375" customWidth="1"/>
    <col min="7946" max="7946" width="21" customWidth="1"/>
    <col min="8194" max="8194" width="16" customWidth="1"/>
    <col min="8195" max="8195" width="4.5546875" bestFit="1" customWidth="1"/>
    <col min="8196" max="8196" width="6.109375" bestFit="1" customWidth="1"/>
    <col min="8197" max="8197" width="6.88671875" customWidth="1"/>
    <col min="8198" max="8198" width="2.88671875" bestFit="1" customWidth="1"/>
    <col min="8199" max="8199" width="5.77734375" customWidth="1"/>
    <col min="8200" max="8200" width="2.88671875" bestFit="1" customWidth="1"/>
    <col min="8201" max="8201" width="5.77734375" customWidth="1"/>
    <col min="8202" max="8202" width="21" customWidth="1"/>
    <col min="8450" max="8450" width="16" customWidth="1"/>
    <col min="8451" max="8451" width="4.5546875" bestFit="1" customWidth="1"/>
    <col min="8452" max="8452" width="6.109375" bestFit="1" customWidth="1"/>
    <col min="8453" max="8453" width="6.88671875" customWidth="1"/>
    <col min="8454" max="8454" width="2.88671875" bestFit="1" customWidth="1"/>
    <col min="8455" max="8455" width="5.77734375" customWidth="1"/>
    <col min="8456" max="8456" width="2.88671875" bestFit="1" customWidth="1"/>
    <col min="8457" max="8457" width="5.77734375" customWidth="1"/>
    <col min="8458" max="8458" width="21" customWidth="1"/>
    <col min="8706" max="8706" width="16" customWidth="1"/>
    <col min="8707" max="8707" width="4.5546875" bestFit="1" customWidth="1"/>
    <col min="8708" max="8708" width="6.109375" bestFit="1" customWidth="1"/>
    <col min="8709" max="8709" width="6.88671875" customWidth="1"/>
    <col min="8710" max="8710" width="2.88671875" bestFit="1" customWidth="1"/>
    <col min="8711" max="8711" width="5.77734375" customWidth="1"/>
    <col min="8712" max="8712" width="2.88671875" bestFit="1" customWidth="1"/>
    <col min="8713" max="8713" width="5.77734375" customWidth="1"/>
    <col min="8714" max="8714" width="21" customWidth="1"/>
    <col min="8962" max="8962" width="16" customWidth="1"/>
    <col min="8963" max="8963" width="4.5546875" bestFit="1" customWidth="1"/>
    <col min="8964" max="8964" width="6.109375" bestFit="1" customWidth="1"/>
    <col min="8965" max="8965" width="6.88671875" customWidth="1"/>
    <col min="8966" max="8966" width="2.88671875" bestFit="1" customWidth="1"/>
    <col min="8967" max="8967" width="5.77734375" customWidth="1"/>
    <col min="8968" max="8968" width="2.88671875" bestFit="1" customWidth="1"/>
    <col min="8969" max="8969" width="5.77734375" customWidth="1"/>
    <col min="8970" max="8970" width="21" customWidth="1"/>
    <col min="9218" max="9218" width="16" customWidth="1"/>
    <col min="9219" max="9219" width="4.5546875" bestFit="1" customWidth="1"/>
    <col min="9220" max="9220" width="6.109375" bestFit="1" customWidth="1"/>
    <col min="9221" max="9221" width="6.88671875" customWidth="1"/>
    <col min="9222" max="9222" width="2.88671875" bestFit="1" customWidth="1"/>
    <col min="9223" max="9223" width="5.77734375" customWidth="1"/>
    <col min="9224" max="9224" width="2.88671875" bestFit="1" customWidth="1"/>
    <col min="9225" max="9225" width="5.77734375" customWidth="1"/>
    <col min="9226" max="9226" width="21" customWidth="1"/>
    <col min="9474" max="9474" width="16" customWidth="1"/>
    <col min="9475" max="9475" width="4.5546875" bestFit="1" customWidth="1"/>
    <col min="9476" max="9476" width="6.109375" bestFit="1" customWidth="1"/>
    <col min="9477" max="9477" width="6.88671875" customWidth="1"/>
    <col min="9478" max="9478" width="2.88671875" bestFit="1" customWidth="1"/>
    <col min="9479" max="9479" width="5.77734375" customWidth="1"/>
    <col min="9480" max="9480" width="2.88671875" bestFit="1" customWidth="1"/>
    <col min="9481" max="9481" width="5.77734375" customWidth="1"/>
    <col min="9482" max="9482" width="21" customWidth="1"/>
    <col min="9730" max="9730" width="16" customWidth="1"/>
    <col min="9731" max="9731" width="4.5546875" bestFit="1" customWidth="1"/>
    <col min="9732" max="9732" width="6.109375" bestFit="1" customWidth="1"/>
    <col min="9733" max="9733" width="6.88671875" customWidth="1"/>
    <col min="9734" max="9734" width="2.88671875" bestFit="1" customWidth="1"/>
    <col min="9735" max="9735" width="5.77734375" customWidth="1"/>
    <col min="9736" max="9736" width="2.88671875" bestFit="1" customWidth="1"/>
    <col min="9737" max="9737" width="5.77734375" customWidth="1"/>
    <col min="9738" max="9738" width="21" customWidth="1"/>
    <col min="9986" max="9986" width="16" customWidth="1"/>
    <col min="9987" max="9987" width="4.5546875" bestFit="1" customWidth="1"/>
    <col min="9988" max="9988" width="6.109375" bestFit="1" customWidth="1"/>
    <col min="9989" max="9989" width="6.88671875" customWidth="1"/>
    <col min="9990" max="9990" width="2.88671875" bestFit="1" customWidth="1"/>
    <col min="9991" max="9991" width="5.77734375" customWidth="1"/>
    <col min="9992" max="9992" width="2.88671875" bestFit="1" customWidth="1"/>
    <col min="9993" max="9993" width="5.77734375" customWidth="1"/>
    <col min="9994" max="9994" width="21" customWidth="1"/>
    <col min="10242" max="10242" width="16" customWidth="1"/>
    <col min="10243" max="10243" width="4.5546875" bestFit="1" customWidth="1"/>
    <col min="10244" max="10244" width="6.109375" bestFit="1" customWidth="1"/>
    <col min="10245" max="10245" width="6.88671875" customWidth="1"/>
    <col min="10246" max="10246" width="2.88671875" bestFit="1" customWidth="1"/>
    <col min="10247" max="10247" width="5.77734375" customWidth="1"/>
    <col min="10248" max="10248" width="2.88671875" bestFit="1" customWidth="1"/>
    <col min="10249" max="10249" width="5.77734375" customWidth="1"/>
    <col min="10250" max="10250" width="21" customWidth="1"/>
    <col min="10498" max="10498" width="16" customWidth="1"/>
    <col min="10499" max="10499" width="4.5546875" bestFit="1" customWidth="1"/>
    <col min="10500" max="10500" width="6.109375" bestFit="1" customWidth="1"/>
    <col min="10501" max="10501" width="6.88671875" customWidth="1"/>
    <col min="10502" max="10502" width="2.88671875" bestFit="1" customWidth="1"/>
    <col min="10503" max="10503" width="5.77734375" customWidth="1"/>
    <col min="10504" max="10504" width="2.88671875" bestFit="1" customWidth="1"/>
    <col min="10505" max="10505" width="5.77734375" customWidth="1"/>
    <col min="10506" max="10506" width="21" customWidth="1"/>
    <col min="10754" max="10754" width="16" customWidth="1"/>
    <col min="10755" max="10755" width="4.5546875" bestFit="1" customWidth="1"/>
    <col min="10756" max="10756" width="6.109375" bestFit="1" customWidth="1"/>
    <col min="10757" max="10757" width="6.88671875" customWidth="1"/>
    <col min="10758" max="10758" width="2.88671875" bestFit="1" customWidth="1"/>
    <col min="10759" max="10759" width="5.77734375" customWidth="1"/>
    <col min="10760" max="10760" width="2.88671875" bestFit="1" customWidth="1"/>
    <col min="10761" max="10761" width="5.77734375" customWidth="1"/>
    <col min="10762" max="10762" width="21" customWidth="1"/>
    <col min="11010" max="11010" width="16" customWidth="1"/>
    <col min="11011" max="11011" width="4.5546875" bestFit="1" customWidth="1"/>
    <col min="11012" max="11012" width="6.109375" bestFit="1" customWidth="1"/>
    <col min="11013" max="11013" width="6.88671875" customWidth="1"/>
    <col min="11014" max="11014" width="2.88671875" bestFit="1" customWidth="1"/>
    <col min="11015" max="11015" width="5.77734375" customWidth="1"/>
    <col min="11016" max="11016" width="2.88671875" bestFit="1" customWidth="1"/>
    <col min="11017" max="11017" width="5.77734375" customWidth="1"/>
    <col min="11018" max="11018" width="21" customWidth="1"/>
    <col min="11266" max="11266" width="16" customWidth="1"/>
    <col min="11267" max="11267" width="4.5546875" bestFit="1" customWidth="1"/>
    <col min="11268" max="11268" width="6.109375" bestFit="1" customWidth="1"/>
    <col min="11269" max="11269" width="6.88671875" customWidth="1"/>
    <col min="11270" max="11270" width="2.88671875" bestFit="1" customWidth="1"/>
    <col min="11271" max="11271" width="5.77734375" customWidth="1"/>
    <col min="11272" max="11272" width="2.88671875" bestFit="1" customWidth="1"/>
    <col min="11273" max="11273" width="5.77734375" customWidth="1"/>
    <col min="11274" max="11274" width="21" customWidth="1"/>
    <col min="11522" max="11522" width="16" customWidth="1"/>
    <col min="11523" max="11523" width="4.5546875" bestFit="1" customWidth="1"/>
    <col min="11524" max="11524" width="6.109375" bestFit="1" customWidth="1"/>
    <col min="11525" max="11525" width="6.88671875" customWidth="1"/>
    <col min="11526" max="11526" width="2.88671875" bestFit="1" customWidth="1"/>
    <col min="11527" max="11527" width="5.77734375" customWidth="1"/>
    <col min="11528" max="11528" width="2.88671875" bestFit="1" customWidth="1"/>
    <col min="11529" max="11529" width="5.77734375" customWidth="1"/>
    <col min="11530" max="11530" width="21" customWidth="1"/>
    <col min="11778" max="11778" width="16" customWidth="1"/>
    <col min="11779" max="11779" width="4.5546875" bestFit="1" customWidth="1"/>
    <col min="11780" max="11780" width="6.109375" bestFit="1" customWidth="1"/>
    <col min="11781" max="11781" width="6.88671875" customWidth="1"/>
    <col min="11782" max="11782" width="2.88671875" bestFit="1" customWidth="1"/>
    <col min="11783" max="11783" width="5.77734375" customWidth="1"/>
    <col min="11784" max="11784" width="2.88671875" bestFit="1" customWidth="1"/>
    <col min="11785" max="11785" width="5.77734375" customWidth="1"/>
    <col min="11786" max="11786" width="21" customWidth="1"/>
    <col min="12034" max="12034" width="16" customWidth="1"/>
    <col min="12035" max="12035" width="4.5546875" bestFit="1" customWidth="1"/>
    <col min="12036" max="12036" width="6.109375" bestFit="1" customWidth="1"/>
    <col min="12037" max="12037" width="6.88671875" customWidth="1"/>
    <col min="12038" max="12038" width="2.88671875" bestFit="1" customWidth="1"/>
    <col min="12039" max="12039" width="5.77734375" customWidth="1"/>
    <col min="12040" max="12040" width="2.88671875" bestFit="1" customWidth="1"/>
    <col min="12041" max="12041" width="5.77734375" customWidth="1"/>
    <col min="12042" max="12042" width="21" customWidth="1"/>
    <col min="12290" max="12290" width="16" customWidth="1"/>
    <col min="12291" max="12291" width="4.5546875" bestFit="1" customWidth="1"/>
    <col min="12292" max="12292" width="6.109375" bestFit="1" customWidth="1"/>
    <col min="12293" max="12293" width="6.88671875" customWidth="1"/>
    <col min="12294" max="12294" width="2.88671875" bestFit="1" customWidth="1"/>
    <col min="12295" max="12295" width="5.77734375" customWidth="1"/>
    <col min="12296" max="12296" width="2.88671875" bestFit="1" customWidth="1"/>
    <col min="12297" max="12297" width="5.77734375" customWidth="1"/>
    <col min="12298" max="12298" width="21" customWidth="1"/>
    <col min="12546" max="12546" width="16" customWidth="1"/>
    <col min="12547" max="12547" width="4.5546875" bestFit="1" customWidth="1"/>
    <col min="12548" max="12548" width="6.109375" bestFit="1" customWidth="1"/>
    <col min="12549" max="12549" width="6.88671875" customWidth="1"/>
    <col min="12550" max="12550" width="2.88671875" bestFit="1" customWidth="1"/>
    <col min="12551" max="12551" width="5.77734375" customWidth="1"/>
    <col min="12552" max="12552" width="2.88671875" bestFit="1" customWidth="1"/>
    <col min="12553" max="12553" width="5.77734375" customWidth="1"/>
    <col min="12554" max="12554" width="21" customWidth="1"/>
    <col min="12802" max="12802" width="16" customWidth="1"/>
    <col min="12803" max="12803" width="4.5546875" bestFit="1" customWidth="1"/>
    <col min="12804" max="12804" width="6.109375" bestFit="1" customWidth="1"/>
    <col min="12805" max="12805" width="6.88671875" customWidth="1"/>
    <col min="12806" max="12806" width="2.88671875" bestFit="1" customWidth="1"/>
    <col min="12807" max="12807" width="5.77734375" customWidth="1"/>
    <col min="12808" max="12808" width="2.88671875" bestFit="1" customWidth="1"/>
    <col min="12809" max="12809" width="5.77734375" customWidth="1"/>
    <col min="12810" max="12810" width="21" customWidth="1"/>
    <col min="13058" max="13058" width="16" customWidth="1"/>
    <col min="13059" max="13059" width="4.5546875" bestFit="1" customWidth="1"/>
    <col min="13060" max="13060" width="6.109375" bestFit="1" customWidth="1"/>
    <col min="13061" max="13061" width="6.88671875" customWidth="1"/>
    <col min="13062" max="13062" width="2.88671875" bestFit="1" customWidth="1"/>
    <col min="13063" max="13063" width="5.77734375" customWidth="1"/>
    <col min="13064" max="13064" width="2.88671875" bestFit="1" customWidth="1"/>
    <col min="13065" max="13065" width="5.77734375" customWidth="1"/>
    <col min="13066" max="13066" width="21" customWidth="1"/>
    <col min="13314" max="13314" width="16" customWidth="1"/>
    <col min="13315" max="13315" width="4.5546875" bestFit="1" customWidth="1"/>
    <col min="13316" max="13316" width="6.109375" bestFit="1" customWidth="1"/>
    <col min="13317" max="13317" width="6.88671875" customWidth="1"/>
    <col min="13318" max="13318" width="2.88671875" bestFit="1" customWidth="1"/>
    <col min="13319" max="13319" width="5.77734375" customWidth="1"/>
    <col min="13320" max="13320" width="2.88671875" bestFit="1" customWidth="1"/>
    <col min="13321" max="13321" width="5.77734375" customWidth="1"/>
    <col min="13322" max="13322" width="21" customWidth="1"/>
    <col min="13570" max="13570" width="16" customWidth="1"/>
    <col min="13571" max="13571" width="4.5546875" bestFit="1" customWidth="1"/>
    <col min="13572" max="13572" width="6.109375" bestFit="1" customWidth="1"/>
    <col min="13573" max="13573" width="6.88671875" customWidth="1"/>
    <col min="13574" max="13574" width="2.88671875" bestFit="1" customWidth="1"/>
    <col min="13575" max="13575" width="5.77734375" customWidth="1"/>
    <col min="13576" max="13576" width="2.88671875" bestFit="1" customWidth="1"/>
    <col min="13577" max="13577" width="5.77734375" customWidth="1"/>
    <col min="13578" max="13578" width="21" customWidth="1"/>
    <col min="13826" max="13826" width="16" customWidth="1"/>
    <col min="13827" max="13827" width="4.5546875" bestFit="1" customWidth="1"/>
    <col min="13828" max="13828" width="6.109375" bestFit="1" customWidth="1"/>
    <col min="13829" max="13829" width="6.88671875" customWidth="1"/>
    <col min="13830" max="13830" width="2.88671875" bestFit="1" customWidth="1"/>
    <col min="13831" max="13831" width="5.77734375" customWidth="1"/>
    <col min="13832" max="13832" width="2.88671875" bestFit="1" customWidth="1"/>
    <col min="13833" max="13833" width="5.77734375" customWidth="1"/>
    <col min="13834" max="13834" width="21" customWidth="1"/>
    <col min="14082" max="14082" width="16" customWidth="1"/>
    <col min="14083" max="14083" width="4.5546875" bestFit="1" customWidth="1"/>
    <col min="14084" max="14084" width="6.109375" bestFit="1" customWidth="1"/>
    <col min="14085" max="14085" width="6.88671875" customWidth="1"/>
    <col min="14086" max="14086" width="2.88671875" bestFit="1" customWidth="1"/>
    <col min="14087" max="14087" width="5.77734375" customWidth="1"/>
    <col min="14088" max="14088" width="2.88671875" bestFit="1" customWidth="1"/>
    <col min="14089" max="14089" width="5.77734375" customWidth="1"/>
    <col min="14090" max="14090" width="21" customWidth="1"/>
    <col min="14338" max="14338" width="16" customWidth="1"/>
    <col min="14339" max="14339" width="4.5546875" bestFit="1" customWidth="1"/>
    <col min="14340" max="14340" width="6.109375" bestFit="1" customWidth="1"/>
    <col min="14341" max="14341" width="6.88671875" customWidth="1"/>
    <col min="14342" max="14342" width="2.88671875" bestFit="1" customWidth="1"/>
    <col min="14343" max="14343" width="5.77734375" customWidth="1"/>
    <col min="14344" max="14344" width="2.88671875" bestFit="1" customWidth="1"/>
    <col min="14345" max="14345" width="5.77734375" customWidth="1"/>
    <col min="14346" max="14346" width="21" customWidth="1"/>
    <col min="14594" max="14594" width="16" customWidth="1"/>
    <col min="14595" max="14595" width="4.5546875" bestFit="1" customWidth="1"/>
    <col min="14596" max="14596" width="6.109375" bestFit="1" customWidth="1"/>
    <col min="14597" max="14597" width="6.88671875" customWidth="1"/>
    <col min="14598" max="14598" width="2.88671875" bestFit="1" customWidth="1"/>
    <col min="14599" max="14599" width="5.77734375" customWidth="1"/>
    <col min="14600" max="14600" width="2.88671875" bestFit="1" customWidth="1"/>
    <col min="14601" max="14601" width="5.77734375" customWidth="1"/>
    <col min="14602" max="14602" width="21" customWidth="1"/>
    <col min="14850" max="14850" width="16" customWidth="1"/>
    <col min="14851" max="14851" width="4.5546875" bestFit="1" customWidth="1"/>
    <col min="14852" max="14852" width="6.109375" bestFit="1" customWidth="1"/>
    <col min="14853" max="14853" width="6.88671875" customWidth="1"/>
    <col min="14854" max="14854" width="2.88671875" bestFit="1" customWidth="1"/>
    <col min="14855" max="14855" width="5.77734375" customWidth="1"/>
    <col min="14856" max="14856" width="2.88671875" bestFit="1" customWidth="1"/>
    <col min="14857" max="14857" width="5.77734375" customWidth="1"/>
    <col min="14858" max="14858" width="21" customWidth="1"/>
    <col min="15106" max="15106" width="16" customWidth="1"/>
    <col min="15107" max="15107" width="4.5546875" bestFit="1" customWidth="1"/>
    <col min="15108" max="15108" width="6.109375" bestFit="1" customWidth="1"/>
    <col min="15109" max="15109" width="6.88671875" customWidth="1"/>
    <col min="15110" max="15110" width="2.88671875" bestFit="1" customWidth="1"/>
    <col min="15111" max="15111" width="5.77734375" customWidth="1"/>
    <col min="15112" max="15112" width="2.88671875" bestFit="1" customWidth="1"/>
    <col min="15113" max="15113" width="5.77734375" customWidth="1"/>
    <col min="15114" max="15114" width="21" customWidth="1"/>
    <col min="15362" max="15362" width="16" customWidth="1"/>
    <col min="15363" max="15363" width="4.5546875" bestFit="1" customWidth="1"/>
    <col min="15364" max="15364" width="6.109375" bestFit="1" customWidth="1"/>
    <col min="15365" max="15365" width="6.88671875" customWidth="1"/>
    <col min="15366" max="15366" width="2.88671875" bestFit="1" customWidth="1"/>
    <col min="15367" max="15367" width="5.77734375" customWidth="1"/>
    <col min="15368" max="15368" width="2.88671875" bestFit="1" customWidth="1"/>
    <col min="15369" max="15369" width="5.77734375" customWidth="1"/>
    <col min="15370" max="15370" width="21" customWidth="1"/>
    <col min="15618" max="15618" width="16" customWidth="1"/>
    <col min="15619" max="15619" width="4.5546875" bestFit="1" customWidth="1"/>
    <col min="15620" max="15620" width="6.109375" bestFit="1" customWidth="1"/>
    <col min="15621" max="15621" width="6.88671875" customWidth="1"/>
    <col min="15622" max="15622" width="2.88671875" bestFit="1" customWidth="1"/>
    <col min="15623" max="15623" width="5.77734375" customWidth="1"/>
    <col min="15624" max="15624" width="2.88671875" bestFit="1" customWidth="1"/>
    <col min="15625" max="15625" width="5.77734375" customWidth="1"/>
    <col min="15626" max="15626" width="21" customWidth="1"/>
    <col min="15874" max="15874" width="16" customWidth="1"/>
    <col min="15875" max="15875" width="4.5546875" bestFit="1" customWidth="1"/>
    <col min="15876" max="15876" width="6.109375" bestFit="1" customWidth="1"/>
    <col min="15877" max="15877" width="6.88671875" customWidth="1"/>
    <col min="15878" max="15878" width="2.88671875" bestFit="1" customWidth="1"/>
    <col min="15879" max="15879" width="5.77734375" customWidth="1"/>
    <col min="15880" max="15880" width="2.88671875" bestFit="1" customWidth="1"/>
    <col min="15881" max="15881" width="5.77734375" customWidth="1"/>
    <col min="15882" max="15882" width="21" customWidth="1"/>
    <col min="16130" max="16130" width="16" customWidth="1"/>
    <col min="16131" max="16131" width="4.5546875" bestFit="1" customWidth="1"/>
    <col min="16132" max="16132" width="6.109375" bestFit="1" customWidth="1"/>
    <col min="16133" max="16133" width="6.88671875" customWidth="1"/>
    <col min="16134" max="16134" width="2.88671875" bestFit="1" customWidth="1"/>
    <col min="16135" max="16135" width="5.77734375" customWidth="1"/>
    <col min="16136" max="16136" width="2.88671875" bestFit="1" customWidth="1"/>
    <col min="16137" max="16137" width="5.77734375" customWidth="1"/>
    <col min="16138" max="16138" width="21" customWidth="1"/>
  </cols>
  <sheetData>
    <row r="1" spans="1:16" s="64" customFormat="1" ht="21">
      <c r="A1" s="63" t="s">
        <v>87</v>
      </c>
      <c r="C1" s="65"/>
      <c r="D1" s="66"/>
      <c r="E1" s="67"/>
      <c r="F1" s="68"/>
      <c r="G1" s="69"/>
      <c r="H1" s="70"/>
      <c r="I1" s="50" t="s">
        <v>162</v>
      </c>
      <c r="P1" s="64" t="s">
        <v>88</v>
      </c>
    </row>
    <row r="2" spans="1:16" s="72" customFormat="1" ht="17.399999999999999" customHeight="1">
      <c r="A2" s="71" t="s">
        <v>89</v>
      </c>
      <c r="C2" s="73"/>
      <c r="D2" s="74"/>
      <c r="E2" s="75"/>
      <c r="F2" s="76"/>
      <c r="G2" s="77"/>
      <c r="H2" s="70"/>
    </row>
    <row r="3" spans="1:16" ht="13.2" customHeight="1">
      <c r="A3" t="s">
        <v>90</v>
      </c>
      <c r="B3" s="11"/>
      <c r="C3" s="12"/>
      <c r="I3">
        <v>0</v>
      </c>
      <c r="J3">
        <v>12</v>
      </c>
      <c r="K3">
        <v>20</v>
      </c>
      <c r="L3">
        <v>23.439</v>
      </c>
    </row>
    <row r="4" spans="1:16" ht="13.2" customHeight="1">
      <c r="A4" t="s">
        <v>91</v>
      </c>
      <c r="B4" s="11">
        <v>0</v>
      </c>
      <c r="C4" s="12">
        <f>+SIN(B4/12*2*PI()-(PI()/2))</f>
        <v>-1</v>
      </c>
      <c r="D4" s="78">
        <f>+C4*23.439</f>
        <v>-23.439</v>
      </c>
      <c r="F4" s="82">
        <v>-11.719500000000002</v>
      </c>
      <c r="H4" s="83">
        <v>-20</v>
      </c>
      <c r="I4" s="18">
        <f>+COS(RADIANS($D4-0))</f>
        <v>0.91748408310235918</v>
      </c>
      <c r="J4" s="18">
        <f t="shared" ref="J4:J27" si="0">+COS(RADIANS($D4-F4))</f>
        <v>0.97915373744431966</v>
      </c>
      <c r="K4" s="18">
        <f t="shared" ref="K4:K27" si="1">+COS(RADIANS($D4-H4))</f>
        <v>0.9981992281051415</v>
      </c>
      <c r="L4" s="18">
        <v>1</v>
      </c>
    </row>
    <row r="5" spans="1:16" ht="13.2" customHeight="1">
      <c r="A5" t="s">
        <v>92</v>
      </c>
      <c r="B5" s="11">
        <f>+B4+0.5</f>
        <v>0.5</v>
      </c>
      <c r="C5" s="12">
        <f t="shared" ref="C5:C28" si="2">+SIN(B5/12*2*PI()-(PI()/2))</f>
        <v>-0.96592582628906831</v>
      </c>
      <c r="D5" s="78">
        <f t="shared" ref="D5:D28" si="3">+C5*23.439</f>
        <v>-22.640335442389471</v>
      </c>
      <c r="F5" s="82">
        <v>-11.719500000000002</v>
      </c>
      <c r="H5" s="83">
        <v>-20</v>
      </c>
      <c r="I5" s="18">
        <f t="shared" ref="I5:I27" si="4">+COS(RADIANS($D5-0))</f>
        <v>0.92293944973270159</v>
      </c>
      <c r="J5" s="18">
        <f t="shared" si="0"/>
        <v>0.98188988376730046</v>
      </c>
      <c r="K5" s="18">
        <f t="shared" si="1"/>
        <v>0.99893838732908269</v>
      </c>
      <c r="L5" s="18">
        <v>1</v>
      </c>
    </row>
    <row r="6" spans="1:16" ht="13.2" customHeight="1">
      <c r="A6" t="s">
        <v>93</v>
      </c>
      <c r="B6" s="11">
        <f t="shared" ref="B6:B28" si="5">+B5+0.5</f>
        <v>1</v>
      </c>
      <c r="C6" s="12">
        <f t="shared" si="2"/>
        <v>-0.86602540378443871</v>
      </c>
      <c r="D6" s="78">
        <f t="shared" si="3"/>
        <v>-20.298769439303459</v>
      </c>
      <c r="F6" s="82">
        <v>-11.719500000000002</v>
      </c>
      <c r="H6" s="83">
        <v>-20</v>
      </c>
      <c r="I6" s="18">
        <f t="shared" si="4"/>
        <v>0.93789638564907418</v>
      </c>
      <c r="J6" s="18">
        <f t="shared" si="0"/>
        <v>0.98881042068674307</v>
      </c>
      <c r="K6" s="18">
        <f t="shared" si="1"/>
        <v>0.99998640447134546</v>
      </c>
      <c r="L6" s="18">
        <v>1</v>
      </c>
    </row>
    <row r="7" spans="1:16" ht="13.2" customHeight="1">
      <c r="A7" s="84" t="s">
        <v>94</v>
      </c>
      <c r="B7" s="11">
        <f t="shared" si="5"/>
        <v>1.5</v>
      </c>
      <c r="C7" s="12">
        <f t="shared" si="2"/>
        <v>-0.70710678118654746</v>
      </c>
      <c r="D7" s="78">
        <f t="shared" si="3"/>
        <v>-16.573875844231488</v>
      </c>
      <c r="E7" s="79" t="s">
        <v>41</v>
      </c>
      <c r="F7" s="82">
        <v>-11.719500000000002</v>
      </c>
      <c r="G7" s="81" t="s">
        <v>10</v>
      </c>
      <c r="H7" s="70">
        <v>-8</v>
      </c>
      <c r="I7" s="18">
        <f t="shared" si="4"/>
        <v>0.95845273518109608</v>
      </c>
      <c r="J7" s="18">
        <f t="shared" si="0"/>
        <v>0.99641299709221887</v>
      </c>
      <c r="K7" s="18">
        <f t="shared" si="1"/>
        <v>0.98882445928555862</v>
      </c>
      <c r="L7" s="18">
        <v>1</v>
      </c>
    </row>
    <row r="8" spans="1:16" ht="13.2" customHeight="1">
      <c r="A8" s="85" t="s">
        <v>95</v>
      </c>
      <c r="B8" s="86">
        <f t="shared" si="5"/>
        <v>2</v>
      </c>
      <c r="C8" s="87">
        <f t="shared" si="2"/>
        <v>-0.5</v>
      </c>
      <c r="D8" s="78">
        <f t="shared" si="3"/>
        <v>-11.7195</v>
      </c>
      <c r="E8" s="88" t="s">
        <v>9</v>
      </c>
      <c r="F8" s="89">
        <f>+C10</f>
        <v>0</v>
      </c>
      <c r="G8" s="77"/>
      <c r="H8" s="83">
        <v>-8</v>
      </c>
      <c r="I8" s="18">
        <f t="shared" si="4"/>
        <v>0.97915373744431966</v>
      </c>
      <c r="J8" s="18">
        <f t="shared" si="0"/>
        <v>0.97915373744431966</v>
      </c>
      <c r="K8" s="18">
        <f t="shared" si="1"/>
        <v>0.99789359760350227</v>
      </c>
      <c r="L8" s="18">
        <v>1</v>
      </c>
    </row>
    <row r="9" spans="1:16" ht="13.2" customHeight="1">
      <c r="A9" t="s">
        <v>96</v>
      </c>
      <c r="B9" s="11">
        <f t="shared" si="5"/>
        <v>2.5</v>
      </c>
      <c r="C9" s="12">
        <f t="shared" si="2"/>
        <v>-0.25881904510252068</v>
      </c>
      <c r="D9" s="78">
        <f t="shared" si="3"/>
        <v>-6.0664595981579827</v>
      </c>
      <c r="F9" s="82">
        <v>0</v>
      </c>
      <c r="H9" s="83">
        <v>-8</v>
      </c>
      <c r="I9" s="18">
        <f t="shared" si="4"/>
        <v>0.99439997973077554</v>
      </c>
      <c r="J9" s="18">
        <f t="shared" si="0"/>
        <v>0.99439997973077554</v>
      </c>
      <c r="K9" s="18">
        <f t="shared" si="1"/>
        <v>0.99943063597146764</v>
      </c>
      <c r="L9" s="18">
        <v>1</v>
      </c>
    </row>
    <row r="10" spans="1:16" ht="13.2" customHeight="1">
      <c r="A10" s="84" t="s">
        <v>97</v>
      </c>
      <c r="B10" s="11">
        <f t="shared" si="5"/>
        <v>3</v>
      </c>
      <c r="C10" s="12">
        <f t="shared" si="2"/>
        <v>0</v>
      </c>
      <c r="D10" s="78">
        <f t="shared" si="3"/>
        <v>0</v>
      </c>
      <c r="F10" s="82">
        <v>0</v>
      </c>
      <c r="G10" s="81" t="s">
        <v>10</v>
      </c>
      <c r="H10" s="70">
        <v>8</v>
      </c>
      <c r="I10" s="18">
        <f t="shared" si="4"/>
        <v>1</v>
      </c>
      <c r="J10" s="18">
        <f t="shared" si="0"/>
        <v>1</v>
      </c>
      <c r="K10" s="18">
        <f t="shared" si="1"/>
        <v>0.99026806874157036</v>
      </c>
      <c r="L10" s="18">
        <v>1</v>
      </c>
    </row>
    <row r="11" spans="1:16" ht="13.2" customHeight="1">
      <c r="A11" t="s">
        <v>98</v>
      </c>
      <c r="B11" s="11">
        <f t="shared" si="5"/>
        <v>3.5</v>
      </c>
      <c r="C11" s="12">
        <f t="shared" si="2"/>
        <v>0.25881904510252091</v>
      </c>
      <c r="D11" s="78">
        <f t="shared" si="3"/>
        <v>6.0664595981579872</v>
      </c>
      <c r="F11" s="82">
        <v>0</v>
      </c>
      <c r="H11" s="83">
        <v>8</v>
      </c>
      <c r="I11" s="18">
        <f t="shared" si="4"/>
        <v>0.99439997973077554</v>
      </c>
      <c r="J11" s="18">
        <f t="shared" si="0"/>
        <v>0.99439997973077554</v>
      </c>
      <c r="K11" s="18">
        <f t="shared" si="1"/>
        <v>0.99943063597146764</v>
      </c>
      <c r="L11" s="18">
        <v>1</v>
      </c>
    </row>
    <row r="12" spans="1:16" ht="13.2" customHeight="1">
      <c r="A12" s="85" t="s">
        <v>99</v>
      </c>
      <c r="B12" s="86">
        <f t="shared" si="5"/>
        <v>4</v>
      </c>
      <c r="C12" s="87">
        <f t="shared" si="2"/>
        <v>0.49999999999999983</v>
      </c>
      <c r="D12" s="78">
        <f t="shared" si="3"/>
        <v>11.719499999999996</v>
      </c>
      <c r="E12" s="88" t="s">
        <v>9</v>
      </c>
      <c r="F12" s="89">
        <f>+D12</f>
        <v>11.719499999999996</v>
      </c>
      <c r="G12" s="77"/>
      <c r="H12" s="83">
        <v>8</v>
      </c>
      <c r="I12" s="18">
        <f t="shared" si="4"/>
        <v>0.97915373744431966</v>
      </c>
      <c r="J12" s="18">
        <f t="shared" si="0"/>
        <v>1</v>
      </c>
      <c r="K12" s="18">
        <f t="shared" si="1"/>
        <v>0.99789359760350227</v>
      </c>
      <c r="L12" s="18">
        <v>1</v>
      </c>
    </row>
    <row r="13" spans="1:16" ht="13.2" customHeight="1">
      <c r="A13" s="84" t="s">
        <v>100</v>
      </c>
      <c r="B13" s="11">
        <f t="shared" si="5"/>
        <v>4.5</v>
      </c>
      <c r="C13" s="12">
        <f t="shared" si="2"/>
        <v>0.70710678118654746</v>
      </c>
      <c r="D13" s="78">
        <f t="shared" si="3"/>
        <v>16.573875844231488</v>
      </c>
      <c r="E13" s="79" t="s">
        <v>41</v>
      </c>
      <c r="F13" s="82">
        <v>11.719499999999996</v>
      </c>
      <c r="G13" s="81" t="s">
        <v>10</v>
      </c>
      <c r="H13" s="70">
        <v>20</v>
      </c>
      <c r="I13" s="18">
        <f t="shared" si="4"/>
        <v>0.95845273518109608</v>
      </c>
      <c r="J13" s="18">
        <f t="shared" si="0"/>
        <v>0.99641299709221887</v>
      </c>
      <c r="K13" s="18">
        <f t="shared" si="1"/>
        <v>0.99821268327008827</v>
      </c>
      <c r="L13" s="18">
        <v>1</v>
      </c>
    </row>
    <row r="14" spans="1:16" ht="13.2" customHeight="1">
      <c r="A14" t="s">
        <v>101</v>
      </c>
      <c r="B14" s="11">
        <f t="shared" si="5"/>
        <v>5</v>
      </c>
      <c r="C14" s="12">
        <f t="shared" si="2"/>
        <v>0.86602540378443871</v>
      </c>
      <c r="D14" s="78">
        <f t="shared" si="3"/>
        <v>20.298769439303459</v>
      </c>
      <c r="F14" s="82">
        <v>11.719499999999996</v>
      </c>
      <c r="H14" s="83">
        <v>20</v>
      </c>
      <c r="I14" s="18">
        <f t="shared" si="4"/>
        <v>0.93789638564907418</v>
      </c>
      <c r="J14" s="18">
        <f t="shared" si="0"/>
        <v>0.98881042068674307</v>
      </c>
      <c r="K14" s="18">
        <f t="shared" si="1"/>
        <v>0.99998640447134546</v>
      </c>
      <c r="L14" s="18">
        <v>1</v>
      </c>
    </row>
    <row r="15" spans="1:16" ht="13.2" customHeight="1">
      <c r="A15" t="s">
        <v>102</v>
      </c>
      <c r="B15" s="11">
        <f t="shared" si="5"/>
        <v>5.5</v>
      </c>
      <c r="C15" s="12">
        <f t="shared" si="2"/>
        <v>0.9659258262890682</v>
      </c>
      <c r="D15" s="78">
        <f t="shared" si="3"/>
        <v>22.640335442389471</v>
      </c>
      <c r="F15" s="82">
        <v>11.719499999999996</v>
      </c>
      <c r="H15" s="83">
        <v>20</v>
      </c>
      <c r="I15" s="18">
        <f t="shared" si="4"/>
        <v>0.92293944973270159</v>
      </c>
      <c r="J15" s="18">
        <f t="shared" si="0"/>
        <v>0.98188988376730046</v>
      </c>
      <c r="K15" s="18">
        <f t="shared" si="1"/>
        <v>0.99893838732908269</v>
      </c>
      <c r="L15" s="18">
        <v>1</v>
      </c>
    </row>
    <row r="16" spans="1:16" ht="13.2" customHeight="1">
      <c r="A16" t="s">
        <v>103</v>
      </c>
      <c r="B16" s="11">
        <f t="shared" si="5"/>
        <v>6</v>
      </c>
      <c r="C16" s="12">
        <f t="shared" si="2"/>
        <v>1</v>
      </c>
      <c r="D16" s="78">
        <f t="shared" si="3"/>
        <v>23.439</v>
      </c>
      <c r="F16" s="82">
        <v>11.719499999999996</v>
      </c>
      <c r="H16" s="83">
        <v>20</v>
      </c>
      <c r="I16" s="18">
        <f t="shared" si="4"/>
        <v>0.91748408310235918</v>
      </c>
      <c r="J16" s="18">
        <f t="shared" si="0"/>
        <v>0.97915373744431955</v>
      </c>
      <c r="K16" s="18">
        <f t="shared" si="1"/>
        <v>0.9981992281051415</v>
      </c>
      <c r="L16" s="18">
        <v>1</v>
      </c>
    </row>
    <row r="17" spans="1:12" ht="13.2" customHeight="1">
      <c r="A17" t="s">
        <v>104</v>
      </c>
      <c r="B17" s="11">
        <f t="shared" si="5"/>
        <v>6.5</v>
      </c>
      <c r="C17" s="12">
        <f t="shared" si="2"/>
        <v>0.96592582628906842</v>
      </c>
      <c r="D17" s="78">
        <f t="shared" si="3"/>
        <v>22.640335442389475</v>
      </c>
      <c r="F17" s="82">
        <v>11.719499999999996</v>
      </c>
      <c r="H17" s="83">
        <v>20</v>
      </c>
      <c r="I17" s="18">
        <f t="shared" si="4"/>
        <v>0.92293944973270159</v>
      </c>
      <c r="J17" s="18">
        <f t="shared" si="0"/>
        <v>0.98188988376730046</v>
      </c>
      <c r="K17" s="18">
        <f t="shared" si="1"/>
        <v>0.99893838732908269</v>
      </c>
      <c r="L17" s="18">
        <v>1</v>
      </c>
    </row>
    <row r="18" spans="1:12" ht="13.2" customHeight="1">
      <c r="A18" t="s">
        <v>105</v>
      </c>
      <c r="B18" s="11">
        <f t="shared" si="5"/>
        <v>7</v>
      </c>
      <c r="C18" s="12">
        <f t="shared" si="2"/>
        <v>0.86602540378443849</v>
      </c>
      <c r="D18" s="78">
        <f t="shared" si="3"/>
        <v>20.298769439303452</v>
      </c>
      <c r="F18" s="82">
        <v>11.719499999999996</v>
      </c>
      <c r="H18" s="83">
        <v>20</v>
      </c>
      <c r="I18" s="18">
        <f t="shared" si="4"/>
        <v>0.93789638564907418</v>
      </c>
      <c r="J18" s="18">
        <f t="shared" si="0"/>
        <v>0.98881042068674307</v>
      </c>
      <c r="K18" s="18">
        <f t="shared" si="1"/>
        <v>0.99998640447134546</v>
      </c>
      <c r="L18" s="18">
        <v>1</v>
      </c>
    </row>
    <row r="19" spans="1:12" ht="13.2" customHeight="1">
      <c r="A19" s="84" t="s">
        <v>106</v>
      </c>
      <c r="B19" s="11">
        <f t="shared" si="5"/>
        <v>7.5</v>
      </c>
      <c r="C19" s="12">
        <f t="shared" si="2"/>
        <v>0.70710678118654757</v>
      </c>
      <c r="D19" s="78">
        <f t="shared" si="3"/>
        <v>16.573875844231488</v>
      </c>
      <c r="E19" s="79" t="s">
        <v>41</v>
      </c>
      <c r="F19" s="82">
        <v>11.719499999999996</v>
      </c>
      <c r="G19" s="81" t="s">
        <v>10</v>
      </c>
      <c r="H19" s="70">
        <v>8</v>
      </c>
      <c r="I19" s="18">
        <f t="shared" si="4"/>
        <v>0.95845273518109608</v>
      </c>
      <c r="J19" s="18">
        <f t="shared" si="0"/>
        <v>0.99641299709221887</v>
      </c>
      <c r="K19" s="18">
        <f t="shared" si="1"/>
        <v>0.98882445928555862</v>
      </c>
      <c r="L19" s="18">
        <v>1</v>
      </c>
    </row>
    <row r="20" spans="1:12" ht="13.2" customHeight="1">
      <c r="A20" s="85" t="s">
        <v>107</v>
      </c>
      <c r="B20" s="86">
        <f t="shared" si="5"/>
        <v>8</v>
      </c>
      <c r="C20" s="87">
        <f t="shared" si="2"/>
        <v>0.50000000000000033</v>
      </c>
      <c r="D20" s="78">
        <f t="shared" si="3"/>
        <v>11.719500000000007</v>
      </c>
      <c r="E20" s="88" t="s">
        <v>9</v>
      </c>
      <c r="F20" s="89">
        <f>+D22</f>
        <v>2.8716254634603144E-15</v>
      </c>
      <c r="G20" s="77"/>
      <c r="H20" s="83">
        <v>8</v>
      </c>
      <c r="I20" s="18">
        <f t="shared" si="4"/>
        <v>0.97915373744431955</v>
      </c>
      <c r="J20" s="18">
        <f t="shared" si="0"/>
        <v>0.97915373744431955</v>
      </c>
      <c r="K20" s="18">
        <f t="shared" si="1"/>
        <v>0.99789359760350227</v>
      </c>
      <c r="L20" s="18">
        <v>1</v>
      </c>
    </row>
    <row r="21" spans="1:12" ht="13.2" customHeight="1">
      <c r="A21" t="s">
        <v>108</v>
      </c>
      <c r="B21" s="11">
        <f t="shared" si="5"/>
        <v>8.5</v>
      </c>
      <c r="C21" s="12">
        <f t="shared" si="2"/>
        <v>0.25881904510252057</v>
      </c>
      <c r="D21" s="78">
        <f t="shared" si="3"/>
        <v>6.0664595981579801</v>
      </c>
      <c r="F21" s="82">
        <v>0</v>
      </c>
      <c r="H21" s="83">
        <v>8</v>
      </c>
      <c r="I21" s="18">
        <f t="shared" si="4"/>
        <v>0.99439997973077554</v>
      </c>
      <c r="J21" s="18">
        <f t="shared" si="0"/>
        <v>0.99439997973077554</v>
      </c>
      <c r="K21" s="18">
        <f t="shared" si="1"/>
        <v>0.99943063597146764</v>
      </c>
      <c r="L21" s="18">
        <v>1</v>
      </c>
    </row>
    <row r="22" spans="1:12" ht="13.2" customHeight="1">
      <c r="A22" s="84" t="s">
        <v>109</v>
      </c>
      <c r="B22" s="11">
        <f t="shared" si="5"/>
        <v>9</v>
      </c>
      <c r="C22" s="12">
        <f t="shared" si="2"/>
        <v>1.22514845490862E-16</v>
      </c>
      <c r="D22" s="78">
        <f t="shared" si="3"/>
        <v>2.8716254634603144E-15</v>
      </c>
      <c r="F22" s="82">
        <v>0</v>
      </c>
      <c r="G22" s="81" t="s">
        <v>10</v>
      </c>
      <c r="H22" s="70">
        <v>-8</v>
      </c>
      <c r="I22" s="18">
        <f t="shared" si="4"/>
        <v>1</v>
      </c>
      <c r="J22" s="18">
        <f t="shared" si="0"/>
        <v>1</v>
      </c>
      <c r="K22" s="18">
        <f t="shared" si="1"/>
        <v>0.99026806874157036</v>
      </c>
      <c r="L22" s="18">
        <v>1</v>
      </c>
    </row>
    <row r="23" spans="1:12" ht="13.2" customHeight="1">
      <c r="A23" t="s">
        <v>110</v>
      </c>
      <c r="B23" s="11">
        <f t="shared" si="5"/>
        <v>9.5</v>
      </c>
      <c r="C23" s="12">
        <f t="shared" si="2"/>
        <v>-0.25881904510252035</v>
      </c>
      <c r="D23" s="78">
        <f t="shared" si="3"/>
        <v>-6.0664595981579748</v>
      </c>
      <c r="F23" s="82">
        <v>0</v>
      </c>
      <c r="H23" s="83">
        <v>-8</v>
      </c>
      <c r="I23" s="18">
        <f t="shared" si="4"/>
        <v>0.99439997973077554</v>
      </c>
      <c r="J23" s="18">
        <f t="shared" si="0"/>
        <v>0.99439997973077554</v>
      </c>
      <c r="K23" s="18">
        <f t="shared" si="1"/>
        <v>0.99943063597146764</v>
      </c>
      <c r="L23" s="18">
        <v>1</v>
      </c>
    </row>
    <row r="24" spans="1:12" ht="13.2" customHeight="1">
      <c r="A24" s="85" t="s">
        <v>111</v>
      </c>
      <c r="B24" s="86">
        <f t="shared" si="5"/>
        <v>10</v>
      </c>
      <c r="C24" s="87">
        <f t="shared" si="2"/>
        <v>-0.50000000000000011</v>
      </c>
      <c r="D24" s="78">
        <f t="shared" si="3"/>
        <v>-11.719500000000002</v>
      </c>
      <c r="E24" s="88" t="s">
        <v>9</v>
      </c>
      <c r="F24" s="89">
        <f>+D24</f>
        <v>-11.719500000000002</v>
      </c>
      <c r="G24" s="77"/>
      <c r="H24" s="83">
        <v>-8</v>
      </c>
      <c r="I24" s="18">
        <f t="shared" si="4"/>
        <v>0.97915373744431955</v>
      </c>
      <c r="J24" s="18">
        <f t="shared" si="0"/>
        <v>1</v>
      </c>
      <c r="K24" s="18">
        <f t="shared" si="1"/>
        <v>0.99789359760350227</v>
      </c>
      <c r="L24" s="18">
        <v>1</v>
      </c>
    </row>
    <row r="25" spans="1:12" ht="13.2" customHeight="1">
      <c r="A25" s="84" t="s">
        <v>112</v>
      </c>
      <c r="B25" s="11">
        <f t="shared" si="5"/>
        <v>10.5</v>
      </c>
      <c r="C25" s="12">
        <f t="shared" si="2"/>
        <v>-0.70710678118654746</v>
      </c>
      <c r="D25" s="78">
        <f t="shared" si="3"/>
        <v>-16.573875844231488</v>
      </c>
      <c r="E25" s="79" t="s">
        <v>41</v>
      </c>
      <c r="F25" s="82">
        <v>-11.719500000000002</v>
      </c>
      <c r="G25" s="81" t="s">
        <v>10</v>
      </c>
      <c r="H25" s="70">
        <v>-20</v>
      </c>
      <c r="I25" s="18">
        <f t="shared" si="4"/>
        <v>0.95845273518109608</v>
      </c>
      <c r="J25" s="18">
        <f t="shared" si="0"/>
        <v>0.99641299709221887</v>
      </c>
      <c r="K25" s="18">
        <f t="shared" si="1"/>
        <v>0.99821268327008827</v>
      </c>
      <c r="L25" s="18">
        <v>1</v>
      </c>
    </row>
    <row r="26" spans="1:12" ht="13.2" customHeight="1">
      <c r="A26" t="s">
        <v>113</v>
      </c>
      <c r="B26" s="11">
        <f t="shared" si="5"/>
        <v>11</v>
      </c>
      <c r="C26" s="12">
        <f t="shared" si="2"/>
        <v>-0.86602540378443837</v>
      </c>
      <c r="D26" s="78">
        <f t="shared" si="3"/>
        <v>-20.298769439303452</v>
      </c>
      <c r="F26" s="82">
        <v>-11.719500000000002</v>
      </c>
      <c r="H26" s="83">
        <v>-20</v>
      </c>
      <c r="I26" s="18">
        <f t="shared" si="4"/>
        <v>0.93789638564907418</v>
      </c>
      <c r="J26" s="18">
        <f t="shared" si="0"/>
        <v>0.98881042068674307</v>
      </c>
      <c r="K26" s="18">
        <f t="shared" si="1"/>
        <v>0.99998640447134546</v>
      </c>
      <c r="L26" s="18">
        <v>1</v>
      </c>
    </row>
    <row r="27" spans="1:12" ht="13.2" customHeight="1">
      <c r="A27" t="s">
        <v>114</v>
      </c>
      <c r="B27" s="11">
        <f t="shared" si="5"/>
        <v>11.5</v>
      </c>
      <c r="C27" s="12">
        <f t="shared" si="2"/>
        <v>-0.96592582628906831</v>
      </c>
      <c r="D27" s="78">
        <f t="shared" si="3"/>
        <v>-22.640335442389471</v>
      </c>
      <c r="F27" s="82">
        <v>-11.719500000000002</v>
      </c>
      <c r="H27" s="83">
        <v>-20</v>
      </c>
      <c r="I27" s="18">
        <f t="shared" si="4"/>
        <v>0.92293944973270159</v>
      </c>
      <c r="J27" s="18">
        <f t="shared" si="0"/>
        <v>0.98188988376730046</v>
      </c>
      <c r="K27" s="18">
        <f t="shared" si="1"/>
        <v>0.99893838732908269</v>
      </c>
      <c r="L27" s="18">
        <v>1</v>
      </c>
    </row>
    <row r="28" spans="1:12" ht="13.2" customHeight="1">
      <c r="A28" t="s">
        <v>91</v>
      </c>
      <c r="B28" s="11">
        <f t="shared" si="5"/>
        <v>12</v>
      </c>
      <c r="C28" s="12">
        <f t="shared" si="2"/>
        <v>-1</v>
      </c>
      <c r="D28" s="78">
        <f t="shared" si="3"/>
        <v>-23.439</v>
      </c>
    </row>
    <row r="29" spans="1:12" ht="13.2" customHeight="1">
      <c r="I29" s="18">
        <f t="shared" ref="I29" si="6">+SUM(I4:I27)/24</f>
        <v>0.95859738821485807</v>
      </c>
      <c r="J29" s="18">
        <f>+SUM(J4:J27)/24</f>
        <v>0.99011116978689306</v>
      </c>
      <c r="K29" s="18">
        <f>+SUM(K4:K27)/24</f>
        <v>0.9973335408460966</v>
      </c>
      <c r="L29" s="18">
        <f>+SUM(L4:L27)/24</f>
        <v>1</v>
      </c>
    </row>
    <row r="30" spans="1:12" ht="13.2" customHeight="1"/>
    <row r="31" spans="1:12" ht="13.2" customHeight="1">
      <c r="A31">
        <v>0</v>
      </c>
      <c r="B31" s="12">
        <f>+I29</f>
        <v>0.95859738821485807</v>
      </c>
    </row>
    <row r="32" spans="1:12" ht="13.2" customHeight="1">
      <c r="A32">
        <v>4</v>
      </c>
      <c r="B32" s="12">
        <v>0.97</v>
      </c>
    </row>
    <row r="33" spans="1:2" ht="13.2" customHeight="1">
      <c r="A33">
        <v>8</v>
      </c>
      <c r="B33" s="12">
        <v>0.98099999999999998</v>
      </c>
    </row>
    <row r="34" spans="1:2" ht="13.2" customHeight="1">
      <c r="A34">
        <v>12</v>
      </c>
      <c r="B34" s="12">
        <f>+J29</f>
        <v>0.99011116978689306</v>
      </c>
    </row>
    <row r="35" spans="1:2" ht="13.2" customHeight="1">
      <c r="A35">
        <v>16</v>
      </c>
      <c r="B35" s="12">
        <v>0.995</v>
      </c>
    </row>
    <row r="36" spans="1:2" ht="13.2" customHeight="1">
      <c r="A36">
        <v>20</v>
      </c>
      <c r="B36" s="12">
        <f>+K29</f>
        <v>0.9973335408460966</v>
      </c>
    </row>
    <row r="37" spans="1:2" ht="13.2" customHeight="1">
      <c r="A37">
        <f>+Main!B19</f>
        <v>23.439</v>
      </c>
      <c r="B37" s="12">
        <f>+L29</f>
        <v>1</v>
      </c>
    </row>
    <row r="38" spans="1:2">
      <c r="A38">
        <f>+A$37*2-A36</f>
        <v>26.878</v>
      </c>
      <c r="B38" s="12">
        <f>+B36</f>
        <v>0.9973335408460966</v>
      </c>
    </row>
    <row r="39" spans="1:2">
      <c r="A39">
        <f>+A$37*2-A35</f>
        <v>30.878</v>
      </c>
      <c r="B39" s="12">
        <f>+B35</f>
        <v>0.995</v>
      </c>
    </row>
    <row r="40" spans="1:2">
      <c r="A40">
        <f>+A$37*2-A34</f>
        <v>34.878</v>
      </c>
      <c r="B40" s="12">
        <f>+B34</f>
        <v>0.99011116978689306</v>
      </c>
    </row>
    <row r="41" spans="1:2">
      <c r="A41">
        <f>+A$37*2-A33</f>
        <v>38.878</v>
      </c>
      <c r="B41" s="12">
        <f>+B33</f>
        <v>0.98099999999999998</v>
      </c>
    </row>
    <row r="42" spans="1:2">
      <c r="A42">
        <f>+A$37*2-A32</f>
        <v>42.878</v>
      </c>
      <c r="B42" s="12">
        <f>+B32</f>
        <v>0.97</v>
      </c>
    </row>
    <row r="43" spans="1:2">
      <c r="A43">
        <f>+A$37*2-A31</f>
        <v>46.878</v>
      </c>
      <c r="B43" s="12">
        <f>+B31</f>
        <v>0.95859738821485807</v>
      </c>
    </row>
  </sheetData>
  <sheetProtection sheet="1" objects="1" scenarios="1"/>
  <hyperlinks>
    <hyperlink ref="I1"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832</vt:i4>
      </vt:variant>
    </vt:vector>
  </HeadingPairs>
  <TitlesOfParts>
    <vt:vector size="844" baseType="lpstr">
      <vt:lpstr>Main</vt:lpstr>
      <vt:lpstr>Shadow</vt:lpstr>
      <vt:lpstr>Hook</vt:lpstr>
      <vt:lpstr>Epicycloid</vt:lpstr>
      <vt:lpstr>Dual</vt:lpstr>
      <vt:lpstr>PV</vt:lpstr>
      <vt:lpstr>Materials</vt:lpstr>
      <vt:lpstr>Inverters</vt:lpstr>
      <vt:lpstr>DecAdjust</vt:lpstr>
      <vt:lpstr>Pics</vt:lpstr>
      <vt:lpstr>Data</vt:lpstr>
      <vt:lpstr>Wheel</vt:lpstr>
      <vt:lpstr>A_1</vt:lpstr>
      <vt:lpstr>A_10</vt:lpstr>
      <vt:lpstr>A_10Imp</vt:lpstr>
      <vt:lpstr>A_10Isc</vt:lpstr>
      <vt:lpstr>A_10L</vt:lpstr>
      <vt:lpstr>A_10P</vt:lpstr>
      <vt:lpstr>A_10PA</vt:lpstr>
      <vt:lpstr>A_10PC</vt:lpstr>
      <vt:lpstr>A_10PL</vt:lpstr>
      <vt:lpstr>A_10PWHE</vt:lpstr>
      <vt:lpstr>A_10PWLE</vt:lpstr>
      <vt:lpstr>A_10SC</vt:lpstr>
      <vt:lpstr>A_10TA</vt:lpstr>
      <vt:lpstr>A_10TL</vt:lpstr>
      <vt:lpstr>A_10Vmp</vt:lpstr>
      <vt:lpstr>A_10Voc</vt:lpstr>
      <vt:lpstr>A_10W</vt:lpstr>
      <vt:lpstr>A_10WC</vt:lpstr>
      <vt:lpstr>A_10WL</vt:lpstr>
      <vt:lpstr>A_10WT</vt:lpstr>
      <vt:lpstr>A_10WTC</vt:lpstr>
      <vt:lpstr>A_12</vt:lpstr>
      <vt:lpstr>A_12Imp</vt:lpstr>
      <vt:lpstr>A_12Isc</vt:lpstr>
      <vt:lpstr>A_12L</vt:lpstr>
      <vt:lpstr>A_12P</vt:lpstr>
      <vt:lpstr>A_12PA</vt:lpstr>
      <vt:lpstr>A_12PC</vt:lpstr>
      <vt:lpstr>A_12PL</vt:lpstr>
      <vt:lpstr>A_12PWHE</vt:lpstr>
      <vt:lpstr>A_12PWLE</vt:lpstr>
      <vt:lpstr>A_12SC</vt:lpstr>
      <vt:lpstr>A_12TA</vt:lpstr>
      <vt:lpstr>A_12TL</vt:lpstr>
      <vt:lpstr>A_12Vmp</vt:lpstr>
      <vt:lpstr>A_12Voc</vt:lpstr>
      <vt:lpstr>A_12W</vt:lpstr>
      <vt:lpstr>A_12WC</vt:lpstr>
      <vt:lpstr>A_12WL</vt:lpstr>
      <vt:lpstr>A_12WT</vt:lpstr>
      <vt:lpstr>A_12WTC</vt:lpstr>
      <vt:lpstr>A_1Imp</vt:lpstr>
      <vt:lpstr>A_1Isc</vt:lpstr>
      <vt:lpstr>A_1L</vt:lpstr>
      <vt:lpstr>A_1P</vt:lpstr>
      <vt:lpstr>A_1PA</vt:lpstr>
      <vt:lpstr>A_1PC</vt:lpstr>
      <vt:lpstr>A_1PL</vt:lpstr>
      <vt:lpstr>A_1PWHE</vt:lpstr>
      <vt:lpstr>A_1PWLE</vt:lpstr>
      <vt:lpstr>A_1SC</vt:lpstr>
      <vt:lpstr>A_1TA</vt:lpstr>
      <vt:lpstr>A_1TL</vt:lpstr>
      <vt:lpstr>A_1Vmp</vt:lpstr>
      <vt:lpstr>A_1Voc</vt:lpstr>
      <vt:lpstr>A_1W</vt:lpstr>
      <vt:lpstr>A_1WC</vt:lpstr>
      <vt:lpstr>A_1WL</vt:lpstr>
      <vt:lpstr>A_1WT</vt:lpstr>
      <vt:lpstr>A_1WTC</vt:lpstr>
      <vt:lpstr>A_1XPan</vt:lpstr>
      <vt:lpstr>A_1YPan</vt:lpstr>
      <vt:lpstr>A_2</vt:lpstr>
      <vt:lpstr>A_2Imp</vt:lpstr>
      <vt:lpstr>A_2Isc</vt:lpstr>
      <vt:lpstr>A_2L</vt:lpstr>
      <vt:lpstr>A_2P</vt:lpstr>
      <vt:lpstr>A_2PA</vt:lpstr>
      <vt:lpstr>A_2PC</vt:lpstr>
      <vt:lpstr>A_2PL</vt:lpstr>
      <vt:lpstr>A_2PWHE</vt:lpstr>
      <vt:lpstr>A_2PWLE</vt:lpstr>
      <vt:lpstr>A_2SC</vt:lpstr>
      <vt:lpstr>A_2TA</vt:lpstr>
      <vt:lpstr>A_2TL</vt:lpstr>
      <vt:lpstr>A_2Vmp</vt:lpstr>
      <vt:lpstr>A_2Voc</vt:lpstr>
      <vt:lpstr>A_2W</vt:lpstr>
      <vt:lpstr>A_2WC</vt:lpstr>
      <vt:lpstr>A_2WL</vt:lpstr>
      <vt:lpstr>A_2WT</vt:lpstr>
      <vt:lpstr>A_2WTC</vt:lpstr>
      <vt:lpstr>A_4</vt:lpstr>
      <vt:lpstr>A_4Imp</vt:lpstr>
      <vt:lpstr>A_4Isc</vt:lpstr>
      <vt:lpstr>A_4L</vt:lpstr>
      <vt:lpstr>A_4P</vt:lpstr>
      <vt:lpstr>A_4PA</vt:lpstr>
      <vt:lpstr>A_4PC</vt:lpstr>
      <vt:lpstr>A_4PL</vt:lpstr>
      <vt:lpstr>A_4PWHE</vt:lpstr>
      <vt:lpstr>A_4PWLE</vt:lpstr>
      <vt:lpstr>A_4SC</vt:lpstr>
      <vt:lpstr>A_4TA</vt:lpstr>
      <vt:lpstr>A_4TL</vt:lpstr>
      <vt:lpstr>A_4TR</vt:lpstr>
      <vt:lpstr>A_4Vmp</vt:lpstr>
      <vt:lpstr>A_4Voc</vt:lpstr>
      <vt:lpstr>A_4W</vt:lpstr>
      <vt:lpstr>A_4WC</vt:lpstr>
      <vt:lpstr>A_4WL</vt:lpstr>
      <vt:lpstr>A_4WT</vt:lpstr>
      <vt:lpstr>A_4WTC</vt:lpstr>
      <vt:lpstr>A_5</vt:lpstr>
      <vt:lpstr>A_5Imp</vt:lpstr>
      <vt:lpstr>A_5Isc</vt:lpstr>
      <vt:lpstr>A_5L</vt:lpstr>
      <vt:lpstr>A_5P</vt:lpstr>
      <vt:lpstr>A_5PA</vt:lpstr>
      <vt:lpstr>A_5PC</vt:lpstr>
      <vt:lpstr>A_5PL</vt:lpstr>
      <vt:lpstr>A_5PWHE</vt:lpstr>
      <vt:lpstr>A_5PWLE</vt:lpstr>
      <vt:lpstr>A_5SC</vt:lpstr>
      <vt:lpstr>A_5TA</vt:lpstr>
      <vt:lpstr>A_5TL</vt:lpstr>
      <vt:lpstr>A_5TR</vt:lpstr>
      <vt:lpstr>A_5Vmp</vt:lpstr>
      <vt:lpstr>A_5Voc</vt:lpstr>
      <vt:lpstr>A_5W</vt:lpstr>
      <vt:lpstr>A_5WC</vt:lpstr>
      <vt:lpstr>A_5WL</vt:lpstr>
      <vt:lpstr>A_5WT</vt:lpstr>
      <vt:lpstr>A_5WTC</vt:lpstr>
      <vt:lpstr>A_6</vt:lpstr>
      <vt:lpstr>A_6Imp</vt:lpstr>
      <vt:lpstr>A_6Isc</vt:lpstr>
      <vt:lpstr>A_6L</vt:lpstr>
      <vt:lpstr>A_6P</vt:lpstr>
      <vt:lpstr>A_6PA</vt:lpstr>
      <vt:lpstr>A_6PC</vt:lpstr>
      <vt:lpstr>A_6PL</vt:lpstr>
      <vt:lpstr>A_6PWHE</vt:lpstr>
      <vt:lpstr>A_6PWLE</vt:lpstr>
      <vt:lpstr>A_6SC</vt:lpstr>
      <vt:lpstr>A_6TA</vt:lpstr>
      <vt:lpstr>A_6TL</vt:lpstr>
      <vt:lpstr>A_6Vmp</vt:lpstr>
      <vt:lpstr>A_6Voc</vt:lpstr>
      <vt:lpstr>A_6W</vt:lpstr>
      <vt:lpstr>A_6WC</vt:lpstr>
      <vt:lpstr>A_6WL</vt:lpstr>
      <vt:lpstr>A_6WT</vt:lpstr>
      <vt:lpstr>A_6WTC</vt:lpstr>
      <vt:lpstr>A_8</vt:lpstr>
      <vt:lpstr>A_8Imp</vt:lpstr>
      <vt:lpstr>A_8Isc</vt:lpstr>
      <vt:lpstr>A_8L</vt:lpstr>
      <vt:lpstr>A_8P</vt:lpstr>
      <vt:lpstr>A_8PA</vt:lpstr>
      <vt:lpstr>A_8PC</vt:lpstr>
      <vt:lpstr>A_8PL</vt:lpstr>
      <vt:lpstr>A_8PWHE</vt:lpstr>
      <vt:lpstr>A_8PWLE</vt:lpstr>
      <vt:lpstr>A_8SC</vt:lpstr>
      <vt:lpstr>A_8TA</vt:lpstr>
      <vt:lpstr>A_8TL</vt:lpstr>
      <vt:lpstr>A_8Vmp</vt:lpstr>
      <vt:lpstr>A_8Voc</vt:lpstr>
      <vt:lpstr>A_8W</vt:lpstr>
      <vt:lpstr>A_8WC</vt:lpstr>
      <vt:lpstr>A_8WL</vt:lpstr>
      <vt:lpstr>A_8WT</vt:lpstr>
      <vt:lpstr>A_8WTC</vt:lpstr>
      <vt:lpstr>ActBodyLenFact</vt:lpstr>
      <vt:lpstr>ActuatorAttachmentDistance</vt:lpstr>
      <vt:lpstr>ActuatorDeadForceLbs</vt:lpstr>
      <vt:lpstr>ActuatorDeadForceN</vt:lpstr>
      <vt:lpstr>ActuatorLength</vt:lpstr>
      <vt:lpstr>AvoidedCostRate</vt:lpstr>
      <vt:lpstr>B_1</vt:lpstr>
      <vt:lpstr>B_10</vt:lpstr>
      <vt:lpstr>B_10Imp</vt:lpstr>
      <vt:lpstr>B_10Isc</vt:lpstr>
      <vt:lpstr>B_10L</vt:lpstr>
      <vt:lpstr>B_10P</vt:lpstr>
      <vt:lpstr>B_10PA</vt:lpstr>
      <vt:lpstr>B_10PC</vt:lpstr>
      <vt:lpstr>B_10PL</vt:lpstr>
      <vt:lpstr>B_10PWHE</vt:lpstr>
      <vt:lpstr>B_10PWLE</vt:lpstr>
      <vt:lpstr>B_10SC</vt:lpstr>
      <vt:lpstr>B_10Vmp</vt:lpstr>
      <vt:lpstr>B_10Voc</vt:lpstr>
      <vt:lpstr>B_10W</vt:lpstr>
      <vt:lpstr>B_10WC</vt:lpstr>
      <vt:lpstr>B_10WL</vt:lpstr>
      <vt:lpstr>B_10WT</vt:lpstr>
      <vt:lpstr>B_10WTC</vt:lpstr>
      <vt:lpstr>B_12</vt:lpstr>
      <vt:lpstr>B_12Imp</vt:lpstr>
      <vt:lpstr>B_12Isc</vt:lpstr>
      <vt:lpstr>B_12L</vt:lpstr>
      <vt:lpstr>B_12P</vt:lpstr>
      <vt:lpstr>B_12PA</vt:lpstr>
      <vt:lpstr>B_12PC</vt:lpstr>
      <vt:lpstr>B_12PL</vt:lpstr>
      <vt:lpstr>B_12PWHE</vt:lpstr>
      <vt:lpstr>B_12PWLE</vt:lpstr>
      <vt:lpstr>B_12SC</vt:lpstr>
      <vt:lpstr>B_12TA</vt:lpstr>
      <vt:lpstr>B_12TL</vt:lpstr>
      <vt:lpstr>B_12Vmp</vt:lpstr>
      <vt:lpstr>B_12Voc</vt:lpstr>
      <vt:lpstr>B_12W</vt:lpstr>
      <vt:lpstr>B_12WC</vt:lpstr>
      <vt:lpstr>B_12WL</vt:lpstr>
      <vt:lpstr>B_12WT</vt:lpstr>
      <vt:lpstr>B_12WTC</vt:lpstr>
      <vt:lpstr>B_1Imp</vt:lpstr>
      <vt:lpstr>B_1Isc</vt:lpstr>
      <vt:lpstr>B_1L</vt:lpstr>
      <vt:lpstr>B_1P</vt:lpstr>
      <vt:lpstr>B_1PA</vt:lpstr>
      <vt:lpstr>B_1PC</vt:lpstr>
      <vt:lpstr>B_1PL</vt:lpstr>
      <vt:lpstr>B_1PWHE</vt:lpstr>
      <vt:lpstr>B_1PWLE</vt:lpstr>
      <vt:lpstr>B_1SC</vt:lpstr>
      <vt:lpstr>B_1TA</vt:lpstr>
      <vt:lpstr>B_1TL</vt:lpstr>
      <vt:lpstr>B_1Vmp</vt:lpstr>
      <vt:lpstr>B_1Voc</vt:lpstr>
      <vt:lpstr>B_1W</vt:lpstr>
      <vt:lpstr>B_1WC</vt:lpstr>
      <vt:lpstr>B_1WL</vt:lpstr>
      <vt:lpstr>B_1WT</vt:lpstr>
      <vt:lpstr>B_1WTC</vt:lpstr>
      <vt:lpstr>B_2</vt:lpstr>
      <vt:lpstr>B_2Imp</vt:lpstr>
      <vt:lpstr>B_2Isc</vt:lpstr>
      <vt:lpstr>B_2L</vt:lpstr>
      <vt:lpstr>B_2P</vt:lpstr>
      <vt:lpstr>B_2PA</vt:lpstr>
      <vt:lpstr>B_2PC</vt:lpstr>
      <vt:lpstr>B_2PL</vt:lpstr>
      <vt:lpstr>B_2PWHE</vt:lpstr>
      <vt:lpstr>B_2PWLE</vt:lpstr>
      <vt:lpstr>B_2SC</vt:lpstr>
      <vt:lpstr>B_2TA</vt:lpstr>
      <vt:lpstr>B_2TL</vt:lpstr>
      <vt:lpstr>B_2Vmp</vt:lpstr>
      <vt:lpstr>B_2Voc</vt:lpstr>
      <vt:lpstr>B_2W</vt:lpstr>
      <vt:lpstr>B_2WC</vt:lpstr>
      <vt:lpstr>B_2WL</vt:lpstr>
      <vt:lpstr>B_2WT</vt:lpstr>
      <vt:lpstr>B_2WTC</vt:lpstr>
      <vt:lpstr>B_3</vt:lpstr>
      <vt:lpstr>B_3Imp</vt:lpstr>
      <vt:lpstr>B_3Isc</vt:lpstr>
      <vt:lpstr>B_3L</vt:lpstr>
      <vt:lpstr>B_3P</vt:lpstr>
      <vt:lpstr>B_3PA</vt:lpstr>
      <vt:lpstr>B_3PC</vt:lpstr>
      <vt:lpstr>B_3PL</vt:lpstr>
      <vt:lpstr>B_3PWHE</vt:lpstr>
      <vt:lpstr>B_3PWLE</vt:lpstr>
      <vt:lpstr>B_3SC</vt:lpstr>
      <vt:lpstr>B_3TA</vt:lpstr>
      <vt:lpstr>B_3TL</vt:lpstr>
      <vt:lpstr>B_3Voc</vt:lpstr>
      <vt:lpstr>B_3W</vt:lpstr>
      <vt:lpstr>B_3WC</vt:lpstr>
      <vt:lpstr>B_3WL</vt:lpstr>
      <vt:lpstr>B_3Wmp</vt:lpstr>
      <vt:lpstr>B_3WT</vt:lpstr>
      <vt:lpstr>B_3WTC</vt:lpstr>
      <vt:lpstr>B_4</vt:lpstr>
      <vt:lpstr>B_4Imp</vt:lpstr>
      <vt:lpstr>B_4Isc</vt:lpstr>
      <vt:lpstr>B_4L</vt:lpstr>
      <vt:lpstr>B_4P</vt:lpstr>
      <vt:lpstr>B_4PA</vt:lpstr>
      <vt:lpstr>B_4PC</vt:lpstr>
      <vt:lpstr>B_4PL</vt:lpstr>
      <vt:lpstr>B_4PWLE</vt:lpstr>
      <vt:lpstr>B_4SC</vt:lpstr>
      <vt:lpstr>B_4TA</vt:lpstr>
      <vt:lpstr>B_4TL</vt:lpstr>
      <vt:lpstr>B_4Vmp</vt:lpstr>
      <vt:lpstr>B_4Voc</vt:lpstr>
      <vt:lpstr>B_4W</vt:lpstr>
      <vt:lpstr>B_4WC</vt:lpstr>
      <vt:lpstr>B_4WHE</vt:lpstr>
      <vt:lpstr>B_4WL</vt:lpstr>
      <vt:lpstr>B_4WT</vt:lpstr>
      <vt:lpstr>B_4WTC</vt:lpstr>
      <vt:lpstr>B_5</vt:lpstr>
      <vt:lpstr>B_5Imp</vt:lpstr>
      <vt:lpstr>B_5Isc</vt:lpstr>
      <vt:lpstr>B_5L</vt:lpstr>
      <vt:lpstr>B_5P</vt:lpstr>
      <vt:lpstr>B_5PA</vt:lpstr>
      <vt:lpstr>B_5PC</vt:lpstr>
      <vt:lpstr>B_5PL</vt:lpstr>
      <vt:lpstr>B_5PWHE</vt:lpstr>
      <vt:lpstr>B_5PWLE</vt:lpstr>
      <vt:lpstr>B_5SC</vt:lpstr>
      <vt:lpstr>B_5TA</vt:lpstr>
      <vt:lpstr>B_5TL</vt:lpstr>
      <vt:lpstr>B_5Vmp</vt:lpstr>
      <vt:lpstr>B_5Voc</vt:lpstr>
      <vt:lpstr>B_5W</vt:lpstr>
      <vt:lpstr>B_5WC</vt:lpstr>
      <vt:lpstr>B_5WL</vt:lpstr>
      <vt:lpstr>B_5WT</vt:lpstr>
      <vt:lpstr>B_5WTC</vt:lpstr>
      <vt:lpstr>B_6</vt:lpstr>
      <vt:lpstr>B_6Imp</vt:lpstr>
      <vt:lpstr>B_6Isc</vt:lpstr>
      <vt:lpstr>B_6L</vt:lpstr>
      <vt:lpstr>B_6P</vt:lpstr>
      <vt:lpstr>B_6PA</vt:lpstr>
      <vt:lpstr>B_6PC</vt:lpstr>
      <vt:lpstr>B_6PL</vt:lpstr>
      <vt:lpstr>B_6PWHE</vt:lpstr>
      <vt:lpstr>B_6PWLE</vt:lpstr>
      <vt:lpstr>B_6SC</vt:lpstr>
      <vt:lpstr>B_6TA</vt:lpstr>
      <vt:lpstr>B_6TL</vt:lpstr>
      <vt:lpstr>B_6Vmp</vt:lpstr>
      <vt:lpstr>B_6Voc</vt:lpstr>
      <vt:lpstr>B_6W</vt:lpstr>
      <vt:lpstr>B_6WC</vt:lpstr>
      <vt:lpstr>B_6WL</vt:lpstr>
      <vt:lpstr>B_6WT</vt:lpstr>
      <vt:lpstr>B_6WTC</vt:lpstr>
      <vt:lpstr>B_8</vt:lpstr>
      <vt:lpstr>B_8Imp</vt:lpstr>
      <vt:lpstr>B_8Isc</vt:lpstr>
      <vt:lpstr>B_8L</vt:lpstr>
      <vt:lpstr>B_8P</vt:lpstr>
      <vt:lpstr>B_8PA</vt:lpstr>
      <vt:lpstr>B_8PC</vt:lpstr>
      <vt:lpstr>B_8PL</vt:lpstr>
      <vt:lpstr>B_8PWHE</vt:lpstr>
      <vt:lpstr>B_8PWLE</vt:lpstr>
      <vt:lpstr>B_8SC</vt:lpstr>
      <vt:lpstr>B_8TA</vt:lpstr>
      <vt:lpstr>B_8TL</vt:lpstr>
      <vt:lpstr>B_8Vmp</vt:lpstr>
      <vt:lpstr>B_8Voc</vt:lpstr>
      <vt:lpstr>B_8W</vt:lpstr>
      <vt:lpstr>B_8WC</vt:lpstr>
      <vt:lpstr>B_8WL</vt:lpstr>
      <vt:lpstr>B_8WT</vt:lpstr>
      <vt:lpstr>B_8WTC</vt:lpstr>
      <vt:lpstr>BCost</vt:lpstr>
      <vt:lpstr>BCostPerFt</vt:lpstr>
      <vt:lpstr>Beam</vt:lpstr>
      <vt:lpstr>BeamOffset</vt:lpstr>
      <vt:lpstr>BHIn</vt:lpstr>
      <vt:lpstr>BLFt</vt:lpstr>
      <vt:lpstr>BLoad</vt:lpstr>
      <vt:lpstr>BMomOfInertia</vt:lpstr>
      <vt:lpstr>BMomOfInertiaMax</vt:lpstr>
      <vt:lpstr>BMomOfInertiaMaxFactor</vt:lpstr>
      <vt:lpstr>BName</vt:lpstr>
      <vt:lpstr>BoltSpacing</vt:lpstr>
      <vt:lpstr>BPounds</vt:lpstr>
      <vt:lpstr>BSaftyFactor</vt:lpstr>
      <vt:lpstr>BSecMod</vt:lpstr>
      <vt:lpstr>BSecModActual</vt:lpstr>
      <vt:lpstr>BSecModWSF</vt:lpstr>
      <vt:lpstr>BThickIn</vt:lpstr>
      <vt:lpstr>BWIn</vt:lpstr>
      <vt:lpstr>C_1</vt:lpstr>
      <vt:lpstr>C_10</vt:lpstr>
      <vt:lpstr>C_10Imp</vt:lpstr>
      <vt:lpstr>C_10Isc</vt:lpstr>
      <vt:lpstr>C_10L</vt:lpstr>
      <vt:lpstr>C_10P</vt:lpstr>
      <vt:lpstr>C_10PA</vt:lpstr>
      <vt:lpstr>C_10PC</vt:lpstr>
      <vt:lpstr>C_10PL</vt:lpstr>
      <vt:lpstr>C_10PWHE</vt:lpstr>
      <vt:lpstr>C_10PWLE</vt:lpstr>
      <vt:lpstr>C_10SC</vt:lpstr>
      <vt:lpstr>C_10TA</vt:lpstr>
      <vt:lpstr>C_10TL</vt:lpstr>
      <vt:lpstr>C_10Vmp</vt:lpstr>
      <vt:lpstr>C_10Voc</vt:lpstr>
      <vt:lpstr>C_10W</vt:lpstr>
      <vt:lpstr>C_10WC</vt:lpstr>
      <vt:lpstr>C_10WL</vt:lpstr>
      <vt:lpstr>C_10WT</vt:lpstr>
      <vt:lpstr>C_10WTC</vt:lpstr>
      <vt:lpstr>C_1Imp</vt:lpstr>
      <vt:lpstr>C_1Isc</vt:lpstr>
      <vt:lpstr>C_1L</vt:lpstr>
      <vt:lpstr>C_1P</vt:lpstr>
      <vt:lpstr>C_1PA</vt:lpstr>
      <vt:lpstr>C_1PC</vt:lpstr>
      <vt:lpstr>C_1PL</vt:lpstr>
      <vt:lpstr>C_1PWHE</vt:lpstr>
      <vt:lpstr>C_1PWLE</vt:lpstr>
      <vt:lpstr>C_1SC</vt:lpstr>
      <vt:lpstr>C_1TA</vt:lpstr>
      <vt:lpstr>C_1TL</vt:lpstr>
      <vt:lpstr>C_1Vmp</vt:lpstr>
      <vt:lpstr>C_1Voc</vt:lpstr>
      <vt:lpstr>C_1W</vt:lpstr>
      <vt:lpstr>C_1WC</vt:lpstr>
      <vt:lpstr>C_1WL</vt:lpstr>
      <vt:lpstr>C_1WT</vt:lpstr>
      <vt:lpstr>C_1WTC</vt:lpstr>
      <vt:lpstr>C_2</vt:lpstr>
      <vt:lpstr>C_2Imp</vt:lpstr>
      <vt:lpstr>C_2L</vt:lpstr>
      <vt:lpstr>C_2P</vt:lpstr>
      <vt:lpstr>C_2PA</vt:lpstr>
      <vt:lpstr>C_2PC</vt:lpstr>
      <vt:lpstr>C_2PL</vt:lpstr>
      <vt:lpstr>C_2PWHE</vt:lpstr>
      <vt:lpstr>C_2PWLE</vt:lpstr>
      <vt:lpstr>C_2SC</vt:lpstr>
      <vt:lpstr>C_2TA</vt:lpstr>
      <vt:lpstr>C_2TL</vt:lpstr>
      <vt:lpstr>C_2Vmp</vt:lpstr>
      <vt:lpstr>C_2Voc</vt:lpstr>
      <vt:lpstr>C_2W</vt:lpstr>
      <vt:lpstr>C_2WC</vt:lpstr>
      <vt:lpstr>C_2WL</vt:lpstr>
      <vt:lpstr>C_2WT</vt:lpstr>
      <vt:lpstr>C_2WTC</vt:lpstr>
      <vt:lpstr>C_4</vt:lpstr>
      <vt:lpstr>C_4Imp</vt:lpstr>
      <vt:lpstr>C_4Isc</vt:lpstr>
      <vt:lpstr>C_4L</vt:lpstr>
      <vt:lpstr>C_4P</vt:lpstr>
      <vt:lpstr>C_4PA</vt:lpstr>
      <vt:lpstr>C_4PC</vt:lpstr>
      <vt:lpstr>C_4PL</vt:lpstr>
      <vt:lpstr>C_4PWHE</vt:lpstr>
      <vt:lpstr>C_4PWLE</vt:lpstr>
      <vt:lpstr>C_4SC</vt:lpstr>
      <vt:lpstr>C_4TA</vt:lpstr>
      <vt:lpstr>C_4TL</vt:lpstr>
      <vt:lpstr>C_4Vmp</vt:lpstr>
      <vt:lpstr>C_4Voc</vt:lpstr>
      <vt:lpstr>C_4W</vt:lpstr>
      <vt:lpstr>C_4WC</vt:lpstr>
      <vt:lpstr>C_4WL</vt:lpstr>
      <vt:lpstr>C_4WT</vt:lpstr>
      <vt:lpstr>C_4WTC</vt:lpstr>
      <vt:lpstr>C_6</vt:lpstr>
      <vt:lpstr>C_6Imp</vt:lpstr>
      <vt:lpstr>C_6Isc</vt:lpstr>
      <vt:lpstr>C_6L</vt:lpstr>
      <vt:lpstr>C_6P</vt:lpstr>
      <vt:lpstr>C_6PA</vt:lpstr>
      <vt:lpstr>C_6PC</vt:lpstr>
      <vt:lpstr>C_6PL</vt:lpstr>
      <vt:lpstr>C_6PWHE</vt:lpstr>
      <vt:lpstr>C_6PWLE</vt:lpstr>
      <vt:lpstr>C_6SC</vt:lpstr>
      <vt:lpstr>C_6TA</vt:lpstr>
      <vt:lpstr>C_6TL</vt:lpstr>
      <vt:lpstr>C_6Vmp</vt:lpstr>
      <vt:lpstr>C_6Voc</vt:lpstr>
      <vt:lpstr>C_6W</vt:lpstr>
      <vt:lpstr>C_6WC</vt:lpstr>
      <vt:lpstr>C_6WL</vt:lpstr>
      <vt:lpstr>C_6WT</vt:lpstr>
      <vt:lpstr>C_6WTC</vt:lpstr>
      <vt:lpstr>CellsPerPanel</vt:lpstr>
      <vt:lpstr>CM</vt:lpstr>
      <vt:lpstr>ColumnsOfMounts</vt:lpstr>
      <vt:lpstr>ConnectionCost</vt:lpstr>
      <vt:lpstr>CostPerPier</vt:lpstr>
      <vt:lpstr>D_10</vt:lpstr>
      <vt:lpstr>D_10Imp</vt:lpstr>
      <vt:lpstr>D_10Isc</vt:lpstr>
      <vt:lpstr>D_10L</vt:lpstr>
      <vt:lpstr>D_10PA</vt:lpstr>
      <vt:lpstr>D_10PC</vt:lpstr>
      <vt:lpstr>D_10PL</vt:lpstr>
      <vt:lpstr>D_10PWHE</vt:lpstr>
      <vt:lpstr>D_10PWLE</vt:lpstr>
      <vt:lpstr>D_10SC</vt:lpstr>
      <vt:lpstr>D_10TA</vt:lpstr>
      <vt:lpstr>D_10TL</vt:lpstr>
      <vt:lpstr>D_10Vmp</vt:lpstr>
      <vt:lpstr>D_10Voc</vt:lpstr>
      <vt:lpstr>D_10W</vt:lpstr>
      <vt:lpstr>D_10WC</vt:lpstr>
      <vt:lpstr>D_10WL</vt:lpstr>
      <vt:lpstr>D_10WT</vt:lpstr>
      <vt:lpstr>D_10WTC</vt:lpstr>
      <vt:lpstr>D_6</vt:lpstr>
      <vt:lpstr>D_6Imp</vt:lpstr>
      <vt:lpstr>D_6Isc</vt:lpstr>
      <vt:lpstr>D_6L</vt:lpstr>
      <vt:lpstr>D_6P</vt:lpstr>
      <vt:lpstr>D_6PA</vt:lpstr>
      <vt:lpstr>D_6PC</vt:lpstr>
      <vt:lpstr>D_6PL</vt:lpstr>
      <vt:lpstr>D_6PWHE</vt:lpstr>
      <vt:lpstr>D_6PWLE</vt:lpstr>
      <vt:lpstr>D_6SC</vt:lpstr>
      <vt:lpstr>D_6TA</vt:lpstr>
      <vt:lpstr>D_6TL</vt:lpstr>
      <vt:lpstr>D_6Vmp</vt:lpstr>
      <vt:lpstr>D_6Voc</vt:lpstr>
      <vt:lpstr>D_6W</vt:lpstr>
      <vt:lpstr>D_6WC</vt:lpstr>
      <vt:lpstr>D_6WL</vt:lpstr>
      <vt:lpstr>D_6WT</vt:lpstr>
      <vt:lpstr>D_6WTC</vt:lpstr>
      <vt:lpstr>Dec</vt:lpstr>
      <vt:lpstr>DecAng</vt:lpstr>
      <vt:lpstr>DecHypotLen</vt:lpstr>
      <vt:lpstr>DEClinationError</vt:lpstr>
      <vt:lpstr>DecOffLen</vt:lpstr>
      <vt:lpstr>Depreciation</vt:lpstr>
      <vt:lpstr>DistHHPed</vt:lpstr>
      <vt:lpstr>DistHLPed</vt:lpstr>
      <vt:lpstr>DualActDeltaMove</vt:lpstr>
      <vt:lpstr>DualActLength</vt:lpstr>
      <vt:lpstr>DualActLengthIn</vt:lpstr>
      <vt:lpstr>DualActMax</vt:lpstr>
      <vt:lpstr>DualActMin</vt:lpstr>
      <vt:lpstr>DualActuatorAttachmentDistance</vt:lpstr>
      <vt:lpstr>DualIncAng</vt:lpstr>
      <vt:lpstr>DualMountsServed</vt:lpstr>
      <vt:lpstr>DualRadius</vt:lpstr>
      <vt:lpstr>DualSingle</vt:lpstr>
      <vt:lpstr>DualTotalAng</vt:lpstr>
      <vt:lpstr>E_6</vt:lpstr>
      <vt:lpstr>E_6Imp</vt:lpstr>
      <vt:lpstr>E_6Isc</vt:lpstr>
      <vt:lpstr>E_6L</vt:lpstr>
      <vt:lpstr>E_6P</vt:lpstr>
      <vt:lpstr>E_6PA</vt:lpstr>
      <vt:lpstr>E_6PC</vt:lpstr>
      <vt:lpstr>E_6PL</vt:lpstr>
      <vt:lpstr>E_6PWHE</vt:lpstr>
      <vt:lpstr>E_6PWLE</vt:lpstr>
      <vt:lpstr>E_6SC</vt:lpstr>
      <vt:lpstr>E_6TA</vt:lpstr>
      <vt:lpstr>E_6TL</vt:lpstr>
      <vt:lpstr>E_6Vmp</vt:lpstr>
      <vt:lpstr>E_6Voc</vt:lpstr>
      <vt:lpstr>E_6W</vt:lpstr>
      <vt:lpstr>E_6WC</vt:lpstr>
      <vt:lpstr>E_6WL</vt:lpstr>
      <vt:lpstr>E_6WT</vt:lpstr>
      <vt:lpstr>E_6WTC</vt:lpstr>
      <vt:lpstr>ElectricalCost</vt:lpstr>
      <vt:lpstr>Equinox_Support_Angle</vt:lpstr>
      <vt:lpstr>EW</vt:lpstr>
      <vt:lpstr>EWField</vt:lpstr>
      <vt:lpstr>EWGapFt</vt:lpstr>
      <vt:lpstr>EWGapIn</vt:lpstr>
      <vt:lpstr>EWGradeDeg</vt:lpstr>
      <vt:lpstr>EWGradeIn</vt:lpstr>
      <vt:lpstr>EWRotate</vt:lpstr>
      <vt:lpstr>EWSolarPowerAngle</vt:lpstr>
      <vt:lpstr>EWSpacingFt</vt:lpstr>
      <vt:lpstr>EWSpacingIn</vt:lpstr>
      <vt:lpstr>F_6</vt:lpstr>
      <vt:lpstr>F_6Imp</vt:lpstr>
      <vt:lpstr>F_6Isc</vt:lpstr>
      <vt:lpstr>F_6L</vt:lpstr>
      <vt:lpstr>F_6P</vt:lpstr>
      <vt:lpstr>F_6PA</vt:lpstr>
      <vt:lpstr>F_6PC</vt:lpstr>
      <vt:lpstr>F_6PL</vt:lpstr>
      <vt:lpstr>F_6PWHE</vt:lpstr>
      <vt:lpstr>F_6PWLE</vt:lpstr>
      <vt:lpstr>F_6SC</vt:lpstr>
      <vt:lpstr>F_6TA</vt:lpstr>
      <vt:lpstr>F_6TL</vt:lpstr>
      <vt:lpstr>F_6Vmp</vt:lpstr>
      <vt:lpstr>F_6Voc</vt:lpstr>
      <vt:lpstr>F_6W</vt:lpstr>
      <vt:lpstr>F_6WC</vt:lpstr>
      <vt:lpstr>F_6WL</vt:lpstr>
      <vt:lpstr>F_6WT</vt:lpstr>
      <vt:lpstr>F_6WTC</vt:lpstr>
      <vt:lpstr>F_8L</vt:lpstr>
      <vt:lpstr>F_8PC</vt:lpstr>
      <vt:lpstr>F_8PL</vt:lpstr>
      <vt:lpstr>F_8PWHE</vt:lpstr>
      <vt:lpstr>F_8PWLE</vt:lpstr>
      <vt:lpstr>F_8SC</vt:lpstr>
      <vt:lpstr>F_8TA</vt:lpstr>
      <vt:lpstr>F_8TL</vt:lpstr>
      <vt:lpstr>F_8W</vt:lpstr>
      <vt:lpstr>FrostLine</vt:lpstr>
      <vt:lpstr>FrostLineLocal</vt:lpstr>
      <vt:lpstr>G_6</vt:lpstr>
      <vt:lpstr>G_6Imp</vt:lpstr>
      <vt:lpstr>G_6Isc</vt:lpstr>
      <vt:lpstr>G_6L</vt:lpstr>
      <vt:lpstr>G_6P</vt:lpstr>
      <vt:lpstr>G_6PA</vt:lpstr>
      <vt:lpstr>G_6PC</vt:lpstr>
      <vt:lpstr>G_6PL</vt:lpstr>
      <vt:lpstr>G_6PWHE</vt:lpstr>
      <vt:lpstr>G_6PWLE</vt:lpstr>
      <vt:lpstr>G_6SC</vt:lpstr>
      <vt:lpstr>G_6TA</vt:lpstr>
      <vt:lpstr>G_6TL</vt:lpstr>
      <vt:lpstr>G_6Vmp</vt:lpstr>
      <vt:lpstr>G_6Voc</vt:lpstr>
      <vt:lpstr>G_6W</vt:lpstr>
      <vt:lpstr>G_6WC</vt:lpstr>
      <vt:lpstr>G_6WL</vt:lpstr>
      <vt:lpstr>G_6WT</vt:lpstr>
      <vt:lpstr>G_6WTC</vt:lpstr>
      <vt:lpstr>GrnActX</vt:lpstr>
      <vt:lpstr>GrnActY</vt:lpstr>
      <vt:lpstr>H_6</vt:lpstr>
      <vt:lpstr>H_6Imp</vt:lpstr>
      <vt:lpstr>H_6Isc</vt:lpstr>
      <vt:lpstr>H_6L</vt:lpstr>
      <vt:lpstr>H_6P</vt:lpstr>
      <vt:lpstr>H_6PA</vt:lpstr>
      <vt:lpstr>H_6PC</vt:lpstr>
      <vt:lpstr>H_6PL</vt:lpstr>
      <vt:lpstr>H_6PWHE</vt:lpstr>
      <vt:lpstr>H_6PWLE</vt:lpstr>
      <vt:lpstr>H_6SC</vt:lpstr>
      <vt:lpstr>H_6TA</vt:lpstr>
      <vt:lpstr>H_6TL</vt:lpstr>
      <vt:lpstr>H_6Vmp</vt:lpstr>
      <vt:lpstr>H_6Voc</vt:lpstr>
      <vt:lpstr>H_6W</vt:lpstr>
      <vt:lpstr>H_6WC</vt:lpstr>
      <vt:lpstr>H_6WL</vt:lpstr>
      <vt:lpstr>H_6WT</vt:lpstr>
      <vt:lpstr>H_6WTC</vt:lpstr>
      <vt:lpstr>HBeamHigh</vt:lpstr>
      <vt:lpstr>HBeamMax</vt:lpstr>
      <vt:lpstr>HBeamMin</vt:lpstr>
      <vt:lpstr>HBeamThick</vt:lpstr>
      <vt:lpstr>HBeamTorque</vt:lpstr>
      <vt:lpstr>HBeamWide</vt:lpstr>
      <vt:lpstr>HBearingArea</vt:lpstr>
      <vt:lpstr>HBearingPressure</vt:lpstr>
      <vt:lpstr>HBearingSupportThick</vt:lpstr>
      <vt:lpstr>HBearingThick</vt:lpstr>
      <vt:lpstr>HGaps</vt:lpstr>
      <vt:lpstr>HighEndExt</vt:lpstr>
      <vt:lpstr>HighEndSupHeight</vt:lpstr>
      <vt:lpstr>HMaxRotation</vt:lpstr>
      <vt:lpstr>HookDrop</vt:lpstr>
      <vt:lpstr>HookLoad</vt:lpstr>
      <vt:lpstr>HookOverhang</vt:lpstr>
      <vt:lpstr>HookThick</vt:lpstr>
      <vt:lpstr>HookWidth</vt:lpstr>
      <vt:lpstr>HPierBeamHeight</vt:lpstr>
      <vt:lpstr>HPierBeamThickness</vt:lpstr>
      <vt:lpstr>HPierBeamWidth</vt:lpstr>
      <vt:lpstr>HPVShim</vt:lpstr>
      <vt:lpstr>HPVTorque</vt:lpstr>
      <vt:lpstr>IncomeTax</vt:lpstr>
      <vt:lpstr>InterconnectionCosts</vt:lpstr>
      <vt:lpstr>Interest</vt:lpstr>
      <vt:lpstr>Lat</vt:lpstr>
      <vt:lpstr>Latitude</vt:lpstr>
      <vt:lpstr>LocalPowerCostRate</vt:lpstr>
      <vt:lpstr>LowEndExt</vt:lpstr>
      <vt:lpstr>MainAxisLen</vt:lpstr>
      <vt:lpstr>MaxWidAng</vt:lpstr>
      <vt:lpstr>MetalCostPerPound</vt:lpstr>
      <vt:lpstr>MinGndClear</vt:lpstr>
      <vt:lpstr>MountCost</vt:lpstr>
      <vt:lpstr>MountImp</vt:lpstr>
      <vt:lpstr>MountIsc</vt:lpstr>
      <vt:lpstr>MountPower</vt:lpstr>
      <vt:lpstr>MountVmp</vt:lpstr>
      <vt:lpstr>MountVoc</vt:lpstr>
      <vt:lpstr>MtsT</vt:lpstr>
      <vt:lpstr>NetEnergyPerMonth</vt:lpstr>
      <vt:lpstr>NetPaymentPerMonth</vt:lpstr>
      <vt:lpstr>NetPaymentPerYear</vt:lpstr>
      <vt:lpstr>NetSystemCost</vt:lpstr>
      <vt:lpstr>NodeAHeight</vt:lpstr>
      <vt:lpstr>NodeBHeight</vt:lpstr>
      <vt:lpstr>NS</vt:lpstr>
      <vt:lpstr>NSGapFt</vt:lpstr>
      <vt:lpstr>NSGapIn</vt:lpstr>
      <vt:lpstr>NSGradeDeg</vt:lpstr>
      <vt:lpstr>NSGradeFt</vt:lpstr>
      <vt:lpstr>NSGradeIn</vt:lpstr>
      <vt:lpstr>NSSolarPowerAngle</vt:lpstr>
      <vt:lpstr>NSSpacingFt</vt:lpstr>
      <vt:lpstr>NSSpacingIn</vt:lpstr>
      <vt:lpstr>NSTilt</vt:lpstr>
      <vt:lpstr>NumberOfMounts</vt:lpstr>
      <vt:lpstr>NumberOfSystemPanels</vt:lpstr>
      <vt:lpstr>PanArrayLen</vt:lpstr>
      <vt:lpstr>PanArrayLenFt</vt:lpstr>
      <vt:lpstr>PanArrayLenIn</vt:lpstr>
      <vt:lpstr>PanArrayWidthHighEndFt</vt:lpstr>
      <vt:lpstr>PanArrayWidthIn</vt:lpstr>
      <vt:lpstr>PanArrayWidthLowEndFt</vt:lpstr>
      <vt:lpstr>Panel</vt:lpstr>
      <vt:lpstr>PanelArrangement</vt:lpstr>
      <vt:lpstr>PanelCostPerMount</vt:lpstr>
      <vt:lpstr>PanelImp</vt:lpstr>
      <vt:lpstr>PanelIsc</vt:lpstr>
      <vt:lpstr>PanelModel</vt:lpstr>
      <vt:lpstr>PanelPower</vt:lpstr>
      <vt:lpstr>PanelsPlusSpares</vt:lpstr>
      <vt:lpstr>PanelVmp</vt:lpstr>
      <vt:lpstr>PanelVoc</vt:lpstr>
      <vt:lpstr>PanWidthHighEnd</vt:lpstr>
      <vt:lpstr>PanWidthLowEnd</vt:lpstr>
      <vt:lpstr>ParallelCon</vt:lpstr>
      <vt:lpstr>PAspectRatio</vt:lpstr>
      <vt:lpstr>PayBackTime</vt:lpstr>
      <vt:lpstr>PC</vt:lpstr>
      <vt:lpstr>PCells</vt:lpstr>
      <vt:lpstr>PCost</vt:lpstr>
      <vt:lpstr>PCostPerW</vt:lpstr>
      <vt:lpstr>PDate</vt:lpstr>
      <vt:lpstr>PedHeight</vt:lpstr>
      <vt:lpstr>PedHeightTryThis</vt:lpstr>
      <vt:lpstr>PEff</vt:lpstr>
      <vt:lpstr>Pier</vt:lpstr>
      <vt:lpstr>PierBeamOffset</vt:lpstr>
      <vt:lpstr>PierCost</vt:lpstr>
      <vt:lpstr>PierCostPerFt</vt:lpstr>
      <vt:lpstr>PierHIn</vt:lpstr>
      <vt:lpstr>PierLFt</vt:lpstr>
      <vt:lpstr>PierLoad</vt:lpstr>
      <vt:lpstr>PierMomOfInertia</vt:lpstr>
      <vt:lpstr>PierMomOfInertiaMax</vt:lpstr>
      <vt:lpstr>PierMomOfInertiaMaxFactor</vt:lpstr>
      <vt:lpstr>PierName</vt:lpstr>
      <vt:lpstr>PierNumberOffBeams</vt:lpstr>
      <vt:lpstr>PierPounds</vt:lpstr>
      <vt:lpstr>PierSafetyFactor</vt:lpstr>
      <vt:lpstr>PierSecMod</vt:lpstr>
      <vt:lpstr>PierSecModActual</vt:lpstr>
      <vt:lpstr>PierSecModWSF</vt:lpstr>
      <vt:lpstr>PierThickIn</vt:lpstr>
      <vt:lpstr>PierWIn</vt:lpstr>
      <vt:lpstr>PImp</vt:lpstr>
      <vt:lpstr>PIsc</vt:lpstr>
      <vt:lpstr>PivitDia</vt:lpstr>
      <vt:lpstr>PLFt</vt:lpstr>
      <vt:lpstr>PLIn</vt:lpstr>
      <vt:lpstr>PLmm</vt:lpstr>
      <vt:lpstr>PModel</vt:lpstr>
      <vt:lpstr>PName</vt:lpstr>
      <vt:lpstr>Power</vt:lpstr>
      <vt:lpstr>PowerMax</vt:lpstr>
      <vt:lpstr>PPounds</vt:lpstr>
      <vt:lpstr>PremimumPowerCostRate</vt:lpstr>
      <vt:lpstr>PSqFt</vt:lpstr>
      <vt:lpstr>PThickIn</vt:lpstr>
      <vt:lpstr>PTmm</vt:lpstr>
      <vt:lpstr>PVmp</vt:lpstr>
      <vt:lpstr>PVoc</vt:lpstr>
      <vt:lpstr>PVSparesFactor</vt:lpstr>
      <vt:lpstr>PWatt</vt:lpstr>
      <vt:lpstr>PWFt</vt:lpstr>
      <vt:lpstr>PWIn</vt:lpstr>
      <vt:lpstr>PWmm</vt:lpstr>
      <vt:lpstr>PWPerMSq</vt:lpstr>
      <vt:lpstr>PWPerMSqPerDollar</vt:lpstr>
      <vt:lpstr>RebateRate</vt:lpstr>
      <vt:lpstr>Rebates</vt:lpstr>
      <vt:lpstr>RedActX</vt:lpstr>
      <vt:lpstr>RedActY</vt:lpstr>
      <vt:lpstr>RotaryChainForceLbs</vt:lpstr>
      <vt:lpstr>RotaryFrictionFactor</vt:lpstr>
      <vt:lpstr>RotaryMotorTorqueFtLbs</vt:lpstr>
      <vt:lpstr>RotaryMotorTorqueInLbs</vt:lpstr>
      <vt:lpstr>RotaryMotorTorqueInOz</vt:lpstr>
      <vt:lpstr>RotaryPullyDiameterIn</vt:lpstr>
      <vt:lpstr>RotaryReduction</vt:lpstr>
      <vt:lpstr>RotarySpeedFactor</vt:lpstr>
      <vt:lpstr>RowsOfMounts</vt:lpstr>
      <vt:lpstr>SC</vt:lpstr>
      <vt:lpstr>SelectInverter</vt:lpstr>
      <vt:lpstr>SelectMainBeam</vt:lpstr>
      <vt:lpstr>SelectPanel</vt:lpstr>
      <vt:lpstr>SelectPierBeam</vt:lpstr>
      <vt:lpstr>SerialCon</vt:lpstr>
      <vt:lpstr>Spacing</vt:lpstr>
      <vt:lpstr>StartAng</vt:lpstr>
      <vt:lpstr>StepAng</vt:lpstr>
      <vt:lpstr>StopAng</vt:lpstr>
      <vt:lpstr>StraightLineWind</vt:lpstr>
      <vt:lpstr>StraightLineWindMetric</vt:lpstr>
      <vt:lpstr>Summer_Support_Angle</vt:lpstr>
      <vt:lpstr>SunHoursPerDay</vt:lpstr>
      <vt:lpstr>SupAngHighEnd</vt:lpstr>
      <vt:lpstr>SupLenHighEnd</vt:lpstr>
      <vt:lpstr>Support_Angle_High_End</vt:lpstr>
      <vt:lpstr>SystemACAmpRating</vt:lpstr>
      <vt:lpstr>SystemPower</vt:lpstr>
      <vt:lpstr>T0xHorizontal</vt:lpstr>
      <vt:lpstr>T0xLat</vt:lpstr>
      <vt:lpstr>T0xLatMinus15</vt:lpstr>
      <vt:lpstr>T0xLatPlus15</vt:lpstr>
      <vt:lpstr>T0xVertical</vt:lpstr>
      <vt:lpstr>T1xHorizontal</vt:lpstr>
      <vt:lpstr>T1xLat</vt:lpstr>
      <vt:lpstr>T1xLatMinus15</vt:lpstr>
      <vt:lpstr>T1xLatPlus15</vt:lpstr>
      <vt:lpstr>T2x</vt:lpstr>
      <vt:lpstr>T2xFourPerYear</vt:lpstr>
      <vt:lpstr>T2xTwoPerYear</vt:lpstr>
      <vt:lpstr>TEST</vt:lpstr>
      <vt:lpstr>TestPanel</vt:lpstr>
      <vt:lpstr>TotalEWRotation</vt:lpstr>
      <vt:lpstr>TotalMountCost</vt:lpstr>
      <vt:lpstr>TotalPanelCost</vt:lpstr>
      <vt:lpstr>TotalSystemCost</vt:lpstr>
      <vt:lpstr>TreeAndStumpRemoval</vt:lpstr>
      <vt:lpstr>TriangleAngle</vt:lpstr>
      <vt:lpstr>TriangleLength</vt:lpstr>
      <vt:lpstr>Data!TripodCalcs</vt:lpstr>
      <vt:lpstr>UtilityMonthlyElectricUsage</vt:lpstr>
      <vt:lpstr>WheelEndDeg</vt:lpstr>
      <vt:lpstr>WheelStartDeg</vt:lpstr>
      <vt:lpstr>WheelSteepsDeg</vt:lpstr>
      <vt:lpstr>WindFactor</vt:lpstr>
      <vt:lpstr>WindForce</vt:lpstr>
      <vt:lpstr>WindForceMetric</vt:lpstr>
      <vt:lpstr>WindTorque</vt:lpstr>
      <vt:lpstr>WindTorqueMetric</vt:lpstr>
      <vt:lpstr>Winter_Support_Angle</vt:lpstr>
      <vt:lpstr>XOffset</vt:lpstr>
      <vt:lpstr>YOffset</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dc:creator>
  <cp:lastModifiedBy>Red Rock Energy</cp:lastModifiedBy>
  <cp:lastPrinted>2016-05-26T12:03:34Z</cp:lastPrinted>
  <dcterms:created xsi:type="dcterms:W3CDTF">2015-01-12T22:41:56Z</dcterms:created>
  <dcterms:modified xsi:type="dcterms:W3CDTF">2016-08-23T22:58:22Z</dcterms:modified>
</cp:coreProperties>
</file>