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056"/>
  </bookViews>
  <sheets>
    <sheet name="Solar Thermodynamics" sheetId="1" r:id="rId1"/>
    <sheet name="Antoine Fluid Equation" sheetId="3" r:id="rId2"/>
    <sheet name="Sheet3" sheetId="5" r:id="rId3"/>
  </sheets>
  <definedNames>
    <definedName name="Top" localSheetId="1">'Antoine Fluid Equation'!$A$42</definedName>
  </definedNames>
  <calcPr calcId="125725"/>
  <extLst/>
</workbook>
</file>

<file path=xl/calcChain.xml><?xml version="1.0" encoding="utf-8"?>
<calcChain xmlns="http://schemas.openxmlformats.org/spreadsheetml/2006/main">
  <c r="W39" i="1"/>
  <c r="W38"/>
  <c r="W31"/>
  <c r="W30"/>
  <c r="W29"/>
  <c r="W28"/>
  <c r="W27"/>
  <c r="W26"/>
  <c r="W19"/>
  <c r="W18"/>
  <c r="W17"/>
  <c r="W16"/>
  <c r="W15"/>
  <c r="W13"/>
  <c r="W12"/>
  <c r="W11"/>
  <c r="W10"/>
  <c r="V39"/>
  <c r="V38"/>
  <c r="V31"/>
  <c r="V30"/>
  <c r="V29"/>
  <c r="V28"/>
  <c r="V27"/>
  <c r="V26"/>
  <c r="V25"/>
  <c r="W25" s="1"/>
  <c r="V19"/>
  <c r="V18"/>
  <c r="V17"/>
  <c r="V16"/>
  <c r="V15"/>
  <c r="V13"/>
  <c r="V12"/>
  <c r="Y12" s="1"/>
  <c r="AC12" s="1"/>
  <c r="V11"/>
  <c r="Y11" s="1"/>
  <c r="AC11" s="1"/>
  <c r="V10"/>
  <c r="W9"/>
  <c r="V9"/>
  <c r="B38" i="3"/>
  <c r="G38" s="1"/>
  <c r="K38" s="1"/>
  <c r="I33"/>
  <c r="K33"/>
  <c r="I38"/>
  <c r="H38"/>
  <c r="D33"/>
  <c r="D37"/>
  <c r="K37"/>
  <c r="L37" s="1"/>
  <c r="D38"/>
  <c r="I37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K11"/>
  <c r="E11"/>
  <c r="E31"/>
  <c r="F24"/>
  <c r="E24"/>
  <c r="F12"/>
  <c r="E12"/>
  <c r="D48"/>
  <c r="C48"/>
  <c r="F21"/>
  <c r="F15"/>
  <c r="F22"/>
  <c r="E22"/>
  <c r="F16"/>
  <c r="E16"/>
  <c r="AK11" i="1"/>
  <c r="AL11" s="1"/>
  <c r="Q11"/>
  <c r="S11" s="1"/>
  <c r="N11"/>
  <c r="O11" s="1"/>
  <c r="AK12"/>
  <c r="AL12" s="1"/>
  <c r="Q12"/>
  <c r="S12" s="1"/>
  <c r="N12"/>
  <c r="O12" s="1"/>
  <c r="N44" i="3" l="1"/>
  <c r="L33"/>
  <c r="M33"/>
  <c r="L38"/>
  <c r="M38"/>
  <c r="M37"/>
  <c r="L11"/>
  <c r="M11"/>
  <c r="R12" i="1"/>
  <c r="AF12" s="1"/>
  <c r="R11"/>
  <c r="AF11" s="1"/>
  <c r="AH11" s="1"/>
  <c r="AD11"/>
  <c r="Z11"/>
  <c r="AA11" s="1"/>
  <c r="AD12"/>
  <c r="AH12"/>
  <c r="Z12"/>
  <c r="AA12" s="1"/>
  <c r="F23" i="3"/>
  <c r="E23"/>
  <c r="AK10" i="1"/>
  <c r="AL10" s="1"/>
  <c r="Y10"/>
  <c r="AC10" s="1"/>
  <c r="Q10"/>
  <c r="N10"/>
  <c r="O10" s="1"/>
  <c r="Q19"/>
  <c r="Q18"/>
  <c r="Q17"/>
  <c r="Q16"/>
  <c r="Q15"/>
  <c r="Q14"/>
  <c r="Q13"/>
  <c r="S13" s="1"/>
  <c r="Q9"/>
  <c r="Q38"/>
  <c r="Q40"/>
  <c r="AD40" s="1"/>
  <c r="G19"/>
  <c r="F19"/>
  <c r="G18"/>
  <c r="F18"/>
  <c r="G17"/>
  <c r="F17"/>
  <c r="G16"/>
  <c r="F16"/>
  <c r="G15"/>
  <c r="F15"/>
  <c r="G9"/>
  <c r="F9"/>
  <c r="G31"/>
  <c r="AH31" s="1"/>
  <c r="F31"/>
  <c r="G30"/>
  <c r="AH30" s="1"/>
  <c r="F30"/>
  <c r="G29"/>
  <c r="AH29" s="1"/>
  <c r="F29"/>
  <c r="G28"/>
  <c r="AH28" s="1"/>
  <c r="F28"/>
  <c r="G27"/>
  <c r="AH27" s="1"/>
  <c r="F27"/>
  <c r="G26"/>
  <c r="AH26" s="1"/>
  <c r="F26"/>
  <c r="G25"/>
  <c r="AH25" s="1"/>
  <c r="F25"/>
  <c r="G39"/>
  <c r="F39"/>
  <c r="G38"/>
  <c r="F38"/>
  <c r="F13" i="3"/>
  <c r="E13"/>
  <c r="F19"/>
  <c r="E19"/>
  <c r="AK39" i="1"/>
  <c r="AK38"/>
  <c r="AL38" s="1"/>
  <c r="AK31"/>
  <c r="AL31" s="1"/>
  <c r="AK30"/>
  <c r="AL30" s="1"/>
  <c r="AK29"/>
  <c r="AL29" s="1"/>
  <c r="AK28"/>
  <c r="AK27"/>
  <c r="AL27" s="1"/>
  <c r="AK26"/>
  <c r="AK25"/>
  <c r="AL25" s="1"/>
  <c r="AK19"/>
  <c r="AL19" s="1"/>
  <c r="AK18"/>
  <c r="AK17"/>
  <c r="AL17" s="1"/>
  <c r="AK16"/>
  <c r="AK15"/>
  <c r="AK13"/>
  <c r="AK9"/>
  <c r="F4"/>
  <c r="L4" s="1"/>
  <c r="E14" i="3"/>
  <c r="G4" i="1"/>
  <c r="F14" i="3"/>
  <c r="F30"/>
  <c r="E30"/>
  <c r="E28"/>
  <c r="F26"/>
  <c r="E26"/>
  <c r="F25"/>
  <c r="E25"/>
  <c r="E21"/>
  <c r="E17"/>
  <c r="E20"/>
  <c r="F20"/>
  <c r="F17"/>
  <c r="R31" i="1"/>
  <c r="R30"/>
  <c r="R29"/>
  <c r="R28"/>
  <c r="R27"/>
  <c r="R26"/>
  <c r="R25"/>
  <c r="N14"/>
  <c r="O14" s="1"/>
  <c r="S40"/>
  <c r="N40"/>
  <c r="O40" s="1"/>
  <c r="AL39"/>
  <c r="Y39"/>
  <c r="Z39" s="1"/>
  <c r="N39"/>
  <c r="O39" s="1"/>
  <c r="Y38"/>
  <c r="AC38" s="1"/>
  <c r="N38"/>
  <c r="O38" s="1"/>
  <c r="Y31"/>
  <c r="Z31" s="1"/>
  <c r="AA31" s="1"/>
  <c r="Y30"/>
  <c r="Y29"/>
  <c r="Z29" s="1"/>
  <c r="AA29" s="1"/>
  <c r="Y28"/>
  <c r="Y27"/>
  <c r="Z27" s="1"/>
  <c r="Y26"/>
  <c r="Z26" s="1"/>
  <c r="Y25"/>
  <c r="Z25" s="1"/>
  <c r="Y19"/>
  <c r="Z19" s="1"/>
  <c r="Y18"/>
  <c r="Z18" s="1"/>
  <c r="Y17"/>
  <c r="AC17" s="1"/>
  <c r="Y16"/>
  <c r="Z16" s="1"/>
  <c r="Y15"/>
  <c r="Z15" s="1"/>
  <c r="Y13"/>
  <c r="N19"/>
  <c r="O19" s="1"/>
  <c r="AL18"/>
  <c r="AC18"/>
  <c r="S18"/>
  <c r="N18"/>
  <c r="O18" s="1"/>
  <c r="S17"/>
  <c r="N17"/>
  <c r="O17" s="1"/>
  <c r="AL28"/>
  <c r="N28"/>
  <c r="O28" s="1"/>
  <c r="N31"/>
  <c r="O31" s="1"/>
  <c r="N30"/>
  <c r="O30" s="1"/>
  <c r="N29"/>
  <c r="O29" s="1"/>
  <c r="AL16"/>
  <c r="N16"/>
  <c r="O16" s="1"/>
  <c r="AL15"/>
  <c r="N15"/>
  <c r="O15" s="1"/>
  <c r="AL26"/>
  <c r="AL13"/>
  <c r="AL9"/>
  <c r="N27"/>
  <c r="O27" s="1"/>
  <c r="Y9"/>
  <c r="AC9" s="1"/>
  <c r="N26"/>
  <c r="O26" s="1"/>
  <c r="N25"/>
  <c r="O25" s="1"/>
  <c r="N13"/>
  <c r="O13" s="1"/>
  <c r="S9"/>
  <c r="N9"/>
  <c r="O9" s="1"/>
  <c r="Z13" l="1"/>
  <c r="AA13" s="1"/>
  <c r="AC13"/>
  <c r="Q25"/>
  <c r="Q27"/>
  <c r="Q29"/>
  <c r="Q31"/>
  <c r="M4"/>
  <c r="AC19"/>
  <c r="AD19" s="1"/>
  <c r="AI11"/>
  <c r="AM11" s="1"/>
  <c r="AN11" s="1"/>
  <c r="AG11"/>
  <c r="AI12"/>
  <c r="AM12" s="1"/>
  <c r="AN12" s="1"/>
  <c r="AG12"/>
  <c r="AC16"/>
  <c r="Q26"/>
  <c r="Q28"/>
  <c r="Q30"/>
  <c r="Z9"/>
  <c r="R9"/>
  <c r="R16"/>
  <c r="AF16" s="1"/>
  <c r="R18"/>
  <c r="S10"/>
  <c r="R10"/>
  <c r="AF10" s="1"/>
  <c r="AH10" s="1"/>
  <c r="Z28"/>
  <c r="AA28" s="1"/>
  <c r="Z30"/>
  <c r="AA30" s="1"/>
  <c r="Z17"/>
  <c r="R38"/>
  <c r="R13"/>
  <c r="AF13" s="1"/>
  <c r="R15"/>
  <c r="AF15" s="1"/>
  <c r="R17"/>
  <c r="R19"/>
  <c r="AF19" s="1"/>
  <c r="AH19" s="1"/>
  <c r="AG19" s="1"/>
  <c r="AD10"/>
  <c r="Z10"/>
  <c r="AA10" s="1"/>
  <c r="AH16"/>
  <c r="AG16" s="1"/>
  <c r="AH15"/>
  <c r="AG15" s="1"/>
  <c r="AF38"/>
  <c r="AG27"/>
  <c r="AG25"/>
  <c r="AG30"/>
  <c r="AI30"/>
  <c r="AM30" s="1"/>
  <c r="AG26"/>
  <c r="AF17"/>
  <c r="AF9"/>
  <c r="AF18"/>
  <c r="AD14"/>
  <c r="AP14" s="1"/>
  <c r="AR14" s="1"/>
  <c r="S14"/>
  <c r="S19"/>
  <c r="AD38"/>
  <c r="AA39"/>
  <c r="Z38"/>
  <c r="AA38" s="1"/>
  <c r="AD17"/>
  <c r="AD18"/>
  <c r="AA17"/>
  <c r="AA18"/>
  <c r="AA19"/>
  <c r="AD13"/>
  <c r="AD16"/>
  <c r="AC15"/>
  <c r="AD15" s="1"/>
  <c r="AD9"/>
  <c r="S16"/>
  <c r="AA16"/>
  <c r="S15"/>
  <c r="AA15"/>
  <c r="AA9"/>
  <c r="AA26"/>
  <c r="AA25"/>
  <c r="AA27"/>
  <c r="AW11" l="1"/>
  <c r="AX11" s="1"/>
  <c r="AS11"/>
  <c r="AT11" s="1"/>
  <c r="AO11"/>
  <c r="AP11" s="1"/>
  <c r="AW12"/>
  <c r="AX12" s="1"/>
  <c r="AS12"/>
  <c r="AT12" s="1"/>
  <c r="AO12"/>
  <c r="AP12" s="1"/>
  <c r="AH38"/>
  <c r="AG38" s="1"/>
  <c r="AI10"/>
  <c r="AG10"/>
  <c r="AH13"/>
  <c r="AG13" s="1"/>
  <c r="AH18"/>
  <c r="AG18" s="1"/>
  <c r="AH17"/>
  <c r="AG17" s="1"/>
  <c r="AH9"/>
  <c r="AG9" s="1"/>
  <c r="AG29"/>
  <c r="AI29"/>
  <c r="AM29" s="1"/>
  <c r="AG31"/>
  <c r="AI31"/>
  <c r="AM31" s="1"/>
  <c r="AG28"/>
  <c r="AI28"/>
  <c r="AM28" s="1"/>
  <c r="AI17"/>
  <c r="AX14"/>
  <c r="AY14" s="1"/>
  <c r="AQ14"/>
  <c r="AT14"/>
  <c r="AP40"/>
  <c r="AT40"/>
  <c r="AX40"/>
  <c r="AZ40" s="1"/>
  <c r="AI15"/>
  <c r="AI16"/>
  <c r="AM16" s="1"/>
  <c r="AI25"/>
  <c r="AM25" s="1"/>
  <c r="AI26"/>
  <c r="AM26" s="1"/>
  <c r="AI27"/>
  <c r="AM27" s="1"/>
  <c r="AQ11" l="1"/>
  <c r="AR11"/>
  <c r="AY11"/>
  <c r="AZ11"/>
  <c r="AU11"/>
  <c r="AV11"/>
  <c r="AQ12"/>
  <c r="AR12"/>
  <c r="AY12"/>
  <c r="AZ12"/>
  <c r="AU12"/>
  <c r="AV12"/>
  <c r="AM10"/>
  <c r="AN10" s="1"/>
  <c r="AM17"/>
  <c r="AN17" s="1"/>
  <c r="AM15"/>
  <c r="AN15" s="1"/>
  <c r="AI18"/>
  <c r="AZ14"/>
  <c r="AI13"/>
  <c r="AU14"/>
  <c r="AV14"/>
  <c r="AR40"/>
  <c r="AQ40"/>
  <c r="AU40"/>
  <c r="AV40"/>
  <c r="AY40"/>
  <c r="AI19"/>
  <c r="AN16"/>
  <c r="AI9"/>
  <c r="AO15" l="1"/>
  <c r="AP15" s="1"/>
  <c r="AS15"/>
  <c r="AT15" s="1"/>
  <c r="AW15"/>
  <c r="AX15" s="1"/>
  <c r="AY15" s="1"/>
  <c r="AS10"/>
  <c r="AT10" s="1"/>
  <c r="AU10" s="1"/>
  <c r="AW10"/>
  <c r="AX10" s="1"/>
  <c r="AZ10" s="1"/>
  <c r="AO10"/>
  <c r="AP10" s="1"/>
  <c r="AQ10" s="1"/>
  <c r="AO17"/>
  <c r="AP17" s="1"/>
  <c r="AQ17" s="1"/>
  <c r="AW17"/>
  <c r="AX17" s="1"/>
  <c r="AY17" s="1"/>
  <c r="AS17"/>
  <c r="AT17" s="1"/>
  <c r="AU17" s="1"/>
  <c r="AM19"/>
  <c r="AN19" s="1"/>
  <c r="AM13"/>
  <c r="AN13" s="1"/>
  <c r="AM18"/>
  <c r="AN18" s="1"/>
  <c r="AM9"/>
  <c r="AN9" s="1"/>
  <c r="AO9" s="1"/>
  <c r="AP9" s="1"/>
  <c r="AR17"/>
  <c r="AZ17"/>
  <c r="AO16"/>
  <c r="AP16" s="1"/>
  <c r="AS16"/>
  <c r="AT16" s="1"/>
  <c r="AW16"/>
  <c r="AX16" s="1"/>
  <c r="AV17" l="1"/>
  <c r="AY10"/>
  <c r="AZ15"/>
  <c r="AV10"/>
  <c r="AR10"/>
  <c r="AW13"/>
  <c r="AX13" s="1"/>
  <c r="AO13"/>
  <c r="AP13" s="1"/>
  <c r="AS13"/>
  <c r="AT13" s="1"/>
  <c r="AV13" s="1"/>
  <c r="AW18"/>
  <c r="AX18" s="1"/>
  <c r="AO18"/>
  <c r="AP18" s="1"/>
  <c r="AS18"/>
  <c r="AT18" s="1"/>
  <c r="AW19"/>
  <c r="AX19" s="1"/>
  <c r="AS19"/>
  <c r="AT19" s="1"/>
  <c r="AV19" s="1"/>
  <c r="AO19"/>
  <c r="AP19" s="1"/>
  <c r="AQ19" s="1"/>
  <c r="AR15"/>
  <c r="AQ15"/>
  <c r="AU15"/>
  <c r="AV15"/>
  <c r="AU19"/>
  <c r="AV16"/>
  <c r="AU16"/>
  <c r="AR16"/>
  <c r="AQ16"/>
  <c r="AR9"/>
  <c r="AQ9"/>
  <c r="AZ16"/>
  <c r="AY16"/>
  <c r="AS9"/>
  <c r="AT9" s="1"/>
  <c r="AW9"/>
  <c r="AX9" s="1"/>
  <c r="AR19" l="1"/>
  <c r="AZ19"/>
  <c r="AY19"/>
  <c r="AQ18"/>
  <c r="AR18"/>
  <c r="AY13"/>
  <c r="AZ13"/>
  <c r="AU18"/>
  <c r="AV18"/>
  <c r="AZ18"/>
  <c r="AY18"/>
  <c r="AQ13"/>
  <c r="AR13"/>
  <c r="AU13"/>
  <c r="AV9"/>
  <c r="AU9"/>
  <c r="AZ9"/>
  <c r="AY9"/>
  <c r="S38" l="1"/>
  <c r="AI38" l="1"/>
  <c r="AF39"/>
  <c r="AM38" l="1"/>
  <c r="AN38" s="1"/>
  <c r="AH39"/>
  <c r="AG39" s="1"/>
  <c r="R39"/>
  <c r="Q39" s="1"/>
  <c r="AS38" l="1"/>
  <c r="AT38" s="1"/>
  <c r="AO38"/>
  <c r="AP38" s="1"/>
  <c r="AQ38" s="1"/>
  <c r="AW38"/>
  <c r="AX38" s="1"/>
  <c r="AI39"/>
  <c r="AM39" s="1"/>
  <c r="AZ38"/>
  <c r="AY38"/>
  <c r="AU38"/>
  <c r="AV38"/>
  <c r="AR38" l="1"/>
  <c r="S25"/>
  <c r="P25"/>
  <c r="AC25" s="1"/>
  <c r="AD25" l="1"/>
  <c r="AN25"/>
  <c r="AS25" l="1"/>
  <c r="AT25" s="1"/>
  <c r="AU25" s="1"/>
  <c r="AO25"/>
  <c r="AW25"/>
  <c r="AV25" l="1"/>
  <c r="AX25"/>
  <c r="AY25" l="1"/>
  <c r="AZ25"/>
  <c r="S26"/>
  <c r="S28"/>
  <c r="S29"/>
  <c r="S27"/>
  <c r="S30"/>
  <c r="S31"/>
  <c r="P26"/>
  <c r="AC26" s="1"/>
  <c r="AN26" s="1"/>
  <c r="P27"/>
  <c r="AC27"/>
  <c r="AN27" s="1"/>
  <c r="P28"/>
  <c r="AC28"/>
  <c r="AD28" s="1"/>
  <c r="P30"/>
  <c r="AC30" s="1"/>
  <c r="P31"/>
  <c r="AC31" s="1"/>
  <c r="P29"/>
  <c r="AC29" s="1"/>
  <c r="AS27" l="1"/>
  <c r="AO27"/>
  <c r="AW27"/>
  <c r="AW26"/>
  <c r="AS26"/>
  <c r="AO26"/>
  <c r="AN30"/>
  <c r="AD30"/>
  <c r="AN29"/>
  <c r="AD29"/>
  <c r="AN31"/>
  <c r="AD31"/>
  <c r="AN28"/>
  <c r="AD27"/>
  <c r="AD26"/>
  <c r="AW28" l="1"/>
  <c r="AO28"/>
  <c r="AP28" s="1"/>
  <c r="AS28"/>
  <c r="AS31"/>
  <c r="AT31" s="1"/>
  <c r="AU31" s="1"/>
  <c r="AO31"/>
  <c r="AW31"/>
  <c r="AX31" s="1"/>
  <c r="AY31" s="1"/>
  <c r="AS29"/>
  <c r="AO29"/>
  <c r="AP29" s="1"/>
  <c r="AQ29" s="1"/>
  <c r="AW29"/>
  <c r="AW30"/>
  <c r="AX30" s="1"/>
  <c r="AY30" s="1"/>
  <c r="AS30"/>
  <c r="AO30"/>
  <c r="AP30" s="1"/>
  <c r="AQ30" s="1"/>
  <c r="AT26"/>
  <c r="AU26" s="1"/>
  <c r="AX26"/>
  <c r="AY26" s="1"/>
  <c r="AP26"/>
  <c r="AQ26" s="1"/>
  <c r="AX28"/>
  <c r="AT28"/>
  <c r="AP27"/>
  <c r="AQ27" s="1"/>
  <c r="AX27"/>
  <c r="AY27" s="1"/>
  <c r="AT27"/>
  <c r="AU27" s="1"/>
  <c r="AP31"/>
  <c r="AQ31" s="1"/>
  <c r="AX29"/>
  <c r="AY29" s="1"/>
  <c r="AT29"/>
  <c r="AU29" s="1"/>
  <c r="AT30"/>
  <c r="AU30" s="1"/>
  <c r="AV30" l="1"/>
  <c r="AR31"/>
  <c r="AR29"/>
  <c r="AZ27"/>
  <c r="AU28"/>
  <c r="AV28"/>
  <c r="AY28"/>
  <c r="AZ28"/>
  <c r="AZ30"/>
  <c r="AR30"/>
  <c r="AV29"/>
  <c r="AZ29"/>
  <c r="AV31"/>
  <c r="AR27"/>
  <c r="AV27"/>
  <c r="AR26"/>
  <c r="AV26"/>
  <c r="AQ28"/>
  <c r="AR28"/>
  <c r="AZ31"/>
  <c r="AZ26"/>
  <c r="S39"/>
  <c r="P39"/>
  <c r="AC39" s="1"/>
  <c r="AN39" s="1"/>
  <c r="AW39" l="1"/>
  <c r="AS39"/>
  <c r="AO39"/>
  <c r="AD39"/>
  <c r="AP39" l="1"/>
  <c r="AQ39" s="1"/>
  <c r="AX39"/>
  <c r="AY39" s="1"/>
  <c r="AT39"/>
  <c r="AU39" s="1"/>
  <c r="AZ39" l="1"/>
  <c r="AR39"/>
  <c r="AV39"/>
  <c r="AP25"/>
  <c r="AQ25" s="1"/>
  <c r="AR25" l="1"/>
  <c r="K24" i="3"/>
  <c r="K27"/>
  <c r="K17"/>
  <c r="M17" s="1"/>
  <c r="K23"/>
  <c r="M23" s="1"/>
  <c r="K20"/>
  <c r="L20" s="1"/>
  <c r="K15"/>
  <c r="M15" s="1"/>
  <c r="K28"/>
  <c r="M28" s="1"/>
  <c r="K14"/>
  <c r="L14" s="1"/>
  <c r="K16"/>
  <c r="M16" s="1"/>
  <c r="K25"/>
  <c r="M25" s="1"/>
  <c r="K19"/>
  <c r="M19" s="1"/>
  <c r="K21"/>
  <c r="M21" s="1"/>
  <c r="K30"/>
  <c r="M30" s="1"/>
  <c r="K22"/>
  <c r="M22" s="1"/>
  <c r="K26"/>
  <c r="M26" s="1"/>
  <c r="K29"/>
  <c r="L29" s="1"/>
  <c r="K18"/>
  <c r="M18" s="1"/>
  <c r="K31"/>
  <c r="M31" s="1"/>
  <c r="K12"/>
  <c r="M12" s="1"/>
  <c r="K13"/>
  <c r="M13" l="1"/>
  <c r="L13"/>
  <c r="L27"/>
  <c r="M27"/>
  <c r="L24"/>
  <c r="M24"/>
  <c r="L26"/>
  <c r="L21"/>
  <c r="L25"/>
  <c r="L16"/>
  <c r="L15"/>
  <c r="M20"/>
  <c r="L23"/>
  <c r="L17"/>
  <c r="L31"/>
  <c r="L18"/>
  <c r="M29"/>
  <c r="L22"/>
  <c r="L30"/>
  <c r="L19"/>
  <c r="M14"/>
  <c r="L28"/>
  <c r="L12"/>
</calcChain>
</file>

<file path=xl/comments1.xml><?xml version="1.0" encoding="utf-8"?>
<comments xmlns="http://schemas.openxmlformats.org/spreadsheetml/2006/main">
  <authors>
    <author>Shirley</author>
  </authors>
  <commentList>
    <comment ref="P6" authorId="0">
      <text>
        <r>
          <rPr>
            <sz val="9"/>
            <color indexed="81"/>
            <rFont val="宋体"/>
            <charset val="134"/>
          </rPr>
          <t>Also hot side for the heat engine.</t>
        </r>
      </text>
    </comment>
    <comment ref="Q6" authorId="0">
      <text>
        <r>
          <rPr>
            <sz val="9"/>
            <color indexed="81"/>
            <rFont val="宋体"/>
            <charset val="134"/>
          </rPr>
          <t>Also hot side for the heat engine.</t>
        </r>
      </text>
    </comment>
    <comment ref="S6" authorId="0">
      <text>
        <r>
          <rPr>
            <sz val="9"/>
            <color indexed="81"/>
            <rFont val="宋体"/>
            <charset val="134"/>
          </rPr>
          <t>Also hot side for the heat engine.</t>
        </r>
      </text>
    </comment>
    <comment ref="AO8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AS8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AW8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9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9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9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9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0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0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0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1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1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2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2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2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2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2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2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2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3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3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3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3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3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3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3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4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PV panel concentration ratio.</t>
        </r>
      </text>
    </comment>
    <comment ref="U14" authorId="0">
      <text>
        <r>
          <rPr>
            <b/>
            <sz val="9"/>
            <color indexed="81"/>
            <rFont val="Tahoma"/>
            <family val="2"/>
          </rPr>
          <t>mV per degree C or K MPPT power drop off as the temperature increases.</t>
        </r>
      </text>
    </comment>
    <comment ref="AC14" authorId="0">
      <text>
        <r>
          <rPr>
            <b/>
            <sz val="9"/>
            <color indexed="81"/>
            <rFont val="Tahoma"/>
            <family val="2"/>
          </rPr>
          <t>PV Panel MPPT Max Power Point Efficiency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5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5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6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6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6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6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7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7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7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8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8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8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8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19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1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1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1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19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19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19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Q22" authorId="0">
      <text>
        <r>
          <rPr>
            <sz val="9"/>
            <color indexed="81"/>
            <rFont val="宋体"/>
            <charset val="134"/>
          </rPr>
          <t>Also hot side for the heat engine.</t>
        </r>
      </text>
    </comment>
    <comment ref="S22" authorId="0">
      <text>
        <r>
          <rPr>
            <sz val="9"/>
            <color indexed="81"/>
            <rFont val="宋体"/>
            <charset val="134"/>
          </rPr>
          <t>Also hot side for the heat engine.</t>
        </r>
      </text>
    </comment>
    <comment ref="AO24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AS24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AW24" authorId="0">
      <text>
        <r>
          <rPr>
            <sz val="9"/>
            <color indexed="81"/>
            <rFont val="宋体"/>
            <charset val="134"/>
          </rPr>
          <t>Percent of the Carnot efficiency.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25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2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2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25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25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25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25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26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2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2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26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26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26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26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27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2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2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27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27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27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27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28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2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2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2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28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28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28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29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2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2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2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29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30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3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3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30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30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30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30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31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3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3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31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31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31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31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38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3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3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38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38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38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38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39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U3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V3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W39" authorId="0">
      <text>
        <r>
          <rPr>
            <sz val="9"/>
            <color indexed="81"/>
            <rFont val="宋体"/>
            <charset val="134"/>
          </rPr>
          <t>1X Stasis Temp of the collector.</t>
        </r>
      </text>
    </comment>
    <comment ref="Y39" authorId="0">
      <text>
        <r>
          <rPr>
            <sz val="9"/>
            <color indexed="81"/>
            <rFont val="宋体"/>
            <charset val="134"/>
          </rPr>
          <t>Max theoretical temperature.</t>
        </r>
      </text>
    </comment>
    <comment ref="AF39" authorId="0">
      <text>
        <r>
          <rPr>
            <b/>
            <sz val="9"/>
            <color indexed="81"/>
            <rFont val="Tahoma"/>
            <family val="2"/>
          </rPr>
          <t>Rankine Engine Input Pressure.</t>
        </r>
      </text>
    </comment>
    <comment ref="AJ39" authorId="0">
      <text>
        <r>
          <rPr>
            <b/>
            <sz val="9"/>
            <color indexed="81"/>
            <rFont val="Tahoma"/>
            <family val="2"/>
          </rPr>
          <t>Heat Engine Rejection Temp.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Total capture area of the collector. Including reflectors for concentrators.</t>
        </r>
      </text>
    </comment>
    <comment ref="L40" authorId="0">
      <text>
        <r>
          <rPr>
            <sz val="9"/>
            <color indexed="81"/>
            <rFont val="宋体"/>
            <charset val="134"/>
          </rPr>
          <t>Assuming the light is hitting the collector normal to the surface.</t>
        </r>
      </text>
    </comment>
    <comment ref="T40" authorId="0">
      <text>
        <r>
          <rPr>
            <b/>
            <sz val="9"/>
            <color indexed="81"/>
            <rFont val="Tahoma"/>
            <family val="2"/>
          </rPr>
          <t>PV panel concentration ratio.</t>
        </r>
      </text>
    </comment>
    <comment ref="U40" authorId="0">
      <text>
        <r>
          <rPr>
            <b/>
            <sz val="9"/>
            <color indexed="81"/>
            <rFont val="Tahoma"/>
            <family val="2"/>
          </rPr>
          <t>mV per degree C or K MPPT power drop off as the temperature increases.</t>
        </r>
      </text>
    </comment>
    <comment ref="AC40" authorId="0">
      <text>
        <r>
          <rPr>
            <b/>
            <sz val="9"/>
            <color indexed="81"/>
            <rFont val="Tahoma"/>
            <family val="2"/>
          </rPr>
          <t>PV Panel MPPT Max Power Point Efficiency</t>
        </r>
      </text>
    </comment>
  </commentList>
</comments>
</file>

<file path=xl/comments2.xml><?xml version="1.0" encoding="utf-8"?>
<comments xmlns="http://schemas.openxmlformats.org/spreadsheetml/2006/main">
  <authors>
    <author>Shirley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Shirley: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<sst xmlns="http://schemas.openxmlformats.org/spreadsheetml/2006/main" count="480" uniqueCount="174">
  <si>
    <t>Basic Solar Collector &amp; Thermodynamic Calculations</t>
  </si>
  <si>
    <t>Note! I define Stasis Temperature as the temperature rise above Ambient temperature at 1X concentration.</t>
  </si>
  <si>
    <t>hide</t>
  </si>
  <si>
    <t>Cosine</t>
  </si>
  <si>
    <t>Total</t>
  </si>
  <si>
    <t>Solar</t>
  </si>
  <si>
    <t>Operating</t>
  </si>
  <si>
    <t>Concen-</t>
  </si>
  <si>
    <t>Stasis</t>
  </si>
  <si>
    <t>Loss</t>
  </si>
  <si>
    <t>Max</t>
  </si>
  <si>
    <t>Collector</t>
  </si>
  <si>
    <t>Carnot</t>
  </si>
  <si>
    <t>Shaft</t>
  </si>
  <si>
    <t>Capture</t>
  </si>
  <si>
    <t>Insolation</t>
  </si>
  <si>
    <t>Temp</t>
  </si>
  <si>
    <t>tration</t>
  </si>
  <si>
    <t>Angle</t>
  </si>
  <si>
    <t>Output</t>
  </si>
  <si>
    <t>Best</t>
  </si>
  <si>
    <t>Power</t>
  </si>
  <si>
    <t>Better</t>
  </si>
  <si>
    <t>Good</t>
  </si>
  <si>
    <t>F</t>
  </si>
  <si>
    <t>C</t>
  </si>
  <si>
    <t>K</t>
  </si>
  <si>
    <t>Ratio</t>
  </si>
  <si>
    <t>Delta F</t>
  </si>
  <si>
    <t>Deg</t>
  </si>
  <si>
    <t>Black Plastic Tubing on Ground</t>
  </si>
  <si>
    <t>Black Plastic Tubing Tracked</t>
  </si>
  <si>
    <t>Parabolic Trough</t>
  </si>
  <si>
    <t>Parabolic Dish</t>
  </si>
  <si>
    <t>Env Solar</t>
  </si>
  <si>
    <t>Cold</t>
  </si>
  <si>
    <t>Hide</t>
  </si>
  <si>
    <t>Rejected</t>
  </si>
  <si>
    <t>Heat</t>
  </si>
  <si>
    <t>%</t>
  </si>
  <si>
    <t>Side</t>
  </si>
  <si>
    <t>Ambient Temperature is the point where the collector is operating at 100% efficiency, (although, usually, still not useful).</t>
  </si>
  <si>
    <t xml:space="preserve">   Usually this is a flat plate collector with 2 layers of 1/2" transparent insulation.</t>
  </si>
  <si>
    <t xml:space="preserve">   Stasis temperature is the point where the collector is operating at 0% efficiency, (no power extracted from the collector, not useful).     </t>
  </si>
  <si>
    <t xml:space="preserve">   Stasis Temperature must be tested for your particular collector and insulation combination. I often use 340F as this is what my test collector showed.</t>
  </si>
  <si>
    <t>Flat panel water heater</t>
  </si>
  <si>
    <t>Flat panel water with wings</t>
  </si>
  <si>
    <t>Note! I didn't include other extraneous efficiencies such as Reflector, Glass, Piping heat loss, Piping friction, Feed Water Pumping loss, and probably others.</t>
  </si>
  <si>
    <t>gage psi</t>
  </si>
  <si>
    <t>Rankine</t>
  </si>
  <si>
    <t>Eff</t>
  </si>
  <si>
    <t>I added the use of a "Differential Pressure reduction", DP, valve for use with a Rankine Engine in solar applications.</t>
  </si>
  <si>
    <t>DP</t>
  </si>
  <si>
    <t>Valve</t>
  </si>
  <si>
    <t>Pressure</t>
  </si>
  <si>
    <t>Hot Side</t>
  </si>
  <si>
    <t>psiG</t>
  </si>
  <si>
    <t>Temp F</t>
  </si>
  <si>
    <t>Ambi-</t>
  </si>
  <si>
    <t>ent</t>
  </si>
  <si>
    <t>Opera-</t>
  </si>
  <si>
    <t>ting</t>
  </si>
  <si>
    <t>Other</t>
  </si>
  <si>
    <t>Eff %</t>
  </si>
  <si>
    <t>tor</t>
  </si>
  <si>
    <t>Collec-</t>
  </si>
  <si>
    <t>Hot</t>
  </si>
  <si>
    <t>Basic</t>
  </si>
  <si>
    <t>Differe-</t>
  </si>
  <si>
    <t>ntial  psi</t>
  </si>
  <si>
    <t xml:space="preserve">   However, I did insert a column, Other Eff, where collector efficiencies can be added. Heat engine extra losses can be added under the Total Rankine column.</t>
  </si>
  <si>
    <t>Calculations based on Operating Temperature.</t>
  </si>
  <si>
    <t>Calculations based on Hot Side Pressure.</t>
  </si>
  <si>
    <t>V</t>
  </si>
  <si>
    <t>I'm using formulas for the steam tables to convert between water temperature &amp; pressure.</t>
  </si>
  <si>
    <t>Some columns are hidden. Unhide the sheet to see the whole thing. Line 1 indicates which columns I normally hide.</t>
  </si>
  <si>
    <r>
      <t>To use this spreadsheet you can simply edit the</t>
    </r>
    <r>
      <rPr>
        <b/>
        <sz val="9"/>
        <color rgb="FF00D400"/>
        <rFont val="Calibri"/>
        <family val="2"/>
      </rPr>
      <t xml:space="preserve"> Green entries</t>
    </r>
    <r>
      <rPr>
        <sz val="9"/>
        <color indexed="8"/>
        <rFont val="Calibri"/>
        <family val="2"/>
        <charset val="134"/>
      </rPr>
      <t xml:space="preserve"> in the line.</t>
    </r>
  </si>
  <si>
    <r>
      <t xml:space="preserve">   Or insert a line then copy a line into the new inserted line. Then edit the </t>
    </r>
    <r>
      <rPr>
        <b/>
        <sz val="9"/>
        <color rgb="FF00D400"/>
        <rFont val="Calibri"/>
        <family val="2"/>
      </rPr>
      <t>green entries</t>
    </r>
    <r>
      <rPr>
        <sz val="9"/>
        <color indexed="8"/>
        <rFont val="Calibri"/>
        <family val="2"/>
        <charset val="134"/>
      </rPr>
      <t>.</t>
    </r>
  </si>
  <si>
    <t>A super handy feature in Excel is the "Goal Seek" function. You can find this under Data / What if Analysis.</t>
  </si>
  <si>
    <r>
      <t xml:space="preserve">Try to keep the sheet "Protected" as some of the formulas are very complicated and easy to dammaged especially when goal seaking. Only edit the </t>
    </r>
    <r>
      <rPr>
        <b/>
        <sz val="9"/>
        <color rgb="FF00D400"/>
        <rFont val="Calibri"/>
        <family val="2"/>
      </rPr>
      <t>Green Entries</t>
    </r>
    <r>
      <rPr>
        <sz val="9"/>
        <color indexed="8"/>
        <rFont val="Calibri"/>
        <family val="2"/>
        <charset val="134"/>
      </rPr>
      <t>.</t>
    </r>
  </si>
  <si>
    <t>Have fun!!!!!</t>
  </si>
  <si>
    <t>PV Panel</t>
  </si>
  <si>
    <t>Based on Hot Side Pressure</t>
  </si>
  <si>
    <t>Based on Operating Temp</t>
  </si>
  <si>
    <t>http://ddbonline.ddbst.de/AntoineCalculation/AntoineCalculationCGI.exe</t>
  </si>
  <si>
    <t>A1</t>
  </si>
  <si>
    <t>B1</t>
  </si>
  <si>
    <t>C1</t>
  </si>
  <si>
    <t>A2</t>
  </si>
  <si>
    <t>B2</t>
  </si>
  <si>
    <t>C2</t>
  </si>
  <si>
    <t>Benzene</t>
  </si>
  <si>
    <t>Acetone</t>
  </si>
  <si>
    <t>Ethanol</t>
  </si>
  <si>
    <t>Temp C</t>
  </si>
  <si>
    <t>Methane</t>
  </si>
  <si>
    <t>Methanol</t>
  </si>
  <si>
    <t>Hexane</t>
  </si>
  <si>
    <t>1,3-Butadiene</t>
  </si>
  <si>
    <t>MM C</t>
  </si>
  <si>
    <t>MM psiG</t>
  </si>
  <si>
    <t>test psig</t>
  </si>
  <si>
    <t>test C</t>
  </si>
  <si>
    <t>test in C</t>
  </si>
  <si>
    <t>http://en.wikipedia.org/wiki/Antoine_equation#The_equation</t>
  </si>
  <si>
    <t>http://www1.diccism.unipi.it/Nicolella_Cristiano/chimica_applicata/materiale/dati/dati_pdf/Costanti_Antoine.pdf</t>
  </si>
  <si>
    <t>Calculate Saturated Vapor Pressure table of Parameters for the Antoine Equation.</t>
  </si>
  <si>
    <t>This table is based on deg C and mm of mercury pressure. The formulas have the conversions to psiG in lbs.</t>
  </si>
  <si>
    <t>The MM, Max Min, values are used to select one of 2 sets of constants, 1 or 2, to be used in the formulas.</t>
  </si>
  <si>
    <t>http://webbook.nist.gov/cgi/cbook.cgi?ID=C75718&amp;Mask=4&amp;Type=ANTOINE&amp;Plot=on#ANTOINE</t>
  </si>
  <si>
    <t>http://webbook.nist.gov/cgi/cbook.cgi?ID=C75456&amp;Mask=4&amp;Type=ANTOINE&amp;Plot=on#ANTOINE</t>
  </si>
  <si>
    <t>R-12 Dichlorodifluoromethane</t>
  </si>
  <si>
    <t>R-22 Difluorochloromethane</t>
  </si>
  <si>
    <t>Psat=exp^(14.41-(2094/(t-33.06)))  in kPa &amp; K</t>
  </si>
  <si>
    <t>Psat(12C)=445.2 kPa, Psat(7C)=376.2 kPa, Tsat(189.5 kPa) = 261 K = -12C</t>
  </si>
  <si>
    <t>Things to do:</t>
  </si>
  <si>
    <t>http://nptel.ac.in/courses/112105129/pdf/R&amp;AC%20Lecture%2024.pdf         Page 39 or last page</t>
  </si>
  <si>
    <t>2-Propanol, Isopropyl alcohol</t>
  </si>
  <si>
    <t>http://en.wikipedia.org/wiki/1,3-Butadiene</t>
  </si>
  <si>
    <t>http://en.wikipedia.org/wiki/N-Butanol</t>
  </si>
  <si>
    <t>1-Butanol</t>
  </si>
  <si>
    <t>Water H2O</t>
  </si>
  <si>
    <t>http://en.wikipedia.org/w/index.php?title=Isopropyl_alcohol</t>
  </si>
  <si>
    <t>http://en.wikipedia.org/wiki/Ethanol</t>
  </si>
  <si>
    <t>http://en.wikipedia.org/wiki/Benzene</t>
  </si>
  <si>
    <t>http://en.wikipedia.org/wiki/Methanol</t>
  </si>
  <si>
    <t>http://en.wikipedia.org/wiki/Hexane</t>
  </si>
  <si>
    <t>http://en.wikipedia.org/wiki/Acetone</t>
  </si>
  <si>
    <t>http://en.wikipedia.org/wiki/Methane</t>
  </si>
  <si>
    <t>http://en.wikipedia.org/wiki/Dichlorodifluoromethane</t>
  </si>
  <si>
    <t>http://en.wikipedia.org/wiki/Chlorodifluoromethane</t>
  </si>
  <si>
    <t>http://en.wikipedia.org/wiki/1,1,1,2-Tetrafluoroethane</t>
  </si>
  <si>
    <t>R-134a 1,1,1,2-Tetrafluoroethane</t>
  </si>
  <si>
    <t>1-Hexene</t>
  </si>
  <si>
    <t>http://en.wikipedia.org/wiki/1-Hexene</t>
  </si>
  <si>
    <t>Cyclohexane</t>
  </si>
  <si>
    <t>Proprionitrile</t>
  </si>
  <si>
    <t>http://en.wikipedia.org/wiki/Cyclohexane</t>
  </si>
  <si>
    <t>MM psiA</t>
  </si>
  <si>
    <t>Tetrahydrofuran</t>
  </si>
  <si>
    <t>http://en.wikipedia.org/wiki/Tetrahydrofuran</t>
  </si>
  <si>
    <t>psiA</t>
  </si>
  <si>
    <t>Diethyl ether</t>
  </si>
  <si>
    <t>http://en.wikipedia.org/wiki/Diethyl_ether</t>
  </si>
  <si>
    <t>Dimethyl ether</t>
  </si>
  <si>
    <t>p = 10^(A-(B/(C + T))), p = EXP((A-(B/(C + T))*),   T = (B/(A-log10(p)))-C</t>
  </si>
  <si>
    <t>http://en.wikipedia.org/wiki/Dimethyl_ether</t>
  </si>
  <si>
    <t>Naphthalene</t>
  </si>
  <si>
    <t>http://en.wikipedia.org/wiki/Naphthalene</t>
  </si>
  <si>
    <t>Chloroform</t>
  </si>
  <si>
    <t>http://en.wikipedia.org/wiki/Chloroform</t>
  </si>
  <si>
    <t>tert-Butanol</t>
  </si>
  <si>
    <t>http://en.wikipedia.org/wiki/Tert-Butyl_alcohol</t>
  </si>
  <si>
    <t>Potassium chloride</t>
  </si>
  <si>
    <t>http://en.wikipedia.org/wiki/Potassium_chloride#Uses</t>
  </si>
  <si>
    <t>C1 C</t>
  </si>
  <si>
    <t>C2 C</t>
  </si>
  <si>
    <t>Note: mmHg are used here with constant conversion factor 760 mmHg=101.325 kPa=14.696 psi, conversion exactly valid only for 273.15 K</t>
  </si>
  <si>
    <t>1 bar = 100kPa
1bar = 100 kilopascals</t>
  </si>
  <si>
    <t>B1 K</t>
  </si>
  <si>
    <t>http://makina.deu.edu.tr/files/courses/4097/docs/5Table.pdf</t>
  </si>
  <si>
    <t>http://makina.deu.edu.tr/files/courses/4097/docs/5Table.pdf , http://en.wikipedia.org/wiki/Dichlorodifluoromethane</t>
  </si>
  <si>
    <t>100c=3014kPa, 50c=1176.53kPa, 0c=307.93kPa, -50c=39.11kPa, -100c=1.08kPa</t>
  </si>
  <si>
    <t>100c=437.171299psiG, 50c=170.64125psiG, 0c=44.6614706psiG, -50c=5.67242592psig, -100c=0.156640757psiG</t>
  </si>
  <si>
    <t>Temp K</t>
  </si>
  <si>
    <t>Theoret-</t>
  </si>
  <si>
    <t>ical</t>
  </si>
  <si>
    <t>Watts</t>
  </si>
  <si>
    <t>hp</t>
  </si>
  <si>
    <t>kW</t>
  </si>
  <si>
    <t>Delta C</t>
  </si>
  <si>
    <t>Delta K</t>
  </si>
  <si>
    <t>kW/m^2</t>
  </si>
  <si>
    <t>Area ft^2</t>
  </si>
</sst>
</file>

<file path=xl/styles.xml><?xml version="1.0" encoding="utf-8"?>
<styleSheet xmlns="http://schemas.openxmlformats.org/spreadsheetml/2006/main">
  <numFmts count="20">
    <numFmt numFmtId="164" formatCode="0.0\ \F"/>
    <numFmt numFmtId="165" formatCode="0.0\ \C"/>
    <numFmt numFmtId="166" formatCode="0.0\ \K"/>
    <numFmt numFmtId="167" formatCode="0.0\ \X"/>
    <numFmt numFmtId="168" formatCode="0\ &quot;deg&quot;"/>
    <numFmt numFmtId="169" formatCode="0.0\ %"/>
    <numFmt numFmtId="170" formatCode="0\ \W"/>
    <numFmt numFmtId="171" formatCode="0.0"/>
    <numFmt numFmtId="172" formatCode="0.0\ \k\W"/>
    <numFmt numFmtId="173" formatCode="0.0\ &quot;psig&quot;"/>
    <numFmt numFmtId="174" formatCode="0.0\ &quot;kW/m^2&quot;"/>
    <numFmt numFmtId="175" formatCode="0.0\ &quot;psi&quot;"/>
    <numFmt numFmtId="176" formatCode="0\ %"/>
    <numFmt numFmtId="177" formatCode="0.0\ &quot;hp&quot;"/>
    <numFmt numFmtId="178" formatCode="0.00\ \k\W"/>
    <numFmt numFmtId="179" formatCode="0.0\ \f\t\^\2"/>
    <numFmt numFmtId="180" formatCode="0.00\ &quot;mV/K&quot;"/>
    <numFmt numFmtId="181" formatCode="0.00000"/>
    <numFmt numFmtId="182" formatCode="0.000"/>
    <numFmt numFmtId="183" formatCode="0.0000"/>
  </numFmts>
  <fonts count="20">
    <font>
      <sz val="11"/>
      <color indexed="8"/>
      <name val="Calibri"/>
      <family val="2"/>
      <charset val="134"/>
    </font>
    <font>
      <sz val="8"/>
      <color indexed="8"/>
      <name val="Calibri"/>
      <family val="2"/>
      <charset val="134"/>
    </font>
    <font>
      <sz val="9"/>
      <color indexed="8"/>
      <name val="Calibri"/>
      <family val="2"/>
      <charset val="134"/>
    </font>
    <font>
      <b/>
      <sz val="28"/>
      <color indexed="10"/>
      <name val="Calibri"/>
      <family val="2"/>
      <charset val="134"/>
    </font>
    <font>
      <sz val="9"/>
      <color indexed="81"/>
      <name val="宋体"/>
      <charset val="134"/>
    </font>
    <font>
      <b/>
      <sz val="9"/>
      <color indexed="81"/>
      <name val="Tahoma"/>
      <family val="2"/>
    </font>
    <font>
      <sz val="10"/>
      <color indexed="8"/>
      <name val="Calibri"/>
      <family val="2"/>
      <charset val="134"/>
    </font>
    <font>
      <b/>
      <sz val="8"/>
      <color rgb="FF00D400"/>
      <name val="Calibri"/>
      <family val="2"/>
      <charset val="134"/>
    </font>
    <font>
      <b/>
      <sz val="9"/>
      <color rgb="FF00D400"/>
      <name val="Calibri"/>
      <family val="2"/>
    </font>
    <font>
      <b/>
      <sz val="9"/>
      <color rgb="FF00D400"/>
      <name val="Calibri"/>
      <family val="2"/>
      <charset val="134"/>
    </font>
    <font>
      <b/>
      <sz val="8"/>
      <color theme="1"/>
      <name val="Calibri"/>
      <family val="2"/>
      <charset val="134"/>
    </font>
    <font>
      <sz val="9"/>
      <color indexed="8"/>
      <name val="Calibri"/>
      <family val="2"/>
    </font>
    <font>
      <b/>
      <sz val="9"/>
      <color rgb="FF00D200"/>
      <name val="Calibri"/>
      <family val="2"/>
    </font>
    <font>
      <b/>
      <sz val="18"/>
      <color rgb="FFFF0000"/>
      <name val="Calibri"/>
      <family val="2"/>
    </font>
    <font>
      <sz val="9"/>
      <color indexed="81"/>
      <name val="Tahoma"/>
      <family val="2"/>
    </font>
    <font>
      <b/>
      <sz val="8"/>
      <color rgb="FF00D200"/>
      <name val="Calibri"/>
      <family val="2"/>
      <charset val="134"/>
    </font>
    <font>
      <sz val="8"/>
      <color theme="1"/>
      <name val="Calibri"/>
      <family val="2"/>
      <charset val="134"/>
    </font>
    <font>
      <b/>
      <sz val="8"/>
      <color rgb="FF00B050"/>
      <name val="Calibri"/>
      <family val="2"/>
      <charset val="134"/>
    </font>
    <font>
      <b/>
      <sz val="8"/>
      <color rgb="FFFF0000"/>
      <name val="Calibri"/>
      <family val="2"/>
      <charset val="134"/>
    </font>
    <font>
      <sz val="8"/>
      <color rgb="FFFF0000"/>
      <name val="Calibri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E5E3E9"/>
        <bgColor indexed="64"/>
      </patternFill>
    </fill>
    <fill>
      <patternFill patternType="solid">
        <fgColor rgb="FFEEFC9A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0.79998168889431442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Alignment="1"/>
    <xf numFmtId="0" fontId="1" fillId="0" borderId="0" xfId="0" applyFont="1" applyAlignment="1"/>
    <xf numFmtId="0" fontId="0" fillId="2" borderId="0" xfId="0" applyFill="1" applyAlignment="1"/>
    <xf numFmtId="0" fontId="2" fillId="3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171" fontId="1" fillId="0" borderId="0" xfId="0" applyNumberFormat="1" applyFont="1" applyAlignment="1"/>
    <xf numFmtId="0" fontId="0" fillId="0" borderId="0" xfId="0" applyAlignment="1">
      <alignment vertical="center"/>
    </xf>
    <xf numFmtId="0" fontId="3" fillId="9" borderId="0" xfId="0" applyFont="1" applyFill="1" applyAlignment="1">
      <alignment vertical="center"/>
    </xf>
    <xf numFmtId="171" fontId="0" fillId="0" borderId="0" xfId="0" applyNumberFormat="1" applyAlignment="1">
      <alignment vertical="center"/>
    </xf>
    <xf numFmtId="171" fontId="0" fillId="0" borderId="0" xfId="0" applyNumberFormat="1" applyAlignment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0" fontId="0" fillId="14" borderId="0" xfId="0" applyFill="1" applyAlignment="1"/>
    <xf numFmtId="0" fontId="2" fillId="14" borderId="0" xfId="0" applyFont="1" applyFill="1" applyAlignment="1"/>
    <xf numFmtId="171" fontId="0" fillId="14" borderId="0" xfId="0" applyNumberFormat="1" applyFill="1" applyAlignment="1"/>
    <xf numFmtId="14" fontId="0" fillId="0" borderId="0" xfId="0" applyNumberFormat="1" applyAlignment="1">
      <alignment horizontal="center" vertical="center"/>
    </xf>
    <xf numFmtId="0" fontId="2" fillId="14" borderId="0" xfId="0" applyFont="1" applyFill="1" applyAlignment="1">
      <alignment horizontal="right"/>
    </xf>
    <xf numFmtId="2" fontId="0" fillId="15" borderId="0" xfId="0" applyNumberFormat="1" applyFill="1" applyAlignment="1">
      <alignment horizontal="right"/>
    </xf>
    <xf numFmtId="2" fontId="6" fillId="15" borderId="0" xfId="0" applyNumberFormat="1" applyFont="1" applyFill="1" applyAlignment="1">
      <alignment horizontal="right" wrapText="1"/>
    </xf>
    <xf numFmtId="0" fontId="2" fillId="14" borderId="0" xfId="0" applyNumberFormat="1" applyFont="1" applyFill="1" applyAlignment="1"/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1" fillId="15" borderId="0" xfId="0" applyFont="1" applyFill="1" applyAlignment="1"/>
    <xf numFmtId="2" fontId="11" fillId="15" borderId="0" xfId="0" applyNumberFormat="1" applyFont="1" applyFill="1" applyAlignment="1"/>
    <xf numFmtId="171" fontId="11" fillId="15" borderId="0" xfId="0" applyNumberFormat="1" applyFont="1" applyFill="1" applyAlignment="1"/>
    <xf numFmtId="0" fontId="11" fillId="15" borderId="0" xfId="0" applyFont="1" applyFill="1" applyAlignment="1">
      <alignment horizontal="right"/>
    </xf>
    <xf numFmtId="2" fontId="11" fillId="15" borderId="0" xfId="0" applyNumberFormat="1" applyFont="1" applyFill="1" applyAlignment="1">
      <alignment horizontal="right"/>
    </xf>
    <xf numFmtId="171" fontId="11" fillId="16" borderId="0" xfId="0" applyNumberFormat="1" applyFont="1" applyFill="1" applyAlignment="1">
      <alignment horizontal="right"/>
    </xf>
    <xf numFmtId="2" fontId="11" fillId="16" borderId="0" xfId="0" applyNumberFormat="1" applyFont="1" applyFill="1" applyAlignment="1">
      <alignment horizontal="right"/>
    </xf>
    <xf numFmtId="2" fontId="11" fillId="16" borderId="0" xfId="0" applyNumberFormat="1" applyFont="1" applyFill="1" applyAlignment="1"/>
    <xf numFmtId="2" fontId="11" fillId="17" borderId="0" xfId="0" applyNumberFormat="1" applyFont="1" applyFill="1" applyAlignment="1">
      <alignment horizontal="right"/>
    </xf>
    <xf numFmtId="2" fontId="11" fillId="17" borderId="0" xfId="0" applyNumberFormat="1" applyFont="1" applyFill="1" applyAlignment="1">
      <alignment horizontal="right" wrapText="1"/>
    </xf>
    <xf numFmtId="2" fontId="11" fillId="17" borderId="0" xfId="0" applyNumberFormat="1" applyFont="1" applyFill="1" applyAlignment="1"/>
    <xf numFmtId="2" fontId="12" fillId="15" borderId="0" xfId="0" applyNumberFormat="1" applyFont="1" applyFill="1" applyAlignment="1" applyProtection="1">
      <alignment horizontal="right"/>
      <protection locked="0"/>
    </xf>
    <xf numFmtId="0" fontId="13" fillId="15" borderId="0" xfId="0" applyFont="1" applyFill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181" fontId="11" fillId="17" borderId="0" xfId="0" applyNumberFormat="1" applyFont="1" applyFill="1" applyAlignment="1">
      <alignment horizontal="right" wrapText="1"/>
    </xf>
    <xf numFmtId="182" fontId="11" fillId="17" borderId="0" xfId="0" applyNumberFormat="1" applyFont="1" applyFill="1" applyAlignment="1">
      <alignment horizontal="right" wrapText="1"/>
    </xf>
    <xf numFmtId="171" fontId="11" fillId="17" borderId="0" xfId="0" applyNumberFormat="1" applyFont="1" applyFill="1" applyAlignment="1">
      <alignment horizontal="right" wrapText="1"/>
    </xf>
    <xf numFmtId="171" fontId="11" fillId="17" borderId="0" xfId="0" applyNumberFormat="1" applyFont="1" applyFill="1" applyAlignment="1"/>
    <xf numFmtId="2" fontId="9" fillId="14" borderId="0" xfId="0" applyNumberFormat="1" applyFont="1" applyFill="1" applyAlignment="1" applyProtection="1">
      <protection locked="0"/>
    </xf>
    <xf numFmtId="2" fontId="11" fillId="17" borderId="0" xfId="0" applyNumberFormat="1" applyFont="1" applyFill="1" applyAlignment="1">
      <alignment horizontal="left"/>
    </xf>
    <xf numFmtId="0" fontId="11" fillId="15" borderId="0" xfId="0" applyFont="1" applyFill="1" applyAlignment="1">
      <alignment wrapText="1"/>
    </xf>
    <xf numFmtId="0" fontId="11" fillId="15" borderId="0" xfId="0" applyFont="1" applyFill="1" applyAlignment="1">
      <alignment horizontal="left"/>
    </xf>
    <xf numFmtId="0" fontId="11" fillId="15" borderId="0" xfId="0" applyNumberFormat="1" applyFont="1" applyFill="1" applyAlignment="1">
      <alignment horizontal="left"/>
    </xf>
    <xf numFmtId="0" fontId="7" fillId="2" borderId="2" xfId="0" applyFont="1" applyFill="1" applyBorder="1" applyAlignment="1"/>
    <xf numFmtId="0" fontId="1" fillId="2" borderId="2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1" fillId="11" borderId="2" xfId="0" applyFont="1" applyFill="1" applyBorder="1" applyAlignment="1"/>
    <xf numFmtId="171" fontId="1" fillId="0" borderId="2" xfId="0" applyNumberFormat="1" applyFont="1" applyBorder="1" applyAlignment="1"/>
    <xf numFmtId="0" fontId="1" fillId="2" borderId="0" xfId="0" applyFont="1" applyFill="1" applyAlignment="1"/>
    <xf numFmtId="0" fontId="1" fillId="13" borderId="0" xfId="0" applyFont="1" applyFill="1" applyAlignment="1">
      <alignment horizontal="center"/>
    </xf>
    <xf numFmtId="0" fontId="1" fillId="11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/>
    <xf numFmtId="0" fontId="1" fillId="13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69" fontId="15" fillId="11" borderId="1" xfId="0" applyNumberFormat="1" applyFont="1" applyFill="1" applyBorder="1" applyAlignment="1" applyProtection="1">
      <protection locked="0"/>
    </xf>
    <xf numFmtId="0" fontId="1" fillId="11" borderId="1" xfId="0" applyFont="1" applyFill="1" applyBorder="1" applyAlignment="1">
      <alignment horizontal="right"/>
    </xf>
    <xf numFmtId="169" fontId="15" fillId="7" borderId="1" xfId="0" applyNumberFormat="1" applyFont="1" applyFill="1" applyBorder="1" applyAlignment="1" applyProtection="1">
      <protection locked="0"/>
    </xf>
    <xf numFmtId="0" fontId="1" fillId="7" borderId="1" xfId="0" applyFont="1" applyFill="1" applyBorder="1" applyAlignment="1">
      <alignment horizontal="right"/>
    </xf>
    <xf numFmtId="169" fontId="15" fillId="8" borderId="1" xfId="0" applyNumberFormat="1" applyFont="1" applyFill="1" applyBorder="1" applyAlignment="1" applyProtection="1">
      <protection locked="0"/>
    </xf>
    <xf numFmtId="0" fontId="1" fillId="8" borderId="1" xfId="0" applyFont="1" applyFill="1" applyBorder="1" applyAlignment="1">
      <alignment horizontal="right"/>
    </xf>
    <xf numFmtId="17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15" borderId="0" xfId="0" applyFont="1" applyFill="1" applyAlignment="1"/>
    <xf numFmtId="2" fontId="1" fillId="15" borderId="0" xfId="0" applyNumberFormat="1" applyFont="1" applyFill="1" applyAlignment="1">
      <alignment horizontal="right" wrapText="1"/>
    </xf>
    <xf numFmtId="179" fontId="15" fillId="13" borderId="0" xfId="0" applyNumberFormat="1" applyFont="1" applyFill="1" applyAlignment="1" applyProtection="1">
      <protection locked="0"/>
    </xf>
    <xf numFmtId="174" fontId="15" fillId="13" borderId="0" xfId="0" applyNumberFormat="1" applyFont="1" applyFill="1" applyAlignment="1" applyProtection="1">
      <protection locked="0"/>
    </xf>
    <xf numFmtId="164" fontId="15" fillId="13" borderId="0" xfId="0" applyNumberFormat="1" applyFont="1" applyFill="1" applyAlignment="1" applyProtection="1">
      <protection locked="0"/>
    </xf>
    <xf numFmtId="165" fontId="1" fillId="13" borderId="0" xfId="0" applyNumberFormat="1" applyFont="1" applyFill="1" applyAlignment="1"/>
    <xf numFmtId="166" fontId="1" fillId="13" borderId="0" xfId="0" applyNumberFormat="1" applyFont="1" applyFill="1" applyAlignment="1"/>
    <xf numFmtId="173" fontId="1" fillId="13" borderId="0" xfId="0" applyNumberFormat="1" applyFont="1" applyFill="1" applyAlignment="1"/>
    <xf numFmtId="167" fontId="15" fillId="13" borderId="0" xfId="0" applyNumberFormat="1" applyFont="1" applyFill="1" applyAlignment="1" applyProtection="1">
      <protection locked="0"/>
    </xf>
    <xf numFmtId="168" fontId="15" fillId="12" borderId="0" xfId="0" applyNumberFormat="1" applyFont="1" applyFill="1" applyAlignment="1" applyProtection="1">
      <protection locked="0"/>
    </xf>
    <xf numFmtId="164" fontId="1" fillId="13" borderId="0" xfId="0" applyNumberFormat="1" applyFont="1" applyFill="1" applyAlignment="1" applyProtection="1"/>
    <xf numFmtId="176" fontId="7" fillId="2" borderId="0" xfId="0" applyNumberFormat="1" applyFont="1" applyFill="1" applyAlignment="1" applyProtection="1">
      <protection locked="0"/>
    </xf>
    <xf numFmtId="169" fontId="1" fillId="2" borderId="0" xfId="0" applyNumberFormat="1" applyFont="1" applyFill="1" applyAlignment="1"/>
    <xf numFmtId="172" fontId="1" fillId="2" borderId="0" xfId="0" applyNumberFormat="1" applyFont="1" applyFill="1" applyAlignment="1"/>
    <xf numFmtId="175" fontId="15" fillId="10" borderId="0" xfId="0" applyNumberFormat="1" applyFont="1" applyFill="1" applyAlignment="1" applyProtection="1">
      <protection locked="0"/>
    </xf>
    <xf numFmtId="173" fontId="16" fillId="10" borderId="0" xfId="0" applyNumberFormat="1" applyFont="1" applyFill="1" applyAlignment="1" applyProtection="1"/>
    <xf numFmtId="164" fontId="16" fillId="10" borderId="0" xfId="0" applyNumberFormat="1" applyFont="1" applyFill="1" applyAlignment="1" applyProtection="1"/>
    <xf numFmtId="165" fontId="16" fillId="10" borderId="0" xfId="0" applyNumberFormat="1" applyFont="1" applyFill="1" applyAlignment="1" applyProtection="1"/>
    <xf numFmtId="166" fontId="16" fillId="10" borderId="0" xfId="0" applyNumberFormat="1" applyFont="1" applyFill="1" applyAlignment="1" applyProtection="1"/>
    <xf numFmtId="164" fontId="15" fillId="10" borderId="0" xfId="0" applyNumberFormat="1" applyFont="1" applyFill="1" applyAlignment="1" applyProtection="1">
      <protection locked="0"/>
    </xf>
    <xf numFmtId="165" fontId="1" fillId="10" borderId="0" xfId="0" applyNumberFormat="1" applyFont="1" applyFill="1" applyAlignment="1"/>
    <xf numFmtId="166" fontId="1" fillId="10" borderId="0" xfId="0" applyNumberFormat="1" applyFont="1" applyFill="1" applyAlignment="1"/>
    <xf numFmtId="169" fontId="1" fillId="10" borderId="0" xfId="0" applyNumberFormat="1" applyFont="1" applyFill="1" applyAlignment="1"/>
    <xf numFmtId="169" fontId="1" fillId="5" borderId="0" xfId="0" applyNumberFormat="1" applyFont="1" applyFill="1" applyAlignment="1"/>
    <xf numFmtId="169" fontId="1" fillId="11" borderId="0" xfId="0" applyNumberFormat="1" applyFont="1" applyFill="1" applyAlignment="1"/>
    <xf numFmtId="170" fontId="1" fillId="11" borderId="0" xfId="0" applyNumberFormat="1" applyFont="1" applyFill="1" applyAlignment="1"/>
    <xf numFmtId="177" fontId="1" fillId="11" borderId="0" xfId="0" applyNumberFormat="1" applyFont="1" applyFill="1" applyAlignment="1"/>
    <xf numFmtId="172" fontId="1" fillId="11" borderId="0" xfId="0" applyNumberFormat="1" applyFont="1" applyFill="1" applyAlignment="1"/>
    <xf numFmtId="169" fontId="1" fillId="7" borderId="0" xfId="0" applyNumberFormat="1" applyFont="1" applyFill="1" applyAlignment="1"/>
    <xf numFmtId="170" fontId="1" fillId="7" borderId="0" xfId="0" applyNumberFormat="1" applyFont="1" applyFill="1" applyAlignment="1"/>
    <xf numFmtId="177" fontId="1" fillId="7" borderId="0" xfId="0" applyNumberFormat="1" applyFont="1" applyFill="1" applyAlignment="1"/>
    <xf numFmtId="172" fontId="1" fillId="7" borderId="0" xfId="0" applyNumberFormat="1" applyFont="1" applyFill="1" applyAlignment="1"/>
    <xf numFmtId="169" fontId="1" fillId="8" borderId="0" xfId="0" applyNumberFormat="1" applyFont="1" applyFill="1" applyAlignment="1"/>
    <xf numFmtId="170" fontId="1" fillId="8" borderId="0" xfId="0" applyNumberFormat="1" applyFont="1" applyFill="1" applyAlignment="1"/>
    <xf numFmtId="177" fontId="1" fillId="8" borderId="0" xfId="0" applyNumberFormat="1" applyFont="1" applyFill="1" applyAlignment="1"/>
    <xf numFmtId="172" fontId="1" fillId="8" borderId="0" xfId="0" applyNumberFormat="1" applyFont="1" applyFill="1" applyAlignment="1"/>
    <xf numFmtId="173" fontId="1" fillId="13" borderId="0" xfId="0" applyNumberFormat="1" applyFont="1" applyFill="1" applyAlignment="1" applyProtection="1"/>
    <xf numFmtId="180" fontId="15" fillId="13" borderId="0" xfId="0" applyNumberFormat="1" applyFont="1" applyFill="1" applyAlignment="1" applyProtection="1"/>
    <xf numFmtId="168" fontId="15" fillId="12" borderId="0" xfId="0" applyNumberFormat="1" applyFont="1" applyFill="1" applyAlignment="1" applyProtection="1"/>
    <xf numFmtId="169" fontId="7" fillId="2" borderId="0" xfId="0" applyNumberFormat="1" applyFont="1" applyFill="1" applyAlignment="1" applyProtection="1">
      <protection locked="0"/>
    </xf>
    <xf numFmtId="178" fontId="1" fillId="2" borderId="0" xfId="0" applyNumberFormat="1" applyFont="1" applyFill="1" applyAlignment="1"/>
    <xf numFmtId="175" fontId="15" fillId="10" borderId="0" xfId="0" applyNumberFormat="1" applyFont="1" applyFill="1" applyAlignment="1" applyProtection="1"/>
    <xf numFmtId="164" fontId="15" fillId="10" borderId="0" xfId="0" applyNumberFormat="1" applyFont="1" applyFill="1" applyAlignment="1" applyProtection="1"/>
    <xf numFmtId="165" fontId="1" fillId="10" borderId="0" xfId="0" applyNumberFormat="1" applyFont="1" applyFill="1" applyAlignment="1" applyProtection="1"/>
    <xf numFmtId="166" fontId="1" fillId="10" borderId="0" xfId="0" applyNumberFormat="1" applyFont="1" applyFill="1" applyAlignment="1" applyProtection="1"/>
    <xf numFmtId="169" fontId="1" fillId="10" borderId="0" xfId="0" applyNumberFormat="1" applyFont="1" applyFill="1" applyAlignment="1" applyProtection="1"/>
    <xf numFmtId="169" fontId="1" fillId="5" borderId="0" xfId="0" applyNumberFormat="1" applyFont="1" applyFill="1" applyAlignment="1" applyProtection="1"/>
    <xf numFmtId="169" fontId="1" fillId="11" borderId="0" xfId="0" applyNumberFormat="1" applyFont="1" applyFill="1" applyAlignment="1" applyProtection="1"/>
    <xf numFmtId="170" fontId="1" fillId="11" borderId="0" xfId="0" applyNumberFormat="1" applyFont="1" applyFill="1" applyAlignment="1" applyProtection="1"/>
    <xf numFmtId="177" fontId="1" fillId="11" borderId="0" xfId="0" applyNumberFormat="1" applyFont="1" applyFill="1" applyAlignment="1" applyProtection="1"/>
    <xf numFmtId="172" fontId="1" fillId="11" borderId="0" xfId="0" applyNumberFormat="1" applyFont="1" applyFill="1" applyAlignment="1" applyProtection="1"/>
    <xf numFmtId="169" fontId="1" fillId="7" borderId="0" xfId="0" applyNumberFormat="1" applyFont="1" applyFill="1" applyAlignment="1" applyProtection="1"/>
    <xf numFmtId="170" fontId="1" fillId="7" borderId="0" xfId="0" applyNumberFormat="1" applyFont="1" applyFill="1" applyAlignment="1" applyProtection="1"/>
    <xf numFmtId="177" fontId="1" fillId="7" borderId="0" xfId="0" applyNumberFormat="1" applyFont="1" applyFill="1" applyAlignment="1" applyProtection="1"/>
    <xf numFmtId="172" fontId="1" fillId="7" borderId="0" xfId="0" applyNumberFormat="1" applyFont="1" applyFill="1" applyAlignment="1" applyProtection="1"/>
    <xf numFmtId="169" fontId="1" fillId="8" borderId="0" xfId="0" applyNumberFormat="1" applyFont="1" applyFill="1" applyAlignment="1" applyProtection="1"/>
    <xf numFmtId="164" fontId="17" fillId="13" borderId="0" xfId="0" applyNumberFormat="1" applyFont="1" applyFill="1" applyAlignment="1" applyProtection="1">
      <protection locked="0"/>
    </xf>
    <xf numFmtId="171" fontId="1" fillId="0" borderId="0" xfId="0" applyNumberFormat="1" applyFont="1" applyAlignment="1" applyProtection="1">
      <protection locked="0"/>
    </xf>
    <xf numFmtId="164" fontId="16" fillId="13" borderId="0" xfId="0" applyNumberFormat="1" applyFont="1" applyFill="1" applyAlignment="1" applyProtection="1"/>
    <xf numFmtId="173" fontId="15" fillId="10" borderId="0" xfId="0" applyNumberFormat="1" applyFont="1" applyFill="1" applyAlignment="1" applyProtection="1">
      <protection locked="0"/>
    </xf>
    <xf numFmtId="181" fontId="1" fillId="0" borderId="0" xfId="0" applyNumberFormat="1" applyFont="1" applyAlignment="1"/>
    <xf numFmtId="183" fontId="1" fillId="0" borderId="0" xfId="0" applyNumberFormat="1" applyFont="1" applyAlignment="1"/>
    <xf numFmtId="0" fontId="1" fillId="13" borderId="0" xfId="0" applyFont="1" applyFill="1" applyAlignment="1">
      <alignment horizontal="left"/>
    </xf>
    <xf numFmtId="0" fontId="1" fillId="12" borderId="0" xfId="0" applyFont="1" applyFill="1" applyAlignment="1">
      <alignment horizontal="center"/>
    </xf>
    <xf numFmtId="0" fontId="1" fillId="12" borderId="0" xfId="0" applyFont="1" applyFill="1" applyAlignment="1">
      <alignment horizontal="right"/>
    </xf>
    <xf numFmtId="0" fontId="1" fillId="13" borderId="0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right"/>
    </xf>
    <xf numFmtId="0" fontId="1" fillId="10" borderId="2" xfId="0" applyFont="1" applyFill="1" applyBorder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11" borderId="2" xfId="0" applyFont="1" applyFill="1" applyBorder="1" applyAlignment="1">
      <alignment horizontal="left"/>
    </xf>
    <xf numFmtId="0" fontId="1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left"/>
    </xf>
    <xf numFmtId="165" fontId="16" fillId="13" borderId="0" xfId="0" applyNumberFormat="1" applyFont="1" applyFill="1" applyAlignment="1" applyProtection="1"/>
    <xf numFmtId="166" fontId="16" fillId="13" borderId="0" xfId="0" applyNumberFormat="1" applyFont="1" applyFill="1" applyAlignment="1" applyProtection="1"/>
    <xf numFmtId="0" fontId="18" fillId="2" borderId="2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19" fillId="13" borderId="1" xfId="0" applyFont="1" applyFill="1" applyBorder="1" applyAlignment="1">
      <alignment horizontal="right"/>
    </xf>
    <xf numFmtId="0" fontId="19" fillId="10" borderId="0" xfId="0" applyFont="1" applyFill="1" applyAlignment="1"/>
    <xf numFmtId="0" fontId="19" fillId="10" borderId="1" xfId="0" applyFont="1" applyFill="1" applyBorder="1" applyAlignment="1">
      <alignment horizontal="right"/>
    </xf>
    <xf numFmtId="0" fontId="19" fillId="10" borderId="0" xfId="0" applyFont="1" applyFill="1" applyAlignment="1">
      <alignment horizontal="center"/>
    </xf>
    <xf numFmtId="0" fontId="19" fillId="13" borderId="0" xfId="0" applyFont="1" applyFill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D400"/>
      <color rgb="FF00D200"/>
      <color rgb="FFEEFC9A"/>
      <color rgb="FFE1E1FF"/>
      <color rgb="FFD5D5FF"/>
      <color rgb="FF00FF00"/>
      <color rgb="FFF5FEC2"/>
      <color rgb="FFE5E3E9"/>
      <color rgb="FFFFD1D1"/>
      <color rgb="FFFFBD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://en.wikipedia.org/w/index.php?title=2-Propanol&amp;redirect=no" TargetMode="External"/><Relationship Id="rId1" Type="http://schemas.openxmlformats.org/officeDocument/2006/relationships/hyperlink" Target="http://en.wikipedia.org/w/index.php?title=2-Propanol&amp;redirect=no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614"/>
  <sheetViews>
    <sheetView tabSelected="1" topLeftCell="B2" zoomScaleNormal="100" workbookViewId="0"/>
  </sheetViews>
  <sheetFormatPr defaultColWidth="8.88671875" defaultRowHeight="14.4"/>
  <cols>
    <col min="1" max="1" width="19.33203125" style="2" customWidth="1"/>
    <col min="2" max="2" width="12.21875" style="2" customWidth="1"/>
    <col min="3" max="3" width="3.6640625" style="2" hidden="1" customWidth="1"/>
    <col min="4" max="4" width="5.77734375" style="2" hidden="1" customWidth="1"/>
    <col min="5" max="5" width="4.88671875" style="2" hidden="1" customWidth="1"/>
    <col min="6" max="6" width="4.109375" style="2" hidden="1" customWidth="1"/>
    <col min="7" max="7" width="4.88671875" style="2" hidden="1" customWidth="1"/>
    <col min="8" max="8" width="3.33203125" style="2" hidden="1" customWidth="1"/>
    <col min="9" max="9" width="5.77734375" style="2" hidden="1" customWidth="1"/>
    <col min="10" max="10" width="4.77734375" style="2" hidden="1" customWidth="1"/>
    <col min="11" max="11" width="7.77734375" style="3" customWidth="1"/>
    <col min="12" max="12" width="8.109375" style="3" customWidth="1"/>
    <col min="13" max="13" width="4.88671875" style="3" customWidth="1"/>
    <col min="14" max="14" width="4.88671875" style="3" hidden="1" customWidth="1"/>
    <col min="15" max="15" width="5.5546875" style="3" hidden="1" customWidth="1"/>
    <col min="16" max="16" width="5.21875" style="3" customWidth="1"/>
    <col min="17" max="17" width="5.21875" style="3" hidden="1" customWidth="1"/>
    <col min="18" max="18" width="7" style="3" customWidth="1"/>
    <col min="19" max="19" width="5.21875" style="3" hidden="1" customWidth="1"/>
    <col min="20" max="20" width="4.6640625" style="3" customWidth="1"/>
    <col min="21" max="21" width="7.6640625" style="3" customWidth="1"/>
    <col min="22" max="23" width="5.21875" style="3" hidden="1" customWidth="1"/>
    <col min="24" max="24" width="4.77734375" style="3" customWidth="1"/>
    <col min="25" max="25" width="6.109375" style="3" customWidth="1"/>
    <col min="26" max="27" width="5.88671875" style="3" hidden="1" customWidth="1"/>
    <col min="28" max="28" width="4.21875" style="3" customWidth="1"/>
    <col min="29" max="29" width="4.5546875" style="4" customWidth="1"/>
    <col min="30" max="30" width="6.33203125" style="4" customWidth="1"/>
    <col min="31" max="31" width="5.6640625" style="4" customWidth="1"/>
    <col min="32" max="32" width="7.109375" style="4" customWidth="1"/>
    <col min="33" max="33" width="5" style="4" customWidth="1"/>
    <col min="34" max="35" width="5.109375" style="4" hidden="1" customWidth="1"/>
    <col min="36" max="36" width="4.33203125" style="4" customWidth="1"/>
    <col min="37" max="37" width="4.33203125" style="4" hidden="1" customWidth="1"/>
    <col min="38" max="38" width="5.109375" style="4" hidden="1" customWidth="1"/>
    <col min="39" max="39" width="4.5546875" style="5" customWidth="1"/>
    <col min="40" max="40" width="4.6640625" style="6" customWidth="1"/>
    <col min="41" max="41" width="4.5546875" style="7" hidden="1" customWidth="1"/>
    <col min="42" max="42" width="5.5546875" style="7" hidden="1" customWidth="1"/>
    <col min="43" max="43" width="4.33203125" style="7" hidden="1" customWidth="1"/>
    <col min="44" max="44" width="6.33203125" style="7" hidden="1" customWidth="1"/>
    <col min="45" max="45" width="4.5546875" style="8" hidden="1" customWidth="1"/>
    <col min="46" max="46" width="5.5546875" style="8" hidden="1" customWidth="1"/>
    <col min="47" max="47" width="4.33203125" style="8" hidden="1" customWidth="1"/>
    <col min="48" max="48" width="6.33203125" style="8" hidden="1" customWidth="1"/>
    <col min="49" max="49" width="4.5546875" style="9" customWidth="1"/>
    <col min="50" max="50" width="5.5546875" style="9" customWidth="1"/>
    <col min="51" max="51" width="4.33203125" style="9" customWidth="1"/>
    <col min="52" max="52" width="6.33203125" customWidth="1"/>
    <col min="53" max="53" width="11.33203125" customWidth="1"/>
    <col min="54" max="54" width="7.33203125" customWidth="1"/>
    <col min="55" max="56" width="4" style="14" customWidth="1"/>
    <col min="57" max="59" width="4.77734375" customWidth="1"/>
    <col min="60" max="60" width="1" customWidth="1"/>
    <col min="61" max="61" width="4.21875" customWidth="1"/>
    <col min="62" max="62" width="4.88671875" customWidth="1"/>
    <col min="63" max="63" width="4.5546875" customWidth="1"/>
    <col min="64" max="64" width="1.109375" customWidth="1"/>
  </cols>
  <sheetData>
    <row r="1" spans="1:63" s="24" customFormat="1" ht="7.8" customHeight="1">
      <c r="A1" s="15"/>
      <c r="B1" s="15"/>
      <c r="C1" s="34" t="s">
        <v>2</v>
      </c>
      <c r="D1" s="34" t="s">
        <v>2</v>
      </c>
      <c r="E1" s="34" t="s">
        <v>2</v>
      </c>
      <c r="F1" s="34" t="s">
        <v>2</v>
      </c>
      <c r="G1" s="34" t="s">
        <v>2</v>
      </c>
      <c r="H1" s="34" t="s">
        <v>2</v>
      </c>
      <c r="I1" s="34" t="s">
        <v>2</v>
      </c>
      <c r="J1" s="34" t="s">
        <v>2</v>
      </c>
      <c r="K1" s="16"/>
      <c r="L1" s="16"/>
      <c r="M1" s="16"/>
      <c r="N1" s="16" t="s">
        <v>2</v>
      </c>
      <c r="O1" s="16" t="s">
        <v>2</v>
      </c>
      <c r="P1" s="15"/>
      <c r="Q1" s="16" t="s">
        <v>2</v>
      </c>
      <c r="R1" s="16"/>
      <c r="S1" s="16" t="s">
        <v>2</v>
      </c>
      <c r="T1" s="16"/>
      <c r="U1" s="16"/>
      <c r="V1" s="16" t="s">
        <v>2</v>
      </c>
      <c r="W1" s="16" t="s">
        <v>2</v>
      </c>
      <c r="X1" s="17"/>
      <c r="Y1" s="18"/>
      <c r="Z1" s="18" t="s">
        <v>2</v>
      </c>
      <c r="AA1" s="18" t="s">
        <v>2</v>
      </c>
      <c r="AB1" s="16"/>
      <c r="AC1" s="16"/>
      <c r="AD1" s="16"/>
      <c r="AE1" s="19"/>
      <c r="AF1" s="19"/>
      <c r="AG1" s="19"/>
      <c r="AH1" s="19" t="s">
        <v>2</v>
      </c>
      <c r="AI1" s="19" t="s">
        <v>2</v>
      </c>
      <c r="AJ1" s="19"/>
      <c r="AK1" s="19" t="s">
        <v>36</v>
      </c>
      <c r="AL1" s="19" t="s">
        <v>36</v>
      </c>
      <c r="AM1" s="19"/>
      <c r="AN1" s="20"/>
      <c r="AO1" s="21" t="s">
        <v>2</v>
      </c>
      <c r="AP1" s="21" t="s">
        <v>2</v>
      </c>
      <c r="AQ1" s="21" t="s">
        <v>2</v>
      </c>
      <c r="AR1" s="21" t="s">
        <v>2</v>
      </c>
      <c r="AS1" s="22" t="s">
        <v>2</v>
      </c>
      <c r="AT1" s="22" t="s">
        <v>2</v>
      </c>
      <c r="AU1" s="22" t="s">
        <v>2</v>
      </c>
      <c r="AV1" s="22" t="s">
        <v>2</v>
      </c>
      <c r="AW1" s="23"/>
      <c r="AX1" s="23"/>
      <c r="AY1" s="23"/>
      <c r="AZ1" s="23"/>
      <c r="BC1" s="25"/>
      <c r="BD1" s="25"/>
    </row>
    <row r="2" spans="1:63" s="11" customFormat="1" ht="25.2" customHeight="1">
      <c r="A2" s="29">
        <v>41994</v>
      </c>
      <c r="B2" s="29"/>
      <c r="C2" s="29"/>
      <c r="D2" s="29"/>
      <c r="E2" s="29"/>
      <c r="F2" s="29"/>
      <c r="G2" s="29"/>
      <c r="H2" s="29"/>
      <c r="I2" s="29"/>
      <c r="J2" s="29"/>
      <c r="K2" s="12" t="s">
        <v>0</v>
      </c>
      <c r="BC2" s="13"/>
      <c r="BD2" s="13"/>
    </row>
    <row r="3" spans="1:63" s="26" customFormat="1" ht="12" hidden="1" customHeight="1">
      <c r="C3" s="31" t="s">
        <v>85</v>
      </c>
      <c r="D3" s="31" t="s">
        <v>86</v>
      </c>
      <c r="E3" s="31" t="s">
        <v>87</v>
      </c>
      <c r="F3" s="31" t="s">
        <v>99</v>
      </c>
      <c r="G3" s="31" t="s">
        <v>100</v>
      </c>
      <c r="H3" s="31" t="s">
        <v>88</v>
      </c>
      <c r="I3" s="31" t="s">
        <v>89</v>
      </c>
      <c r="J3" s="31" t="s">
        <v>90</v>
      </c>
      <c r="K3" s="30" t="s">
        <v>103</v>
      </c>
      <c r="L3" s="30" t="s">
        <v>101</v>
      </c>
      <c r="M3" s="30" t="s">
        <v>102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BC3" s="28"/>
      <c r="BD3" s="28"/>
    </row>
    <row r="4" spans="1:63" s="26" customFormat="1" ht="12" hidden="1" customHeight="1">
      <c r="B4" s="36" t="s">
        <v>121</v>
      </c>
      <c r="C4" s="32">
        <v>8.0713100000000004</v>
      </c>
      <c r="D4" s="32">
        <v>1730.63</v>
      </c>
      <c r="E4" s="32">
        <v>233.42599999999999</v>
      </c>
      <c r="F4" s="32">
        <f>+(99+100)/2</f>
        <v>99.5</v>
      </c>
      <c r="G4" s="32">
        <f>+(14.4362+14.5206)/2</f>
        <v>14.478400000000001</v>
      </c>
      <c r="H4" s="32">
        <v>8.1401900000000005</v>
      </c>
      <c r="I4" s="32">
        <v>1810.94</v>
      </c>
      <c r="J4" s="32">
        <v>244.48500000000001</v>
      </c>
      <c r="K4" s="56">
        <v>25</v>
      </c>
      <c r="L4" s="27">
        <f>IF(K4&lt;F4,(10^(C4-(D4/(E4+K4))))/760*14.696-14.696,(10^(H4-(I4/(J4+K4))))/760*14.696-14.696)</f>
        <v>-14.237979561083833</v>
      </c>
      <c r="M4" s="33">
        <f>IF((L4+14.696)&lt;G4,D4/(-(LOG10((L4+14.696)*760/14.696)-C4))-E4,I4/(-(LOG10((L4+14.696)*760/14.696)-H4))-J4)</f>
        <v>25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BC4" s="28"/>
      <c r="BD4" s="28"/>
    </row>
    <row r="5" spans="1:63" s="51" customFormat="1" ht="10.199999999999999" customHeight="1">
      <c r="A5" s="50"/>
      <c r="B5" s="50"/>
      <c r="C5" s="61"/>
      <c r="D5" s="61"/>
      <c r="E5" s="61"/>
      <c r="F5" s="61"/>
      <c r="G5" s="61"/>
      <c r="H5" s="61"/>
      <c r="I5" s="61"/>
      <c r="J5" s="61"/>
      <c r="K5" s="62"/>
      <c r="L5" s="62"/>
      <c r="M5" s="63" t="s">
        <v>71</v>
      </c>
      <c r="N5" s="62"/>
      <c r="O5" s="62"/>
      <c r="P5" s="169" t="s">
        <v>73</v>
      </c>
      <c r="Q5" s="62"/>
      <c r="R5" s="62"/>
      <c r="S5" s="62"/>
      <c r="T5" s="62"/>
      <c r="U5" s="62"/>
      <c r="V5" s="62"/>
      <c r="W5" s="62"/>
      <c r="X5" s="176" t="s">
        <v>3</v>
      </c>
      <c r="Y5" s="149" t="s">
        <v>165</v>
      </c>
      <c r="Z5" s="149" t="s">
        <v>165</v>
      </c>
      <c r="AA5" s="149" t="s">
        <v>165</v>
      </c>
      <c r="AB5" s="177" t="s">
        <v>62</v>
      </c>
      <c r="AC5" s="177" t="s">
        <v>5</v>
      </c>
      <c r="AD5" s="177" t="s">
        <v>5</v>
      </c>
      <c r="AE5" s="157" t="s">
        <v>52</v>
      </c>
      <c r="AF5" s="157" t="s">
        <v>66</v>
      </c>
      <c r="AG5" s="157" t="s">
        <v>66</v>
      </c>
      <c r="AH5" s="157" t="s">
        <v>66</v>
      </c>
      <c r="AI5" s="157" t="s">
        <v>66</v>
      </c>
      <c r="AJ5" s="157" t="s">
        <v>35</v>
      </c>
      <c r="AK5" s="157" t="s">
        <v>35</v>
      </c>
      <c r="AL5" s="157" t="s">
        <v>35</v>
      </c>
      <c r="AM5" s="157" t="s">
        <v>67</v>
      </c>
      <c r="AN5" s="160" t="s">
        <v>4</v>
      </c>
      <c r="AO5" s="161" t="s">
        <v>4</v>
      </c>
      <c r="AP5" s="64" t="s">
        <v>13</v>
      </c>
      <c r="AQ5" s="64" t="s">
        <v>13</v>
      </c>
      <c r="AR5" s="64" t="s">
        <v>37</v>
      </c>
      <c r="AS5" s="164" t="s">
        <v>4</v>
      </c>
      <c r="AT5" s="164" t="s">
        <v>13</v>
      </c>
      <c r="AU5" s="164" t="s">
        <v>13</v>
      </c>
      <c r="AV5" s="164" t="s">
        <v>37</v>
      </c>
      <c r="AW5" s="166" t="s">
        <v>4</v>
      </c>
      <c r="AX5" s="166" t="s">
        <v>13</v>
      </c>
      <c r="AY5" s="166" t="s">
        <v>13</v>
      </c>
      <c r="AZ5" s="166" t="s">
        <v>37</v>
      </c>
      <c r="BC5" s="65"/>
      <c r="BD5" s="65"/>
    </row>
    <row r="6" spans="1:63" s="1" customFormat="1" ht="10.199999999999999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149" t="s">
        <v>5</v>
      </c>
      <c r="L6" s="149" t="s">
        <v>5</v>
      </c>
      <c r="M6" s="149" t="s">
        <v>58</v>
      </c>
      <c r="N6" s="149" t="s">
        <v>58</v>
      </c>
      <c r="O6" s="149" t="s">
        <v>58</v>
      </c>
      <c r="P6" s="175" t="s">
        <v>60</v>
      </c>
      <c r="Q6" s="149" t="s">
        <v>60</v>
      </c>
      <c r="R6" s="149" t="s">
        <v>6</v>
      </c>
      <c r="S6" s="149" t="s">
        <v>60</v>
      </c>
      <c r="T6" s="149" t="s">
        <v>7</v>
      </c>
      <c r="U6" s="149" t="s">
        <v>8</v>
      </c>
      <c r="V6" s="149" t="s">
        <v>8</v>
      </c>
      <c r="W6" s="149" t="s">
        <v>8</v>
      </c>
      <c r="X6" s="150" t="s">
        <v>9</v>
      </c>
      <c r="Y6" s="67" t="s">
        <v>166</v>
      </c>
      <c r="Z6" s="67" t="s">
        <v>166</v>
      </c>
      <c r="AA6" s="67" t="s">
        <v>166</v>
      </c>
      <c r="AB6" s="154"/>
      <c r="AC6" s="153" t="s">
        <v>65</v>
      </c>
      <c r="AD6" s="153" t="s">
        <v>11</v>
      </c>
      <c r="AE6" s="155" t="s">
        <v>53</v>
      </c>
      <c r="AF6" s="155" t="s">
        <v>40</v>
      </c>
      <c r="AG6" s="155" t="s">
        <v>40</v>
      </c>
      <c r="AH6" s="155" t="s">
        <v>40</v>
      </c>
      <c r="AI6" s="155" t="s">
        <v>40</v>
      </c>
      <c r="AJ6" s="155" t="s">
        <v>40</v>
      </c>
      <c r="AK6" s="155" t="s">
        <v>40</v>
      </c>
      <c r="AL6" s="155" t="s">
        <v>40</v>
      </c>
      <c r="AM6" s="155" t="s">
        <v>12</v>
      </c>
      <c r="AN6" s="159" t="s">
        <v>12</v>
      </c>
      <c r="AO6" s="162" t="s">
        <v>49</v>
      </c>
      <c r="AP6" s="162" t="s">
        <v>21</v>
      </c>
      <c r="AQ6" s="162" t="s">
        <v>21</v>
      </c>
      <c r="AR6" s="162" t="s">
        <v>38</v>
      </c>
      <c r="AS6" s="163" t="s">
        <v>49</v>
      </c>
      <c r="AT6" s="163" t="s">
        <v>21</v>
      </c>
      <c r="AU6" s="163" t="s">
        <v>21</v>
      </c>
      <c r="AV6" s="163" t="s">
        <v>38</v>
      </c>
      <c r="AW6" s="165" t="s">
        <v>49</v>
      </c>
      <c r="AX6" s="165" t="s">
        <v>21</v>
      </c>
      <c r="AY6" s="165" t="s">
        <v>21</v>
      </c>
      <c r="AZ6" s="165" t="s">
        <v>38</v>
      </c>
      <c r="BC6" s="10"/>
      <c r="BD6" s="10"/>
      <c r="BI6" s="71"/>
    </row>
    <row r="7" spans="1:63" s="1" customFormat="1" ht="10.199999999999999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7" t="s">
        <v>14</v>
      </c>
      <c r="L7" s="67" t="s">
        <v>15</v>
      </c>
      <c r="M7" s="67" t="s">
        <v>59</v>
      </c>
      <c r="N7" s="67" t="s">
        <v>59</v>
      </c>
      <c r="O7" s="67" t="s">
        <v>59</v>
      </c>
      <c r="P7" s="170" t="s">
        <v>61</v>
      </c>
      <c r="Q7" s="67" t="s">
        <v>61</v>
      </c>
      <c r="R7" s="67" t="s">
        <v>54</v>
      </c>
      <c r="S7" s="67" t="s">
        <v>61</v>
      </c>
      <c r="T7" s="67" t="s">
        <v>17</v>
      </c>
      <c r="U7" s="67" t="s">
        <v>16</v>
      </c>
      <c r="V7" s="67" t="s">
        <v>16</v>
      </c>
      <c r="W7" s="67" t="s">
        <v>16</v>
      </c>
      <c r="X7" s="151" t="s">
        <v>18</v>
      </c>
      <c r="Y7" s="152" t="s">
        <v>10</v>
      </c>
      <c r="Z7" s="152" t="s">
        <v>10</v>
      </c>
      <c r="AA7" s="152" t="s">
        <v>10</v>
      </c>
      <c r="AB7" s="86"/>
      <c r="AC7" s="154" t="s">
        <v>64</v>
      </c>
      <c r="AD7" s="154" t="s">
        <v>19</v>
      </c>
      <c r="AE7" s="156" t="s">
        <v>68</v>
      </c>
      <c r="AF7" s="156" t="s">
        <v>54</v>
      </c>
      <c r="AG7" s="156" t="s">
        <v>16</v>
      </c>
      <c r="AH7" s="156" t="s">
        <v>16</v>
      </c>
      <c r="AI7" s="156" t="s">
        <v>16</v>
      </c>
      <c r="AJ7" s="156" t="s">
        <v>16</v>
      </c>
      <c r="AK7" s="156" t="s">
        <v>16</v>
      </c>
      <c r="AL7" s="156" t="s">
        <v>16</v>
      </c>
      <c r="AM7" s="156" t="s">
        <v>50</v>
      </c>
      <c r="AN7" s="158" t="s">
        <v>50</v>
      </c>
      <c r="AO7" s="68" t="s">
        <v>20</v>
      </c>
      <c r="AP7" s="68" t="s">
        <v>19</v>
      </c>
      <c r="AQ7" s="68" t="s">
        <v>19</v>
      </c>
      <c r="AR7" s="68" t="s">
        <v>19</v>
      </c>
      <c r="AS7" s="69" t="s">
        <v>22</v>
      </c>
      <c r="AT7" s="69" t="s">
        <v>19</v>
      </c>
      <c r="AU7" s="69" t="s">
        <v>19</v>
      </c>
      <c r="AV7" s="69" t="s">
        <v>19</v>
      </c>
      <c r="AW7" s="70" t="s">
        <v>23</v>
      </c>
      <c r="AX7" s="70" t="s">
        <v>19</v>
      </c>
      <c r="AY7" s="70" t="s">
        <v>19</v>
      </c>
      <c r="AZ7" s="70" t="s">
        <v>19</v>
      </c>
      <c r="BC7" s="10"/>
      <c r="BD7" s="10"/>
    </row>
    <row r="8" spans="1:63" s="49" customFormat="1" ht="10.199999999999999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3" t="s">
        <v>173</v>
      </c>
      <c r="L8" s="73" t="s">
        <v>172</v>
      </c>
      <c r="M8" s="73" t="s">
        <v>57</v>
      </c>
      <c r="N8" s="73" t="s">
        <v>94</v>
      </c>
      <c r="O8" s="73" t="s">
        <v>164</v>
      </c>
      <c r="P8" s="171" t="s">
        <v>57</v>
      </c>
      <c r="Q8" s="73" t="s">
        <v>94</v>
      </c>
      <c r="R8" s="73" t="s">
        <v>48</v>
      </c>
      <c r="S8" s="73" t="s">
        <v>164</v>
      </c>
      <c r="T8" s="73" t="s">
        <v>27</v>
      </c>
      <c r="U8" s="73" t="s">
        <v>28</v>
      </c>
      <c r="V8" s="73" t="s">
        <v>170</v>
      </c>
      <c r="W8" s="73" t="s">
        <v>171</v>
      </c>
      <c r="X8" s="74" t="s">
        <v>29</v>
      </c>
      <c r="Y8" s="73" t="s">
        <v>57</v>
      </c>
      <c r="Z8" s="73" t="s">
        <v>94</v>
      </c>
      <c r="AA8" s="73" t="s">
        <v>164</v>
      </c>
      <c r="AB8" s="75" t="s">
        <v>63</v>
      </c>
      <c r="AC8" s="75" t="s">
        <v>63</v>
      </c>
      <c r="AD8" s="75" t="s">
        <v>21</v>
      </c>
      <c r="AE8" s="76" t="s">
        <v>69</v>
      </c>
      <c r="AF8" s="76" t="s">
        <v>48</v>
      </c>
      <c r="AG8" s="76" t="s">
        <v>24</v>
      </c>
      <c r="AH8" s="76" t="s">
        <v>25</v>
      </c>
      <c r="AI8" s="76" t="s">
        <v>26</v>
      </c>
      <c r="AJ8" s="76" t="s">
        <v>24</v>
      </c>
      <c r="AK8" s="76" t="s">
        <v>25</v>
      </c>
      <c r="AL8" s="76" t="s">
        <v>26</v>
      </c>
      <c r="AM8" s="76" t="s">
        <v>39</v>
      </c>
      <c r="AN8" s="77" t="s">
        <v>39</v>
      </c>
      <c r="AO8" s="78">
        <v>0.7</v>
      </c>
      <c r="AP8" s="79" t="s">
        <v>167</v>
      </c>
      <c r="AQ8" s="79" t="s">
        <v>168</v>
      </c>
      <c r="AR8" s="79" t="s">
        <v>169</v>
      </c>
      <c r="AS8" s="80">
        <v>0.5</v>
      </c>
      <c r="AT8" s="81" t="s">
        <v>167</v>
      </c>
      <c r="AU8" s="81" t="s">
        <v>168</v>
      </c>
      <c r="AV8" s="81" t="s">
        <v>169</v>
      </c>
      <c r="AW8" s="82">
        <v>0.3</v>
      </c>
      <c r="AX8" s="83" t="s">
        <v>167</v>
      </c>
      <c r="AY8" s="83" t="s">
        <v>168</v>
      </c>
      <c r="AZ8" s="83" t="s">
        <v>169</v>
      </c>
      <c r="BC8" s="84"/>
      <c r="BD8" s="84"/>
      <c r="BE8" s="85"/>
      <c r="BF8" s="85"/>
      <c r="BG8" s="85"/>
      <c r="BH8" s="85"/>
      <c r="BI8" s="85"/>
      <c r="BK8" s="85"/>
    </row>
    <row r="9" spans="1:63" s="1" customFormat="1" ht="10.199999999999999" customHeight="1">
      <c r="A9" s="86" t="s">
        <v>30</v>
      </c>
      <c r="B9" s="87" t="s">
        <v>121</v>
      </c>
      <c r="C9" s="88">
        <v>8.0713100000000004</v>
      </c>
      <c r="D9" s="88">
        <v>1730.63</v>
      </c>
      <c r="E9" s="88">
        <v>233.42599999999999</v>
      </c>
      <c r="F9" s="88">
        <f>+(99+100)/2</f>
        <v>99.5</v>
      </c>
      <c r="G9" s="88">
        <f>+(14.4362+14.5206)/2</f>
        <v>14.478400000000001</v>
      </c>
      <c r="H9" s="88">
        <v>8.1401900000000005</v>
      </c>
      <c r="I9" s="88">
        <v>1810.94</v>
      </c>
      <c r="J9" s="88">
        <v>244.48500000000001</v>
      </c>
      <c r="K9" s="89">
        <v>2311.8065616382019</v>
      </c>
      <c r="L9" s="90">
        <v>1</v>
      </c>
      <c r="M9" s="91">
        <v>80</v>
      </c>
      <c r="N9" s="92">
        <f>+(M9-32)*0.555555555555556</f>
        <v>26.666666666666689</v>
      </c>
      <c r="O9" s="93">
        <f>+N9+273.15</f>
        <v>299.81666666666666</v>
      </c>
      <c r="P9" s="91">
        <v>120</v>
      </c>
      <c r="Q9" s="92">
        <f>+(P9-32)*5/9</f>
        <v>48.888888888888886</v>
      </c>
      <c r="R9" s="94">
        <f>IF(Q9&lt;F9,(10^(C9-(D9/(E9+Q9))))/760*14.696-14.696,(10^(H9-(I9/(J9+Q9))))/760*14.696-14.696)</f>
        <v>-13.007291001035536</v>
      </c>
      <c r="S9" s="93">
        <f>+Q9+273.15</f>
        <v>322.03888888888889</v>
      </c>
      <c r="T9" s="95">
        <v>1</v>
      </c>
      <c r="U9" s="91">
        <v>170</v>
      </c>
      <c r="V9" s="167">
        <f>+U9*5/9</f>
        <v>94.444444444444443</v>
      </c>
      <c r="W9" s="168">
        <f>+V9</f>
        <v>94.444444444444443</v>
      </c>
      <c r="X9" s="96">
        <v>45</v>
      </c>
      <c r="Y9" s="97">
        <f>+U9*T9*COS(RADIANS(X9))+M9</f>
        <v>200.20815280171308</v>
      </c>
      <c r="Z9" s="92">
        <f>+(Y9-32)*5/9</f>
        <v>93.448973778729496</v>
      </c>
      <c r="AA9" s="93">
        <f>+Z9+273.15</f>
        <v>366.59897377872949</v>
      </c>
      <c r="AB9" s="98">
        <v>1</v>
      </c>
      <c r="AC9" s="99">
        <f>+(Y9-P9)/(Y9-M9)*AB9</f>
        <v>0.66724386767691879</v>
      </c>
      <c r="AD9" s="100">
        <f>+(K9*0.09290304*L9*1000*AC9)/1000</f>
        <v>143.30653933293058</v>
      </c>
      <c r="AE9" s="101">
        <v>0.6</v>
      </c>
      <c r="AF9" s="102">
        <f>+IF((R9-AE9)&gt;=-14.696,R9-AE9,-14.695)</f>
        <v>-13.607291001035536</v>
      </c>
      <c r="AG9" s="103">
        <f>+AH9*9/5+32</f>
        <v>104.67303267959264</v>
      </c>
      <c r="AH9" s="104">
        <f>+IF((AF9+14.696)&lt;G9,D9/(-(LOG10((AF9+14.696)*760/14.696)-C9))-E9,I9/(-(LOG10((AF9+14.696)*760/14.696)-H9))-J9)</f>
        <v>40.373907044218129</v>
      </c>
      <c r="AI9" s="105">
        <f>+AH9+273.15</f>
        <v>313.52390704421811</v>
      </c>
      <c r="AJ9" s="106">
        <v>85</v>
      </c>
      <c r="AK9" s="107">
        <f>+(AJ9-32)*5/9</f>
        <v>29.444444444444443</v>
      </c>
      <c r="AL9" s="108">
        <f>+AK9+273.15</f>
        <v>302.59444444444443</v>
      </c>
      <c r="AM9" s="109">
        <f>+IF(AF9&lt;-14.696,0,IF(AI9&lt;=AL9,0,(AI9-AL9)/AI9))</f>
        <v>3.4860061240026032E-2</v>
      </c>
      <c r="AN9" s="110">
        <f>+AC9*AM9</f>
        <v>2.3260162089249217E-2</v>
      </c>
      <c r="AO9" s="111">
        <f>+$AN9*AO$8</f>
        <v>1.6282113462474452E-2</v>
      </c>
      <c r="AP9" s="112">
        <f>+$AD9*1000*AO9</f>
        <v>2333.3333333333335</v>
      </c>
      <c r="AQ9" s="113">
        <f>+AP9*0.00134102209</f>
        <v>3.1290515433333335</v>
      </c>
      <c r="AR9" s="114">
        <f>+($AD9*1000-AP9)/1000</f>
        <v>140.97320599959724</v>
      </c>
      <c r="AS9" s="115">
        <f>+$AN9*AS$8</f>
        <v>1.1630081044624608E-2</v>
      </c>
      <c r="AT9" s="116">
        <f>+$AD9*1000*AS9</f>
        <v>1666.6666666666667</v>
      </c>
      <c r="AU9" s="117">
        <f>+AT9*0.00134102209</f>
        <v>2.2350368166666668</v>
      </c>
      <c r="AV9" s="118">
        <f>+($AD9*1000-AT9)/1000</f>
        <v>141.63987266626393</v>
      </c>
      <c r="AW9" s="119">
        <f>+$AN9*AW$8</f>
        <v>6.9780486267747646E-3</v>
      </c>
      <c r="AX9" s="120">
        <f>+$AD9*1000*AW9</f>
        <v>1000</v>
      </c>
      <c r="AY9" s="121">
        <f>+AX9*0.00134102209</f>
        <v>1.3410220900000001</v>
      </c>
      <c r="AZ9" s="122">
        <f>+($AD9*1000-AX9)/1000</f>
        <v>142.30653933293058</v>
      </c>
      <c r="BC9" s="10"/>
      <c r="BD9" s="10"/>
      <c r="BE9" s="10"/>
      <c r="BF9" s="10"/>
      <c r="BG9" s="10"/>
      <c r="BH9" s="10"/>
      <c r="BI9" s="10"/>
      <c r="BJ9" s="10"/>
      <c r="BK9" s="10"/>
    </row>
    <row r="10" spans="1:63" s="1" customFormat="1" ht="10.199999999999999" customHeight="1">
      <c r="A10" s="86" t="s">
        <v>30</v>
      </c>
      <c r="B10" s="87" t="s">
        <v>133</v>
      </c>
      <c r="C10" s="88">
        <v>6.9641000000000002</v>
      </c>
      <c r="D10" s="88">
        <v>1207.3</v>
      </c>
      <c r="E10" s="88">
        <v>232.154</v>
      </c>
      <c r="F10" s="88">
        <v>81</v>
      </c>
      <c r="G10" s="88">
        <v>25.05095</v>
      </c>
      <c r="H10" s="88">
        <v>6.8115899999999998</v>
      </c>
      <c r="I10" s="88">
        <v>1073.08</v>
      </c>
      <c r="J10" s="88">
        <v>209.37100000000001</v>
      </c>
      <c r="K10" s="89">
        <v>1591.4074976740681</v>
      </c>
      <c r="L10" s="90">
        <v>1</v>
      </c>
      <c r="M10" s="91">
        <v>80</v>
      </c>
      <c r="N10" s="92">
        <f>+(M10-32)*0.555555555555556</f>
        <v>26.666666666666689</v>
      </c>
      <c r="O10" s="93">
        <f>+N10+273.15</f>
        <v>299.81666666666666</v>
      </c>
      <c r="P10" s="91">
        <v>120</v>
      </c>
      <c r="Q10" s="92">
        <f>+(P10-32)*5/9</f>
        <v>48.888888888888886</v>
      </c>
      <c r="R10" s="94">
        <f>IF(Q10&lt;F10,(10^(C10-(D10/(E10+Q10))))/760*14.696-14.696,(10^(H10-(I10/(J10+Q10))))/760*14.696-14.696)</f>
        <v>-5.686515686173383</v>
      </c>
      <c r="S10" s="93">
        <f>+Q10+273.15</f>
        <v>322.03888888888889</v>
      </c>
      <c r="T10" s="95">
        <v>1</v>
      </c>
      <c r="U10" s="91">
        <v>170</v>
      </c>
      <c r="V10" s="167">
        <f t="shared" ref="V10:V13" si="0">+U10*5/9</f>
        <v>94.444444444444443</v>
      </c>
      <c r="W10" s="168">
        <f t="shared" ref="W10:W13" si="1">+V10</f>
        <v>94.444444444444443</v>
      </c>
      <c r="X10" s="96">
        <v>45</v>
      </c>
      <c r="Y10" s="97">
        <f>+U10*T10*COS(RADIANS(X10))+M10</f>
        <v>200.20815280171308</v>
      </c>
      <c r="Z10" s="92">
        <f>+(Y10-32)*5/9</f>
        <v>93.448973778729496</v>
      </c>
      <c r="AA10" s="93">
        <f>+Z10+273.15</f>
        <v>366.59897377872949</v>
      </c>
      <c r="AB10" s="98">
        <v>1</v>
      </c>
      <c r="AC10" s="99">
        <f>+(Y10-P10)/(Y10-M10)*AB10</f>
        <v>0.66724386767691879</v>
      </c>
      <c r="AD10" s="100">
        <f>+(K10*0.09290304*L10*1000*AC10)/1000</f>
        <v>98.649733478799931</v>
      </c>
      <c r="AE10" s="101">
        <v>1</v>
      </c>
      <c r="AF10" s="102">
        <f>+IF((R10-AE10)&gt;=-14.696,R10-AE10,-14.695)</f>
        <v>-6.686515686173383</v>
      </c>
      <c r="AG10" s="103">
        <f>+AH10*9/5+32</f>
        <v>114.05367045161795</v>
      </c>
      <c r="AH10" s="104">
        <f>+IF((AF10+14.696)&lt;G10,D10/(-(LOG10((AF10+14.696)*760/14.696)-C10))-E10,I10/(-(LOG10((AF10+14.696)*760/14.696)-H10))-J10)</f>
        <v>45.585372473121083</v>
      </c>
      <c r="AI10" s="105">
        <f>+AH10+273.15</f>
        <v>318.73537247312106</v>
      </c>
      <c r="AJ10" s="106">
        <v>85</v>
      </c>
      <c r="AK10" s="107">
        <f>+(AJ10-32)*5/9</f>
        <v>29.444444444444443</v>
      </c>
      <c r="AL10" s="108">
        <f>+AK10+273.15</f>
        <v>302.59444444444443</v>
      </c>
      <c r="AM10" s="109">
        <f>+IF(AF10&lt;-14.696,0,IF(AI10&lt;=AL10,0,(AI10-AL10)/AI10))</f>
        <v>5.0640529488260012E-2</v>
      </c>
      <c r="AN10" s="110">
        <f>+AC10*AM10</f>
        <v>3.3789582756953665E-2</v>
      </c>
      <c r="AO10" s="111">
        <f>+$AN10*AO$8</f>
        <v>2.3652707929867563E-2</v>
      </c>
      <c r="AP10" s="112">
        <f>+$AD10*1000*AO10</f>
        <v>2333.3333333333326</v>
      </c>
      <c r="AQ10" s="113">
        <f>+AP10*0.00134102209</f>
        <v>3.1290515433333321</v>
      </c>
      <c r="AR10" s="114">
        <f>+($AD10*1000-AP10)/1000</f>
        <v>96.316400145466602</v>
      </c>
      <c r="AS10" s="115">
        <f>+$AN10*AS$8</f>
        <v>1.6894791378476832E-2</v>
      </c>
      <c r="AT10" s="116">
        <f>+$AD10*1000*AS10</f>
        <v>1666.6666666666663</v>
      </c>
      <c r="AU10" s="117">
        <f>+AT10*0.00134102209</f>
        <v>2.2350368166666659</v>
      </c>
      <c r="AV10" s="118">
        <f>+($AD10*1000-AT10)/1000</f>
        <v>96.983066812133259</v>
      </c>
      <c r="AW10" s="119">
        <f>+$AN10*AW$8</f>
        <v>1.01368748270861E-2</v>
      </c>
      <c r="AX10" s="120">
        <f>+$AD10*1000*AW10</f>
        <v>999.99999999999989</v>
      </c>
      <c r="AY10" s="121">
        <f>+AX10*0.00134102209</f>
        <v>1.3410220899999998</v>
      </c>
      <c r="AZ10" s="122">
        <f>+($AD10*1000-AX10)/1000</f>
        <v>97.649733478799931</v>
      </c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s="1" customFormat="1" ht="10.199999999999999" customHeight="1">
      <c r="A11" s="86" t="s">
        <v>30</v>
      </c>
      <c r="B11" s="87" t="s">
        <v>142</v>
      </c>
      <c r="C11" s="88">
        <v>6.9655899999999997</v>
      </c>
      <c r="D11" s="88">
        <v>1071.54</v>
      </c>
      <c r="E11" s="88">
        <v>227.774</v>
      </c>
      <c r="F11" s="88">
        <v>25</v>
      </c>
      <c r="G11" s="88">
        <v>10.3003</v>
      </c>
      <c r="H11" s="88">
        <v>6.9655899999999997</v>
      </c>
      <c r="I11" s="88">
        <v>1071.54</v>
      </c>
      <c r="J11" s="88">
        <v>227.774</v>
      </c>
      <c r="K11" s="89">
        <v>1535.3622139762874</v>
      </c>
      <c r="L11" s="90">
        <v>1</v>
      </c>
      <c r="M11" s="91">
        <v>80</v>
      </c>
      <c r="N11" s="92">
        <f>+(M11-32)*0.555555555555556</f>
        <v>26.666666666666689</v>
      </c>
      <c r="O11" s="93">
        <f>+N11+273.15</f>
        <v>299.81666666666666</v>
      </c>
      <c r="P11" s="91">
        <v>120</v>
      </c>
      <c r="Q11" s="92">
        <f>+(P11-32)*5/9</f>
        <v>48.888888888888886</v>
      </c>
      <c r="R11" s="94">
        <f>IF(Q11&lt;F11,(10^(C11-(D11/(E11+Q11))))/760*14.696-14.696,(10^(H11-(I11/(J11+Q11))))/760*14.696-14.696)</f>
        <v>9.2309047590083271</v>
      </c>
      <c r="S11" s="93">
        <f>+Q11+273.15</f>
        <v>322.03888888888889</v>
      </c>
      <c r="T11" s="95">
        <v>1</v>
      </c>
      <c r="U11" s="91">
        <v>170</v>
      </c>
      <c r="V11" s="167">
        <f t="shared" si="0"/>
        <v>94.444444444444443</v>
      </c>
      <c r="W11" s="168">
        <f t="shared" si="1"/>
        <v>94.444444444444443</v>
      </c>
      <c r="X11" s="96">
        <v>45</v>
      </c>
      <c r="Y11" s="97">
        <f>+U11*T11*COS(RADIANS(X11))+M11</f>
        <v>200.20815280171308</v>
      </c>
      <c r="Z11" s="92">
        <f>+(Y11-32)*5/9</f>
        <v>93.448973778729496</v>
      </c>
      <c r="AA11" s="93">
        <f>+Z11+273.15</f>
        <v>366.59897377872949</v>
      </c>
      <c r="AB11" s="98">
        <v>1</v>
      </c>
      <c r="AC11" s="99">
        <f>+(Y11-P11)/(Y11-M11)*AB11</f>
        <v>0.66724386767691879</v>
      </c>
      <c r="AD11" s="100">
        <f>+(K11*0.09290304*L11*1000*AC11)/1000</f>
        <v>95.175543299596598</v>
      </c>
      <c r="AE11" s="101">
        <v>2</v>
      </c>
      <c r="AF11" s="102">
        <f>+IF((R11-AE11)&gt;=-14.696,R11-AE11,-14.695)</f>
        <v>7.2309047590083271</v>
      </c>
      <c r="AG11" s="103">
        <f>+AH11*9/5+32</f>
        <v>115.17296656683713</v>
      </c>
      <c r="AH11" s="104">
        <f>+IF((AF11+14.696)&lt;G11,D11/(-(LOG10((AF11+14.696)*760/14.696)-C11))-E11,I11/(-(LOG10((AF11+14.696)*760/14.696)-H11))-J11)</f>
        <v>46.207203648242853</v>
      </c>
      <c r="AI11" s="105">
        <f>+AH11+273.15</f>
        <v>319.35720364824283</v>
      </c>
      <c r="AJ11" s="106">
        <v>85</v>
      </c>
      <c r="AK11" s="107">
        <f>+(AJ11-32)*5/9</f>
        <v>29.444444444444443</v>
      </c>
      <c r="AL11" s="108">
        <f>+AK11+273.15</f>
        <v>302.59444444444443</v>
      </c>
      <c r="AM11" s="109">
        <f>+IF(AF11&lt;-14.696,0,IF(AI11&lt;=AL11,0,(AI11-AL11)/AI11))</f>
        <v>5.248905931134655E-2</v>
      </c>
      <c r="AN11" s="110">
        <f>+AC11*AM11</f>
        <v>3.5023002945626061E-2</v>
      </c>
      <c r="AO11" s="111">
        <f>+$AN11*AO$8</f>
        <v>2.4516102061938241E-2</v>
      </c>
      <c r="AP11" s="112">
        <f>+$AD11*1000*AO11</f>
        <v>2333.3333333333326</v>
      </c>
      <c r="AQ11" s="113">
        <f>+AP11*0.00134102209</f>
        <v>3.1290515433333321</v>
      </c>
      <c r="AR11" s="114">
        <f>+($AD11*1000-AP11)/1000</f>
        <v>92.842209966263269</v>
      </c>
      <c r="AS11" s="115">
        <f>+$AN11*AS$8</f>
        <v>1.7511501472813031E-2</v>
      </c>
      <c r="AT11" s="116">
        <f>+$AD11*1000*AS11</f>
        <v>1666.6666666666661</v>
      </c>
      <c r="AU11" s="117">
        <f>+AT11*0.00134102209</f>
        <v>2.2350368166666659</v>
      </c>
      <c r="AV11" s="118">
        <f>+($AD11*1000-AT11)/1000</f>
        <v>93.508876632929926</v>
      </c>
      <c r="AW11" s="119">
        <f>+$AN11*AW$8</f>
        <v>1.0506900883687819E-2</v>
      </c>
      <c r="AX11" s="120">
        <f>+$AD11*1000*AW11</f>
        <v>999.99999999999977</v>
      </c>
      <c r="AY11" s="121">
        <f>+AX11*0.00134102209</f>
        <v>1.3410220899999996</v>
      </c>
      <c r="AZ11" s="122">
        <f>+($AD11*1000-AX11)/1000</f>
        <v>94.175543299596598</v>
      </c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s="1" customFormat="1" ht="10.199999999999999" customHeight="1">
      <c r="A12" s="86" t="s">
        <v>30</v>
      </c>
      <c r="B12" s="87" t="s">
        <v>98</v>
      </c>
      <c r="C12" s="88">
        <v>6.8536400000000004</v>
      </c>
      <c r="D12" s="88">
        <v>933.59</v>
      </c>
      <c r="E12" s="88">
        <v>239.511</v>
      </c>
      <c r="F12" s="88">
        <v>-3.5</v>
      </c>
      <c r="G12" s="88">
        <v>12.4211626298</v>
      </c>
      <c r="H12" s="88">
        <v>7.0061299999999997</v>
      </c>
      <c r="I12" s="88">
        <v>999.04</v>
      </c>
      <c r="J12" s="88">
        <v>245.86600000000001</v>
      </c>
      <c r="K12" s="89">
        <v>1399.3644270407267</v>
      </c>
      <c r="L12" s="90">
        <v>1</v>
      </c>
      <c r="M12" s="91">
        <v>80</v>
      </c>
      <c r="N12" s="92">
        <f>+(M12-32)*0.555555555555556</f>
        <v>26.666666666666689</v>
      </c>
      <c r="O12" s="93">
        <f>+N12+273.15</f>
        <v>299.81666666666666</v>
      </c>
      <c r="P12" s="91">
        <v>120</v>
      </c>
      <c r="Q12" s="92">
        <f>+(P12-32)*5/9</f>
        <v>48.888888888888886</v>
      </c>
      <c r="R12" s="94">
        <f>IF(Q12&lt;F12,(10^(C12-(D12/(E12+Q12))))/760*14.696-14.696,(10^(H12-(I12/(J12+Q12))))/760*14.696-14.696)</f>
        <v>65.310096936769526</v>
      </c>
      <c r="S12" s="93">
        <f>+Q12+273.15</f>
        <v>322.03888888888889</v>
      </c>
      <c r="T12" s="95">
        <v>1</v>
      </c>
      <c r="U12" s="91">
        <v>170</v>
      </c>
      <c r="V12" s="167">
        <f t="shared" si="0"/>
        <v>94.444444444444443</v>
      </c>
      <c r="W12" s="168">
        <f t="shared" si="1"/>
        <v>94.444444444444443</v>
      </c>
      <c r="X12" s="96">
        <v>45</v>
      </c>
      <c r="Y12" s="97">
        <f>+U12*T12*COS(RADIANS(X12))+M12</f>
        <v>200.20815280171308</v>
      </c>
      <c r="Z12" s="92">
        <f>+(Y12-32)*5/9</f>
        <v>93.448973778729496</v>
      </c>
      <c r="AA12" s="93">
        <f>+Z12+273.15</f>
        <v>366.59897377872949</v>
      </c>
      <c r="AB12" s="98">
        <v>1</v>
      </c>
      <c r="AC12" s="99">
        <f>+(Y12-P12)/(Y12-M12)*AB12</f>
        <v>0.66724386767691879</v>
      </c>
      <c r="AD12" s="100">
        <f>+(K12*0.09290304*L12*1000*AC12)/1000</f>
        <v>86.745178698130218</v>
      </c>
      <c r="AE12" s="101">
        <v>2</v>
      </c>
      <c r="AF12" s="102">
        <f>+IF((R12-AE12)&gt;=-14.696,R12-AE12,-14.695)</f>
        <v>63.310096936769526</v>
      </c>
      <c r="AG12" s="103">
        <f>+AH12*9/5+32</f>
        <v>118.28453418427489</v>
      </c>
      <c r="AH12" s="104">
        <f>+IF((AF12+14.696)&lt;G12,D12/(-(LOG10((AF12+14.696)*760/14.696)-C12))-E12,I12/(-(LOG10((AF12+14.696)*760/14.696)-H12))-J12)</f>
        <v>47.935852324597164</v>
      </c>
      <c r="AI12" s="105">
        <f>+AH12+273.15</f>
        <v>321.08585232459711</v>
      </c>
      <c r="AJ12" s="106">
        <v>85</v>
      </c>
      <c r="AK12" s="107">
        <f>+(AJ12-32)*5/9</f>
        <v>29.444444444444443</v>
      </c>
      <c r="AL12" s="108">
        <f>+AK12+273.15</f>
        <v>302.59444444444443</v>
      </c>
      <c r="AM12" s="109">
        <f>+IF(AF12&lt;-14.696,0,IF(AI12&lt;=AL12,0,(AI12-AL12)/AI12))</f>
        <v>5.7590229361644547E-2</v>
      </c>
      <c r="AN12" s="110">
        <f>+AC12*AM12</f>
        <v>3.8426727379664558E-2</v>
      </c>
      <c r="AO12" s="111">
        <f>+$AN12*AO$8</f>
        <v>2.689870916576519E-2</v>
      </c>
      <c r="AP12" s="112">
        <f>+$AD12*1000*AO12</f>
        <v>2333.3333333333344</v>
      </c>
      <c r="AQ12" s="113">
        <f>+AP12*0.00134102209</f>
        <v>3.1290515433333348</v>
      </c>
      <c r="AR12" s="114">
        <f>+($AD12*1000-AP12)/1000</f>
        <v>84.411845364796889</v>
      </c>
      <c r="AS12" s="115">
        <f>+$AN12*AS$8</f>
        <v>1.9213363689832279E-2</v>
      </c>
      <c r="AT12" s="116">
        <f>+$AD12*1000*AS12</f>
        <v>1666.6666666666674</v>
      </c>
      <c r="AU12" s="117">
        <f>+AT12*0.00134102209</f>
        <v>2.2350368166666676</v>
      </c>
      <c r="AV12" s="118">
        <f>+($AD12*1000-AT12)/1000</f>
        <v>85.078512031463546</v>
      </c>
      <c r="AW12" s="119">
        <f>+$AN12*AW$8</f>
        <v>1.1528018213899366E-2</v>
      </c>
      <c r="AX12" s="120">
        <f>+$AD12*1000*AW12</f>
        <v>1000.0000000000005</v>
      </c>
      <c r="AY12" s="121">
        <f>+AX12*0.00134102209</f>
        <v>1.3410220900000005</v>
      </c>
      <c r="AZ12" s="122">
        <f>+($AD12*1000-AX12)/1000</f>
        <v>85.745178698130218</v>
      </c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s="1" customFormat="1" ht="10.199999999999999" customHeight="1">
      <c r="A13" s="86" t="s">
        <v>30</v>
      </c>
      <c r="B13" s="87" t="s">
        <v>144</v>
      </c>
      <c r="C13" s="88">
        <v>7.1073599999999999</v>
      </c>
      <c r="D13" s="88">
        <v>946.89</v>
      </c>
      <c r="E13" s="88">
        <v>248.64500000000001</v>
      </c>
      <c r="F13" s="88">
        <v>50</v>
      </c>
      <c r="G13" s="88">
        <v>167.15700000000001</v>
      </c>
      <c r="H13" s="88">
        <v>7.1073599999999999</v>
      </c>
      <c r="I13" s="88">
        <v>946.89</v>
      </c>
      <c r="J13" s="88">
        <v>248.64500000000001</v>
      </c>
      <c r="K13" s="89">
        <v>1367.9279280513219</v>
      </c>
      <c r="L13" s="90">
        <v>1</v>
      </c>
      <c r="M13" s="91">
        <v>80</v>
      </c>
      <c r="N13" s="92">
        <f>+(M13-32)*0.555555555555556</f>
        <v>26.666666666666689</v>
      </c>
      <c r="O13" s="93">
        <f>+N13+273.15</f>
        <v>299.81666666666666</v>
      </c>
      <c r="P13" s="91">
        <v>120</v>
      </c>
      <c r="Q13" s="92">
        <f>+(P13-32)*5/9</f>
        <v>48.888888888888886</v>
      </c>
      <c r="R13" s="94">
        <f>IF(Q13&lt;F13,(10^(C13-(D13/(E13+Q13))))/760*14.696-14.696,(10^(H13-(I13/(J13+Q13))))/760*14.696-14.696)</f>
        <v>147.96541384264049</v>
      </c>
      <c r="S13" s="93">
        <f>+Q13+273.15</f>
        <v>322.03888888888889</v>
      </c>
      <c r="T13" s="95">
        <v>1</v>
      </c>
      <c r="U13" s="91">
        <v>170</v>
      </c>
      <c r="V13" s="167">
        <f t="shared" si="0"/>
        <v>94.444444444444443</v>
      </c>
      <c r="W13" s="168">
        <f t="shared" si="1"/>
        <v>94.444444444444443</v>
      </c>
      <c r="X13" s="96">
        <v>45</v>
      </c>
      <c r="Y13" s="97">
        <f>+U13*T13*COS(RADIANS(X13))+M13</f>
        <v>200.20815280171308</v>
      </c>
      <c r="Z13" s="92">
        <f>+(Y13-32)*5/9</f>
        <v>93.448973778729496</v>
      </c>
      <c r="AA13" s="93">
        <f>+Z13+273.15</f>
        <v>366.59897377872949</v>
      </c>
      <c r="AB13" s="98">
        <v>1</v>
      </c>
      <c r="AC13" s="99">
        <f>+(Y13-P13)/(Y13-M13)*AB13</f>
        <v>0.66724386767691879</v>
      </c>
      <c r="AD13" s="100">
        <f>+(K13*0.09290304*L13*1000*AC13)/1000</f>
        <v>84.79646207379362</v>
      </c>
      <c r="AE13" s="101">
        <v>2</v>
      </c>
      <c r="AF13" s="102">
        <f>+IF((R13-AE13)&gt;=-14.696,R13-AE13,-14.695)</f>
        <v>145.96541384264049</v>
      </c>
      <c r="AG13" s="103">
        <f>+AH13*9/5+32</f>
        <v>119.09733475007178</v>
      </c>
      <c r="AH13" s="104">
        <f>+IF((AF13+14.696)&lt;G13,D13/(-(LOG10((AF13+14.696)*760/14.696)-C13))-E13,I13/(-(LOG10((AF13+14.696)*760/14.696)-H13))-J13)</f>
        <v>48.387408194484323</v>
      </c>
      <c r="AI13" s="105">
        <f>+AH13+273.15</f>
        <v>321.53740819448433</v>
      </c>
      <c r="AJ13" s="106">
        <v>85</v>
      </c>
      <c r="AK13" s="107">
        <f>+(AJ13-32)*5/9</f>
        <v>29.444444444444443</v>
      </c>
      <c r="AL13" s="108">
        <f>+AK13+273.15</f>
        <v>302.59444444444443</v>
      </c>
      <c r="AM13" s="109">
        <f>+IF(AF13&lt;-14.696,0,IF(AI13&lt;=AL13,0,(AI13-AL13)/AI13))</f>
        <v>5.8913716622925875E-2</v>
      </c>
      <c r="AN13" s="110">
        <f>+AC13*AM13</f>
        <v>3.9309816138703046E-2</v>
      </c>
      <c r="AO13" s="111">
        <f>+$AN13*AO$8</f>
        <v>2.751687129709213E-2</v>
      </c>
      <c r="AP13" s="112">
        <f>+$AD13*1000*AO13</f>
        <v>2333.333333333333</v>
      </c>
      <c r="AQ13" s="113">
        <f>+AP13*0.00134102209</f>
        <v>3.129051543333333</v>
      </c>
      <c r="AR13" s="114">
        <f>+($AD13*1000-AP13)/1000</f>
        <v>82.463128740460292</v>
      </c>
      <c r="AS13" s="115">
        <f>+$AN13*AS$8</f>
        <v>1.9654908069351523E-2</v>
      </c>
      <c r="AT13" s="116">
        <f>+$AD13*1000*AS13</f>
        <v>1666.6666666666665</v>
      </c>
      <c r="AU13" s="117">
        <f>+AT13*0.00134102209</f>
        <v>2.2350368166666663</v>
      </c>
      <c r="AV13" s="118">
        <f>+($AD13*1000-AT13)/1000</f>
        <v>83.129795407126949</v>
      </c>
      <c r="AW13" s="119">
        <f>+$AN13*AW$8</f>
        <v>1.1792944841610914E-2</v>
      </c>
      <c r="AX13" s="120">
        <f>+$AD13*1000*AW13</f>
        <v>1000</v>
      </c>
      <c r="AY13" s="121">
        <f>+AX13*0.00134102209</f>
        <v>1.3410220900000001</v>
      </c>
      <c r="AZ13" s="122">
        <f>+($AD13*1000-AX13)/1000</f>
        <v>83.79646207379362</v>
      </c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s="1" customFormat="1" ht="10.199999999999999" customHeight="1">
      <c r="A14" s="86" t="s">
        <v>81</v>
      </c>
      <c r="B14" s="87"/>
      <c r="C14" s="88"/>
      <c r="D14" s="88"/>
      <c r="E14" s="88"/>
      <c r="F14" s="88"/>
      <c r="G14" s="88"/>
      <c r="H14" s="88"/>
      <c r="I14" s="88"/>
      <c r="J14" s="88"/>
      <c r="K14" s="89">
        <v>53.819552083548629</v>
      </c>
      <c r="L14" s="90">
        <v>1</v>
      </c>
      <c r="M14" s="123"/>
      <c r="N14" s="92">
        <f t="shared" ref="N14:N27" si="2">+(M14-32)*0.555555555555556</f>
        <v>-17.777777777777793</v>
      </c>
      <c r="O14" s="93">
        <f t="shared" ref="O14:O27" si="3">+N14+273.15</f>
        <v>255.37222222222218</v>
      </c>
      <c r="P14" s="91">
        <v>77</v>
      </c>
      <c r="Q14" s="92">
        <f t="shared" ref="Q14:Q19" si="4">+(P14-32)*5/9</f>
        <v>25</v>
      </c>
      <c r="R14" s="123"/>
      <c r="S14" s="93">
        <f t="shared" ref="S14:S27" si="5">+Q14+273.15</f>
        <v>298.14999999999998</v>
      </c>
      <c r="T14" s="95">
        <v>1</v>
      </c>
      <c r="U14" s="124">
        <v>-4.8499999999999996</v>
      </c>
      <c r="V14" s="124"/>
      <c r="W14" s="124"/>
      <c r="X14" s="125"/>
      <c r="Y14" s="97"/>
      <c r="Z14" s="92"/>
      <c r="AA14" s="93"/>
      <c r="AB14" s="98">
        <v>1</v>
      </c>
      <c r="AC14" s="126">
        <v>0.2</v>
      </c>
      <c r="AD14" s="127">
        <f>+(K14*0.09290304*L14*1000*AC14*AB14*T14*(1+(25-Q14)*-U14/1000))/1000</f>
        <v>1.0000000000000004</v>
      </c>
      <c r="AE14" s="128"/>
      <c r="AF14" s="102"/>
      <c r="AG14" s="103"/>
      <c r="AH14" s="104"/>
      <c r="AI14" s="105"/>
      <c r="AJ14" s="129"/>
      <c r="AK14" s="130"/>
      <c r="AL14" s="131"/>
      <c r="AM14" s="132"/>
      <c r="AN14" s="133"/>
      <c r="AO14" s="134"/>
      <c r="AP14" s="135">
        <f t="shared" ref="AP14" si="6">+$AD14*1000</f>
        <v>1000.0000000000005</v>
      </c>
      <c r="AQ14" s="136">
        <f t="shared" ref="AQ14:AQ19" si="7">+AP14*0.00134102209</f>
        <v>1.3410220900000005</v>
      </c>
      <c r="AR14" s="137">
        <f t="shared" ref="AR14" si="8">+(AP14/$AC14-AP14)/1000</f>
        <v>4.0000000000000018</v>
      </c>
      <c r="AS14" s="138"/>
      <c r="AT14" s="139">
        <f t="shared" ref="AT14" si="9">+$AD14*1000</f>
        <v>1000.0000000000005</v>
      </c>
      <c r="AU14" s="140">
        <f t="shared" ref="AU14:AU19" si="10">+AT14*0.00134102209</f>
        <v>1.3410220900000005</v>
      </c>
      <c r="AV14" s="141">
        <f t="shared" ref="AV14" si="11">+(AT14/$AC14-AT14)/1000</f>
        <v>4.0000000000000018</v>
      </c>
      <c r="AW14" s="142"/>
      <c r="AX14" s="120">
        <f>+$AD14*1000</f>
        <v>1000.0000000000005</v>
      </c>
      <c r="AY14" s="121">
        <f t="shared" ref="AY14:AY19" si="12">+AX14*0.00134102209</f>
        <v>1.3410220900000005</v>
      </c>
      <c r="AZ14" s="122">
        <f>+(AX14/$AC14-AX14)/1000</f>
        <v>4.0000000000000018</v>
      </c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1" customFormat="1" ht="10.199999999999999" customHeight="1">
      <c r="A15" s="86" t="s">
        <v>45</v>
      </c>
      <c r="B15" s="87" t="s">
        <v>121</v>
      </c>
      <c r="C15" s="88">
        <v>8.0713100000000004</v>
      </c>
      <c r="D15" s="88">
        <v>1730.63</v>
      </c>
      <c r="E15" s="88">
        <v>233.42599999999999</v>
      </c>
      <c r="F15" s="88">
        <f t="shared" ref="F15:F19" si="13">+(99+100)/2</f>
        <v>99.5</v>
      </c>
      <c r="G15" s="88">
        <f t="shared" ref="G15:G19" si="14">+(14.4362+14.5206)/2</f>
        <v>14.478400000000001</v>
      </c>
      <c r="H15" s="88">
        <v>8.1401900000000005</v>
      </c>
      <c r="I15" s="88">
        <v>1810.94</v>
      </c>
      <c r="J15" s="88">
        <v>244.48500000000001</v>
      </c>
      <c r="K15" s="89">
        <v>610.05463769856203</v>
      </c>
      <c r="L15" s="90">
        <v>1</v>
      </c>
      <c r="M15" s="91">
        <v>80</v>
      </c>
      <c r="N15" s="92">
        <f t="shared" si="2"/>
        <v>26.666666666666689</v>
      </c>
      <c r="O15" s="93">
        <f t="shared" si="3"/>
        <v>299.81666666666666</v>
      </c>
      <c r="P15" s="91">
        <v>180</v>
      </c>
      <c r="Q15" s="92">
        <f t="shared" si="4"/>
        <v>82.222222222222229</v>
      </c>
      <c r="R15" s="94">
        <f t="shared" ref="R15:R19" si="15">IF(Q15&lt;F15,(10^(C15-(D15/(E15+Q15))))/760*14.696-14.696,(10^(H15-(I15/(J15+Q15))))/760*14.696-14.696)</f>
        <v>-7.1985290766586179</v>
      </c>
      <c r="S15" s="93">
        <f t="shared" si="5"/>
        <v>355.37222222222221</v>
      </c>
      <c r="T15" s="95">
        <v>1</v>
      </c>
      <c r="U15" s="91">
        <v>340</v>
      </c>
      <c r="V15" s="167">
        <f t="shared" ref="V15:V19" si="16">+U15*5/9</f>
        <v>188.88888888888889</v>
      </c>
      <c r="W15" s="168">
        <f t="shared" ref="W15:W19" si="17">+V15</f>
        <v>188.88888888888889</v>
      </c>
      <c r="X15" s="96">
        <v>0</v>
      </c>
      <c r="Y15" s="97">
        <f>+U15*T15*COS(RADIANS(X15))+M15</f>
        <v>420</v>
      </c>
      <c r="Z15" s="92">
        <f t="shared" ref="Z15:Z19" si="18">+(Y15-32)*5/9</f>
        <v>215.55555555555554</v>
      </c>
      <c r="AA15" s="93">
        <f t="shared" ref="AA15:AA27" si="19">+Z15+273.15</f>
        <v>488.70555555555552</v>
      </c>
      <c r="AB15" s="98">
        <v>1</v>
      </c>
      <c r="AC15" s="99">
        <f>+(Y15-P15)/(Y15-M15)*AB15</f>
        <v>0.70588235294117652</v>
      </c>
      <c r="AD15" s="100">
        <f>+(K15*0.09290304*L15*1000*AC15)/1000</f>
        <v>40.006539111737673</v>
      </c>
      <c r="AE15" s="101">
        <v>3</v>
      </c>
      <c r="AF15" s="102">
        <f t="shared" ref="AF15:AF19" si="20">+IF((R15-AE15)&gt;=-14.696,R15-AE15,-14.695)</f>
        <v>-10.198529076658618</v>
      </c>
      <c r="AG15" s="103">
        <f>+AH15*9/5+32</f>
        <v>157.89507079962883</v>
      </c>
      <c r="AH15" s="104">
        <f t="shared" ref="AH15:AH19" si="21">+IF((AF15+14.696)&lt;G15,D15/(-(LOG10((AF15+14.696)*760/14.696)-C15))-E15,I15/(-(LOG10((AF15+14.696)*760/14.696)-H15))-J15)</f>
        <v>69.941705999793783</v>
      </c>
      <c r="AI15" s="105">
        <f t="shared" ref="AI15:AI27" si="22">+AH15+273.15</f>
        <v>343.09170599979376</v>
      </c>
      <c r="AJ15" s="106">
        <v>85</v>
      </c>
      <c r="AK15" s="107">
        <f t="shared" ref="AK15:AK19" si="23">+(AJ15-32)*5/9</f>
        <v>29.444444444444443</v>
      </c>
      <c r="AL15" s="108">
        <f t="shared" ref="AL15:AL27" si="24">+AK15+273.15</f>
        <v>302.59444444444443</v>
      </c>
      <c r="AM15" s="109">
        <f t="shared" ref="AM15:AM19" si="25">+IF(AF15&lt;-14.696,0,IF(AI15&lt;=AL15,0,(AI15-AL15)/AI15))</f>
        <v>0.11803625924834706</v>
      </c>
      <c r="AN15" s="110">
        <f t="shared" ref="AN15:AN27" si="26">+AC15*AM15</f>
        <v>8.3319712410597921E-2</v>
      </c>
      <c r="AO15" s="111">
        <f>+$AN15*AO$8</f>
        <v>5.8323798687418542E-2</v>
      </c>
      <c r="AP15" s="112">
        <f>+$AD15*1000*AO15</f>
        <v>2333.3333333333239</v>
      </c>
      <c r="AQ15" s="113">
        <f t="shared" si="7"/>
        <v>3.1290515433333206</v>
      </c>
      <c r="AR15" s="114">
        <f>+($AD15*1000-AP15)/1000</f>
        <v>37.673205778404352</v>
      </c>
      <c r="AS15" s="115">
        <f>+$AN15*AS$8</f>
        <v>4.165985620529896E-2</v>
      </c>
      <c r="AT15" s="116">
        <f>+$AD15*1000*AS15</f>
        <v>1666.6666666666601</v>
      </c>
      <c r="AU15" s="117">
        <f t="shared" si="10"/>
        <v>2.2350368166666579</v>
      </c>
      <c r="AV15" s="118">
        <f>+($AD15*1000-AT15)/1000</f>
        <v>38.339872445071016</v>
      </c>
      <c r="AW15" s="119">
        <f t="shared" ref="AW15:AW19" si="27">+$AN15*AW$8</f>
        <v>2.4995913723179376E-2</v>
      </c>
      <c r="AX15" s="120">
        <f t="shared" ref="AX15:AX27" si="28">+$AD15*1000*AW15</f>
        <v>999.99999999999613</v>
      </c>
      <c r="AY15" s="121">
        <f t="shared" si="12"/>
        <v>1.3410220899999947</v>
      </c>
      <c r="AZ15" s="122">
        <f t="shared" ref="AZ15:AZ27" si="29">+($AD15*1000-AX15)/1000</f>
        <v>39.006539111737681</v>
      </c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1" customFormat="1" ht="10.199999999999999" customHeight="1">
      <c r="A16" s="86" t="s">
        <v>46</v>
      </c>
      <c r="B16" s="87" t="s">
        <v>121</v>
      </c>
      <c r="C16" s="88">
        <v>8.0713100000000004</v>
      </c>
      <c r="D16" s="88">
        <v>1730.63</v>
      </c>
      <c r="E16" s="88">
        <v>233.42599999999999</v>
      </c>
      <c r="F16" s="88">
        <f t="shared" si="13"/>
        <v>99.5</v>
      </c>
      <c r="G16" s="88">
        <f t="shared" si="14"/>
        <v>14.478400000000001</v>
      </c>
      <c r="H16" s="88">
        <v>8.1401900000000005</v>
      </c>
      <c r="I16" s="88">
        <v>1810.94</v>
      </c>
      <c r="J16" s="88">
        <v>244.48500000000001</v>
      </c>
      <c r="K16" s="89">
        <v>288.92214449160093</v>
      </c>
      <c r="L16" s="90">
        <v>1</v>
      </c>
      <c r="M16" s="91">
        <v>80</v>
      </c>
      <c r="N16" s="92">
        <f t="shared" si="2"/>
        <v>26.666666666666689</v>
      </c>
      <c r="O16" s="93">
        <f t="shared" si="3"/>
        <v>299.81666666666666</v>
      </c>
      <c r="P16" s="143">
        <v>250</v>
      </c>
      <c r="Q16" s="92">
        <f t="shared" si="4"/>
        <v>121.11111111111111</v>
      </c>
      <c r="R16" s="94">
        <f t="shared" si="15"/>
        <v>15.03338200591997</v>
      </c>
      <c r="S16" s="93">
        <f t="shared" si="5"/>
        <v>394.26111111111106</v>
      </c>
      <c r="T16" s="95">
        <v>2</v>
      </c>
      <c r="U16" s="91">
        <v>340</v>
      </c>
      <c r="V16" s="167">
        <f t="shared" si="16"/>
        <v>188.88888888888889</v>
      </c>
      <c r="W16" s="168">
        <f t="shared" si="17"/>
        <v>188.88888888888889</v>
      </c>
      <c r="X16" s="96">
        <v>0</v>
      </c>
      <c r="Y16" s="97">
        <f>+U16*T16*COS(RADIANS(X16))+M16</f>
        <v>760</v>
      </c>
      <c r="Z16" s="92">
        <f t="shared" si="18"/>
        <v>404.44444444444446</v>
      </c>
      <c r="AA16" s="93">
        <f t="shared" si="19"/>
        <v>677.59444444444443</v>
      </c>
      <c r="AB16" s="98">
        <v>1</v>
      </c>
      <c r="AC16" s="99">
        <f>+(Y16-P16)/(Y16-M16)*AB16</f>
        <v>0.75</v>
      </c>
      <c r="AD16" s="100">
        <f>+(K16*0.09290304*L16*1000*AC16)/1000</f>
        <v>20.131309159941736</v>
      </c>
      <c r="AE16" s="101">
        <v>5</v>
      </c>
      <c r="AF16" s="102">
        <f t="shared" si="20"/>
        <v>10.03338200591997</v>
      </c>
      <c r="AG16" s="103">
        <f t="shared" ref="AG16:AG19" si="30">+AH16*9/5+32</f>
        <v>239.54420172463006</v>
      </c>
      <c r="AH16" s="104">
        <f t="shared" si="21"/>
        <v>115.30233429146114</v>
      </c>
      <c r="AI16" s="105">
        <f t="shared" si="22"/>
        <v>388.45233429146111</v>
      </c>
      <c r="AJ16" s="106">
        <v>85</v>
      </c>
      <c r="AK16" s="107">
        <f t="shared" si="23"/>
        <v>29.444444444444443</v>
      </c>
      <c r="AL16" s="108">
        <f t="shared" si="24"/>
        <v>302.59444444444443</v>
      </c>
      <c r="AM16" s="109">
        <f t="shared" si="25"/>
        <v>0.22102554745519004</v>
      </c>
      <c r="AN16" s="110">
        <f t="shared" si="26"/>
        <v>0.16576916059139252</v>
      </c>
      <c r="AO16" s="111">
        <f>+$AN16*AO$8</f>
        <v>0.11603841241397475</v>
      </c>
      <c r="AP16" s="112">
        <f>+$AD16*1000*AO16</f>
        <v>2336.0051547345465</v>
      </c>
      <c r="AQ16" s="113">
        <f t="shared" si="7"/>
        <v>3.1326345148528949</v>
      </c>
      <c r="AR16" s="114">
        <f>+($AD16*1000-AP16)/1000</f>
        <v>17.795304005207189</v>
      </c>
      <c r="AS16" s="115">
        <f>+$AN16*AS$8</f>
        <v>8.2884580295696259E-2</v>
      </c>
      <c r="AT16" s="116">
        <f>+$AD16*1000*AS16</f>
        <v>1668.5751105246763</v>
      </c>
      <c r="AU16" s="117">
        <f t="shared" si="10"/>
        <v>2.2375960820377823</v>
      </c>
      <c r="AV16" s="118">
        <f>+($AD16*1000-AT16)/1000</f>
        <v>18.462734049417058</v>
      </c>
      <c r="AW16" s="119">
        <f t="shared" si="27"/>
        <v>4.9730748177417752E-2</v>
      </c>
      <c r="AX16" s="120">
        <f t="shared" si="28"/>
        <v>1001.1450663148057</v>
      </c>
      <c r="AY16" s="121">
        <f t="shared" si="12"/>
        <v>1.3425576492226694</v>
      </c>
      <c r="AZ16" s="122">
        <f t="shared" si="29"/>
        <v>19.130164093626927</v>
      </c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s="1" customFormat="1" ht="10.199999999999999" customHeight="1">
      <c r="A17" s="86" t="s">
        <v>32</v>
      </c>
      <c r="B17" s="87" t="s">
        <v>121</v>
      </c>
      <c r="C17" s="88">
        <v>8.0713100000000004</v>
      </c>
      <c r="D17" s="88">
        <v>1730.63</v>
      </c>
      <c r="E17" s="88">
        <v>233.42599999999999</v>
      </c>
      <c r="F17" s="88">
        <f t="shared" si="13"/>
        <v>99.5</v>
      </c>
      <c r="G17" s="88">
        <f t="shared" si="14"/>
        <v>14.478400000000001</v>
      </c>
      <c r="H17" s="88">
        <v>8.1401900000000005</v>
      </c>
      <c r="I17" s="88">
        <v>1810.94</v>
      </c>
      <c r="J17" s="88">
        <v>244.48500000000001</v>
      </c>
      <c r="K17" s="89">
        <v>207.70519473699176</v>
      </c>
      <c r="L17" s="90">
        <v>0.8</v>
      </c>
      <c r="M17" s="91">
        <v>80</v>
      </c>
      <c r="N17" s="92">
        <f t="shared" ref="N17:N19" si="31">+(M17-32)*0.555555555555556</f>
        <v>26.666666666666689</v>
      </c>
      <c r="O17" s="93">
        <f t="shared" ref="O17:O19" si="32">+N17+273.15</f>
        <v>299.81666666666666</v>
      </c>
      <c r="P17" s="143">
        <v>406.05216809635135</v>
      </c>
      <c r="Q17" s="92">
        <f t="shared" si="4"/>
        <v>207.80676005352854</v>
      </c>
      <c r="R17" s="94">
        <f t="shared" si="15"/>
        <v>249.94407069531709</v>
      </c>
      <c r="S17" s="93">
        <f t="shared" ref="S17:S19" si="33">+Q17+273.15</f>
        <v>480.95676005352851</v>
      </c>
      <c r="T17" s="95">
        <v>20</v>
      </c>
      <c r="U17" s="91">
        <v>170</v>
      </c>
      <c r="V17" s="167">
        <f t="shared" si="16"/>
        <v>94.444444444444443</v>
      </c>
      <c r="W17" s="168">
        <f t="shared" si="17"/>
        <v>94.444444444444443</v>
      </c>
      <c r="X17" s="96">
        <v>0</v>
      </c>
      <c r="Y17" s="97">
        <f>+U17*T17*COS(RADIANS(X17))+M17</f>
        <v>3480</v>
      </c>
      <c r="Z17" s="92">
        <f t="shared" si="18"/>
        <v>1915.5555555555557</v>
      </c>
      <c r="AA17" s="93">
        <f t="shared" ref="AA17:AA19" si="34">+Z17+273.15</f>
        <v>2188.7055555555557</v>
      </c>
      <c r="AB17" s="98">
        <v>0.85</v>
      </c>
      <c r="AC17" s="99">
        <f>+(Y17-P17)/(Y17-M17)*AB17</f>
        <v>0.76848695797591227</v>
      </c>
      <c r="AD17" s="100">
        <f>+(K17*0.09290304*L17*1000*AC17)/1000</f>
        <v>11.863252448584911</v>
      </c>
      <c r="AE17" s="101">
        <v>20</v>
      </c>
      <c r="AF17" s="102">
        <f t="shared" si="20"/>
        <v>229.94407069531709</v>
      </c>
      <c r="AG17" s="103">
        <f t="shared" si="30"/>
        <v>399.1714989138697</v>
      </c>
      <c r="AH17" s="104">
        <f t="shared" si="21"/>
        <v>203.98416606326094</v>
      </c>
      <c r="AI17" s="105">
        <f t="shared" ref="AI17:AI19" si="35">+AH17+273.15</f>
        <v>477.13416606326092</v>
      </c>
      <c r="AJ17" s="106">
        <v>85</v>
      </c>
      <c r="AK17" s="107">
        <f t="shared" si="23"/>
        <v>29.444444444444443</v>
      </c>
      <c r="AL17" s="108">
        <f t="shared" ref="AL17:AL19" si="36">+AK17+273.15</f>
        <v>302.59444444444443</v>
      </c>
      <c r="AM17" s="109">
        <f t="shared" si="25"/>
        <v>0.3658084749178811</v>
      </c>
      <c r="AN17" s="110">
        <f t="shared" ref="AN17:AN19" si="37">+AC17*AM17</f>
        <v>0.28111904209145022</v>
      </c>
      <c r="AO17" s="111">
        <f>+$AN17*AO$8</f>
        <v>0.19678332946401514</v>
      </c>
      <c r="AP17" s="112">
        <f t="shared" ref="AP17:AP19" si="38">+$AD17*1000*AO17</f>
        <v>2334.4903151046688</v>
      </c>
      <c r="AQ17" s="113">
        <f t="shared" si="7"/>
        <v>3.1306030814464214</v>
      </c>
      <c r="AR17" s="114">
        <f t="shared" ref="AR17:AR19" si="39">+($AD17*1000-AP17)/1000</f>
        <v>9.5287621334802406</v>
      </c>
      <c r="AS17" s="115">
        <f>+$AN17*AS$8</f>
        <v>0.14055952104572511</v>
      </c>
      <c r="AT17" s="116">
        <f t="shared" ref="AT17:AT19" si="40">+$AD17*1000*AS17</f>
        <v>1667.4930822176207</v>
      </c>
      <c r="AU17" s="117">
        <f t="shared" si="10"/>
        <v>2.2361450581760156</v>
      </c>
      <c r="AV17" s="118">
        <f t="shared" ref="AV17:AV19" si="41">+($AD17*1000-AT17)/1000</f>
        <v>10.195759366367289</v>
      </c>
      <c r="AW17" s="119">
        <f t="shared" si="27"/>
        <v>8.4335712627435069E-2</v>
      </c>
      <c r="AX17" s="120">
        <f t="shared" ref="AX17:AX19" si="42">+$AD17*1000*AW17</f>
        <v>1000.4958493305724</v>
      </c>
      <c r="AY17" s="121">
        <f t="shared" si="12"/>
        <v>1.3416870349056091</v>
      </c>
      <c r="AZ17" s="122">
        <f t="shared" ref="AZ17:AZ19" si="43">+($AD17*1000-AX17)/1000</f>
        <v>10.862756599254336</v>
      </c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s="1" customFormat="1" ht="10.199999999999999" customHeight="1">
      <c r="A18" s="86" t="s">
        <v>33</v>
      </c>
      <c r="B18" s="87" t="s">
        <v>121</v>
      </c>
      <c r="C18" s="88">
        <v>8.0713100000000004</v>
      </c>
      <c r="D18" s="88">
        <v>1730.63</v>
      </c>
      <c r="E18" s="88">
        <v>233.42599999999999</v>
      </c>
      <c r="F18" s="88">
        <f t="shared" si="13"/>
        <v>99.5</v>
      </c>
      <c r="G18" s="88">
        <f t="shared" si="14"/>
        <v>14.478400000000001</v>
      </c>
      <c r="H18" s="88">
        <v>8.1401900000000005</v>
      </c>
      <c r="I18" s="88">
        <v>1810.94</v>
      </c>
      <c r="J18" s="88">
        <v>244.48500000000001</v>
      </c>
      <c r="K18" s="89">
        <v>201.81371986278356</v>
      </c>
      <c r="L18" s="90">
        <v>0.8</v>
      </c>
      <c r="M18" s="91">
        <v>80</v>
      </c>
      <c r="N18" s="92">
        <f t="shared" si="31"/>
        <v>26.666666666666689</v>
      </c>
      <c r="O18" s="93">
        <f t="shared" si="32"/>
        <v>299.81666666666666</v>
      </c>
      <c r="P18" s="143">
        <v>426.48412885038465</v>
      </c>
      <c r="Q18" s="92">
        <f t="shared" si="4"/>
        <v>219.15784936132479</v>
      </c>
      <c r="R18" s="94">
        <f t="shared" si="15"/>
        <v>316.95489242248891</v>
      </c>
      <c r="S18" s="93">
        <f t="shared" si="33"/>
        <v>492.30784936132477</v>
      </c>
      <c r="T18" s="95">
        <v>20</v>
      </c>
      <c r="U18" s="91">
        <v>170</v>
      </c>
      <c r="V18" s="167">
        <f t="shared" si="16"/>
        <v>94.444444444444443</v>
      </c>
      <c r="W18" s="168">
        <f t="shared" si="17"/>
        <v>94.444444444444443</v>
      </c>
      <c r="X18" s="96">
        <v>0</v>
      </c>
      <c r="Y18" s="97">
        <f>+U18*T18*COS(RADIANS(X18))+M18</f>
        <v>3480</v>
      </c>
      <c r="Z18" s="92">
        <f t="shared" si="18"/>
        <v>1915.5555555555557</v>
      </c>
      <c r="AA18" s="93">
        <f t="shared" si="34"/>
        <v>2188.7055555555557</v>
      </c>
      <c r="AB18" s="98">
        <v>0.85</v>
      </c>
      <c r="AC18" s="99">
        <f>+(Y18-P18)/(Y18-M18)*AB18</f>
        <v>0.76337896778740377</v>
      </c>
      <c r="AD18" s="100">
        <f>+(K18*0.09290304*L18*1000*AC18)/1000</f>
        <v>11.450139823908394</v>
      </c>
      <c r="AE18" s="101">
        <v>20</v>
      </c>
      <c r="AF18" s="102">
        <f t="shared" si="20"/>
        <v>296.95489242248891</v>
      </c>
      <c r="AG18" s="103">
        <f t="shared" si="30"/>
        <v>420.75205332194781</v>
      </c>
      <c r="AH18" s="104">
        <f t="shared" si="21"/>
        <v>215.97336295663769</v>
      </c>
      <c r="AI18" s="105">
        <f t="shared" si="35"/>
        <v>489.12336295663766</v>
      </c>
      <c r="AJ18" s="106">
        <v>85</v>
      </c>
      <c r="AK18" s="107">
        <f t="shared" si="23"/>
        <v>29.444444444444443</v>
      </c>
      <c r="AL18" s="108">
        <f t="shared" si="36"/>
        <v>302.59444444444443</v>
      </c>
      <c r="AM18" s="109">
        <f t="shared" si="25"/>
        <v>0.38135352477270568</v>
      </c>
      <c r="AN18" s="110">
        <f t="shared" si="37"/>
        <v>0.29111726010307615</v>
      </c>
      <c r="AO18" s="111">
        <f>+$AN18*AO$8</f>
        <v>0.20378208207215329</v>
      </c>
      <c r="AP18" s="112">
        <f t="shared" si="38"/>
        <v>2333.3333333333312</v>
      </c>
      <c r="AQ18" s="113">
        <f t="shared" si="7"/>
        <v>3.1290515433333304</v>
      </c>
      <c r="AR18" s="114">
        <f t="shared" si="39"/>
        <v>9.1168064905750619</v>
      </c>
      <c r="AS18" s="115">
        <f>+$AN18*AS$8</f>
        <v>0.14555863005153807</v>
      </c>
      <c r="AT18" s="116">
        <f t="shared" si="40"/>
        <v>1666.6666666666652</v>
      </c>
      <c r="AU18" s="117">
        <f t="shared" si="10"/>
        <v>2.2350368166666645</v>
      </c>
      <c r="AV18" s="118">
        <f t="shared" si="41"/>
        <v>9.7834731572417297</v>
      </c>
      <c r="AW18" s="119">
        <f t="shared" si="27"/>
        <v>8.7335178030922847E-2</v>
      </c>
      <c r="AX18" s="120">
        <f t="shared" si="42"/>
        <v>999.99999999999909</v>
      </c>
      <c r="AY18" s="121">
        <f t="shared" si="12"/>
        <v>1.3410220899999987</v>
      </c>
      <c r="AZ18" s="122">
        <f t="shared" si="43"/>
        <v>10.450139823908394</v>
      </c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s="1" customFormat="1" ht="10.199999999999999" customHeight="1">
      <c r="A19" s="86" t="s">
        <v>34</v>
      </c>
      <c r="B19" s="87" t="s">
        <v>121</v>
      </c>
      <c r="C19" s="88">
        <v>8.0713100000000004</v>
      </c>
      <c r="D19" s="88">
        <v>1730.63</v>
      </c>
      <c r="E19" s="88">
        <v>233.42599999999999</v>
      </c>
      <c r="F19" s="88">
        <f t="shared" si="13"/>
        <v>99.5</v>
      </c>
      <c r="G19" s="88">
        <f t="shared" si="14"/>
        <v>14.478400000000001</v>
      </c>
      <c r="H19" s="88">
        <v>8.1401900000000005</v>
      </c>
      <c r="I19" s="88">
        <v>1810.94</v>
      </c>
      <c r="J19" s="88">
        <v>244.48500000000001</v>
      </c>
      <c r="K19" s="89">
        <v>371.80651460134112</v>
      </c>
      <c r="L19" s="90">
        <v>0.8</v>
      </c>
      <c r="M19" s="91">
        <v>80</v>
      </c>
      <c r="N19" s="92">
        <f t="shared" si="31"/>
        <v>26.666666666666689</v>
      </c>
      <c r="O19" s="93">
        <f t="shared" si="32"/>
        <v>299.81666666666666</v>
      </c>
      <c r="P19" s="143">
        <v>406.03837409595968</v>
      </c>
      <c r="Q19" s="92">
        <f t="shared" si="4"/>
        <v>207.7990967199776</v>
      </c>
      <c r="R19" s="94">
        <f t="shared" si="15"/>
        <v>249.90273462665451</v>
      </c>
      <c r="S19" s="93">
        <f t="shared" si="33"/>
        <v>480.94909671997755</v>
      </c>
      <c r="T19" s="95">
        <v>20</v>
      </c>
      <c r="U19" s="91">
        <v>170</v>
      </c>
      <c r="V19" s="167">
        <f t="shared" si="16"/>
        <v>94.444444444444443</v>
      </c>
      <c r="W19" s="168">
        <f t="shared" si="17"/>
        <v>94.444444444444443</v>
      </c>
      <c r="X19" s="96">
        <v>0</v>
      </c>
      <c r="Y19" s="97">
        <f>+U19*T19*COS(RADIANS(X19))+M19</f>
        <v>3480</v>
      </c>
      <c r="Z19" s="92">
        <f t="shared" si="18"/>
        <v>1915.5555555555557</v>
      </c>
      <c r="AA19" s="93">
        <f t="shared" si="34"/>
        <v>2188.7055555555557</v>
      </c>
      <c r="AB19" s="98">
        <v>0.95</v>
      </c>
      <c r="AC19" s="99">
        <f>+(Y19-P19)/(Y19-M19)*AB19</f>
        <v>0.85890104253201127</v>
      </c>
      <c r="AD19" s="100">
        <f>+(K19*0.09290304*L19*1000*AC19)/1000</f>
        <v>23.734497270846056</v>
      </c>
      <c r="AE19" s="101">
        <v>20</v>
      </c>
      <c r="AF19" s="102">
        <f t="shared" si="20"/>
        <v>229.90273462665451</v>
      </c>
      <c r="AG19" s="103">
        <f t="shared" si="30"/>
        <v>399.15682829921752</v>
      </c>
      <c r="AH19" s="104">
        <f t="shared" si="21"/>
        <v>203.97601572178752</v>
      </c>
      <c r="AI19" s="105">
        <f t="shared" si="35"/>
        <v>477.1260157217875</v>
      </c>
      <c r="AJ19" s="106">
        <v>85</v>
      </c>
      <c r="AK19" s="107">
        <f t="shared" si="23"/>
        <v>29.444444444444443</v>
      </c>
      <c r="AL19" s="108">
        <f t="shared" si="36"/>
        <v>302.59444444444443</v>
      </c>
      <c r="AM19" s="109">
        <f t="shared" si="25"/>
        <v>0.36579764155872929</v>
      </c>
      <c r="AN19" s="110">
        <f t="shared" si="37"/>
        <v>0.31418397569054357</v>
      </c>
      <c r="AO19" s="111">
        <f>+$AN19*AO$8</f>
        <v>0.21992878298338048</v>
      </c>
      <c r="AP19" s="112">
        <f t="shared" si="38"/>
        <v>5219.8990994995384</v>
      </c>
      <c r="AQ19" s="113">
        <f t="shared" si="7"/>
        <v>6.9999999999999885</v>
      </c>
      <c r="AR19" s="114">
        <f t="shared" si="39"/>
        <v>18.514598171346517</v>
      </c>
      <c r="AS19" s="115">
        <f>+$AN19*AS$8</f>
        <v>0.15709198784527179</v>
      </c>
      <c r="AT19" s="116">
        <f t="shared" si="40"/>
        <v>3728.4993567853849</v>
      </c>
      <c r="AU19" s="117">
        <f t="shared" si="10"/>
        <v>4.999999999999992</v>
      </c>
      <c r="AV19" s="118">
        <f t="shared" si="41"/>
        <v>20.005997914060671</v>
      </c>
      <c r="AW19" s="119">
        <f t="shared" si="27"/>
        <v>9.4255192707163066E-2</v>
      </c>
      <c r="AX19" s="120">
        <f t="shared" si="42"/>
        <v>2237.0996140712309</v>
      </c>
      <c r="AY19" s="121">
        <f t="shared" si="12"/>
        <v>2.9999999999999956</v>
      </c>
      <c r="AZ19" s="122">
        <f t="shared" si="43"/>
        <v>21.497397656774826</v>
      </c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s="1" customFormat="1" ht="10.199999999999999" customHeight="1">
      <c r="A20" s="71"/>
      <c r="B20" s="71"/>
      <c r="AW20" s="144"/>
      <c r="AX20" s="144"/>
      <c r="AY20" s="144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s="51" customFormat="1" ht="10.199999999999999" customHeight="1">
      <c r="A21" s="50"/>
      <c r="B21" s="50"/>
      <c r="C21" s="61"/>
      <c r="D21" s="61"/>
      <c r="E21" s="61"/>
      <c r="F21" s="61"/>
      <c r="G21" s="61"/>
      <c r="H21" s="61"/>
      <c r="I21" s="61"/>
      <c r="J21" s="61"/>
      <c r="K21" s="62"/>
      <c r="L21" s="62"/>
      <c r="M21" s="63" t="s">
        <v>72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76" t="s">
        <v>3</v>
      </c>
      <c r="Y21" s="149" t="s">
        <v>165</v>
      </c>
      <c r="Z21" s="149" t="s">
        <v>165</v>
      </c>
      <c r="AA21" s="149" t="s">
        <v>165</v>
      </c>
      <c r="AB21" s="177" t="s">
        <v>62</v>
      </c>
      <c r="AC21" s="177" t="s">
        <v>5</v>
      </c>
      <c r="AD21" s="177" t="s">
        <v>5</v>
      </c>
      <c r="AE21" s="157" t="s">
        <v>52</v>
      </c>
      <c r="AF21" s="169" t="s">
        <v>73</v>
      </c>
      <c r="AG21" s="157" t="s">
        <v>66</v>
      </c>
      <c r="AH21" s="157" t="s">
        <v>66</v>
      </c>
      <c r="AI21" s="157" t="s">
        <v>66</v>
      </c>
      <c r="AJ21" s="157" t="s">
        <v>35</v>
      </c>
      <c r="AK21" s="157" t="s">
        <v>35</v>
      </c>
      <c r="AL21" s="157" t="s">
        <v>35</v>
      </c>
      <c r="AM21" s="157" t="s">
        <v>67</v>
      </c>
      <c r="AN21" s="160" t="s">
        <v>4</v>
      </c>
      <c r="AO21" s="161" t="s">
        <v>4</v>
      </c>
      <c r="AP21" s="64" t="s">
        <v>13</v>
      </c>
      <c r="AQ21" s="64" t="s">
        <v>13</v>
      </c>
      <c r="AR21" s="64" t="s">
        <v>37</v>
      </c>
      <c r="AS21" s="164" t="s">
        <v>4</v>
      </c>
      <c r="AT21" s="164" t="s">
        <v>13</v>
      </c>
      <c r="AU21" s="164" t="s">
        <v>13</v>
      </c>
      <c r="AV21" s="164" t="s">
        <v>37</v>
      </c>
      <c r="AW21" s="166" t="s">
        <v>4</v>
      </c>
      <c r="AX21" s="166" t="s">
        <v>13</v>
      </c>
      <c r="AY21" s="166" t="s">
        <v>13</v>
      </c>
      <c r="AZ21" s="166" t="s">
        <v>37</v>
      </c>
      <c r="BC21" s="65"/>
      <c r="BD21" s="65"/>
    </row>
    <row r="22" spans="1:63" s="1" customFormat="1" ht="10.1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149" t="s">
        <v>5</v>
      </c>
      <c r="L22" s="149" t="s">
        <v>5</v>
      </c>
      <c r="M22" s="149" t="s">
        <v>58</v>
      </c>
      <c r="N22" s="149" t="s">
        <v>58</v>
      </c>
      <c r="O22" s="149" t="s">
        <v>58</v>
      </c>
      <c r="P22" s="149" t="s">
        <v>60</v>
      </c>
      <c r="Q22" s="149" t="s">
        <v>60</v>
      </c>
      <c r="R22" s="149" t="s">
        <v>6</v>
      </c>
      <c r="S22" s="149" t="s">
        <v>60</v>
      </c>
      <c r="T22" s="149" t="s">
        <v>7</v>
      </c>
      <c r="U22" s="149" t="s">
        <v>8</v>
      </c>
      <c r="V22" s="149" t="s">
        <v>8</v>
      </c>
      <c r="W22" s="149" t="s">
        <v>8</v>
      </c>
      <c r="X22" s="150" t="s">
        <v>9</v>
      </c>
      <c r="Y22" s="67" t="s">
        <v>166</v>
      </c>
      <c r="Z22" s="67" t="s">
        <v>166</v>
      </c>
      <c r="AA22" s="67" t="s">
        <v>166</v>
      </c>
      <c r="AB22" s="154"/>
      <c r="AC22" s="153" t="s">
        <v>65</v>
      </c>
      <c r="AD22" s="153" t="s">
        <v>11</v>
      </c>
      <c r="AE22" s="155" t="s">
        <v>53</v>
      </c>
      <c r="AF22" s="172" t="s">
        <v>55</v>
      </c>
      <c r="AG22" s="155" t="s">
        <v>40</v>
      </c>
      <c r="AH22" s="155" t="s">
        <v>40</v>
      </c>
      <c r="AI22" s="155" t="s">
        <v>40</v>
      </c>
      <c r="AJ22" s="155" t="s">
        <v>40</v>
      </c>
      <c r="AK22" s="155" t="s">
        <v>40</v>
      </c>
      <c r="AL22" s="155" t="s">
        <v>40</v>
      </c>
      <c r="AM22" s="155" t="s">
        <v>12</v>
      </c>
      <c r="AN22" s="159" t="s">
        <v>12</v>
      </c>
      <c r="AO22" s="162" t="s">
        <v>49</v>
      </c>
      <c r="AP22" s="162" t="s">
        <v>21</v>
      </c>
      <c r="AQ22" s="162" t="s">
        <v>21</v>
      </c>
      <c r="AR22" s="162" t="s">
        <v>38</v>
      </c>
      <c r="AS22" s="163" t="s">
        <v>49</v>
      </c>
      <c r="AT22" s="163" t="s">
        <v>21</v>
      </c>
      <c r="AU22" s="163" t="s">
        <v>21</v>
      </c>
      <c r="AV22" s="163" t="s">
        <v>38</v>
      </c>
      <c r="AW22" s="165" t="s">
        <v>49</v>
      </c>
      <c r="AX22" s="165" t="s">
        <v>21</v>
      </c>
      <c r="AY22" s="165" t="s">
        <v>21</v>
      </c>
      <c r="AZ22" s="165" t="s">
        <v>38</v>
      </c>
      <c r="BC22" s="10"/>
      <c r="BD22" s="10"/>
      <c r="BI22" s="71"/>
    </row>
    <row r="23" spans="1:63" s="1" customFormat="1" ht="10.1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7" t="s">
        <v>14</v>
      </c>
      <c r="L23" s="67" t="s">
        <v>15</v>
      </c>
      <c r="M23" s="67" t="s">
        <v>59</v>
      </c>
      <c r="N23" s="67" t="s">
        <v>59</v>
      </c>
      <c r="O23" s="67" t="s">
        <v>59</v>
      </c>
      <c r="P23" s="67" t="s">
        <v>61</v>
      </c>
      <c r="Q23" s="67" t="s">
        <v>61</v>
      </c>
      <c r="R23" s="67" t="s">
        <v>54</v>
      </c>
      <c r="S23" s="67" t="s">
        <v>61</v>
      </c>
      <c r="T23" s="67" t="s">
        <v>17</v>
      </c>
      <c r="U23" s="67" t="s">
        <v>16</v>
      </c>
      <c r="V23" s="67" t="s">
        <v>16</v>
      </c>
      <c r="W23" s="67" t="s">
        <v>16</v>
      </c>
      <c r="X23" s="151" t="s">
        <v>18</v>
      </c>
      <c r="Y23" s="152" t="s">
        <v>10</v>
      </c>
      <c r="Z23" s="152" t="s">
        <v>10</v>
      </c>
      <c r="AA23" s="152" t="s">
        <v>10</v>
      </c>
      <c r="AB23" s="86"/>
      <c r="AC23" s="154" t="s">
        <v>64</v>
      </c>
      <c r="AD23" s="154" t="s">
        <v>19</v>
      </c>
      <c r="AE23" s="156" t="s">
        <v>68</v>
      </c>
      <c r="AF23" s="174" t="s">
        <v>54</v>
      </c>
      <c r="AG23" s="156" t="s">
        <v>16</v>
      </c>
      <c r="AH23" s="156" t="s">
        <v>16</v>
      </c>
      <c r="AI23" s="156" t="s">
        <v>16</v>
      </c>
      <c r="AJ23" s="156" t="s">
        <v>16</v>
      </c>
      <c r="AK23" s="156" t="s">
        <v>16</v>
      </c>
      <c r="AL23" s="156" t="s">
        <v>16</v>
      </c>
      <c r="AM23" s="156" t="s">
        <v>50</v>
      </c>
      <c r="AN23" s="158" t="s">
        <v>50</v>
      </c>
      <c r="AO23" s="68" t="s">
        <v>20</v>
      </c>
      <c r="AP23" s="68" t="s">
        <v>19</v>
      </c>
      <c r="AQ23" s="68" t="s">
        <v>19</v>
      </c>
      <c r="AR23" s="68" t="s">
        <v>19</v>
      </c>
      <c r="AS23" s="69" t="s">
        <v>22</v>
      </c>
      <c r="AT23" s="69" t="s">
        <v>19</v>
      </c>
      <c r="AU23" s="69" t="s">
        <v>19</v>
      </c>
      <c r="AV23" s="69" t="s">
        <v>19</v>
      </c>
      <c r="AW23" s="70" t="s">
        <v>23</v>
      </c>
      <c r="AX23" s="70" t="s">
        <v>19</v>
      </c>
      <c r="AY23" s="70" t="s">
        <v>19</v>
      </c>
      <c r="AZ23" s="70" t="s">
        <v>19</v>
      </c>
      <c r="BC23" s="10"/>
      <c r="BD23" s="10"/>
    </row>
    <row r="24" spans="1:63" s="49" customFormat="1" ht="10.199999999999999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3" t="s">
        <v>173</v>
      </c>
      <c r="L24" s="73" t="s">
        <v>172</v>
      </c>
      <c r="M24" s="73" t="s">
        <v>57</v>
      </c>
      <c r="N24" s="73" t="s">
        <v>94</v>
      </c>
      <c r="O24" s="73" t="s">
        <v>164</v>
      </c>
      <c r="P24" s="73" t="s">
        <v>57</v>
      </c>
      <c r="Q24" s="73" t="s">
        <v>94</v>
      </c>
      <c r="R24" s="73" t="s">
        <v>48</v>
      </c>
      <c r="S24" s="73" t="s">
        <v>164</v>
      </c>
      <c r="T24" s="73" t="s">
        <v>27</v>
      </c>
      <c r="U24" s="73" t="s">
        <v>28</v>
      </c>
      <c r="V24" s="73" t="s">
        <v>170</v>
      </c>
      <c r="W24" s="73" t="s">
        <v>28</v>
      </c>
      <c r="X24" s="74" t="s">
        <v>29</v>
      </c>
      <c r="Y24" s="73" t="s">
        <v>57</v>
      </c>
      <c r="Z24" s="73" t="s">
        <v>94</v>
      </c>
      <c r="AA24" s="73" t="s">
        <v>164</v>
      </c>
      <c r="AB24" s="75" t="s">
        <v>63</v>
      </c>
      <c r="AC24" s="75" t="s">
        <v>63</v>
      </c>
      <c r="AD24" s="75" t="s">
        <v>21</v>
      </c>
      <c r="AE24" s="76" t="s">
        <v>69</v>
      </c>
      <c r="AF24" s="173" t="s">
        <v>48</v>
      </c>
      <c r="AG24" s="76" t="s">
        <v>24</v>
      </c>
      <c r="AH24" s="76" t="s">
        <v>25</v>
      </c>
      <c r="AI24" s="76" t="s">
        <v>26</v>
      </c>
      <c r="AJ24" s="76" t="s">
        <v>24</v>
      </c>
      <c r="AK24" s="76" t="s">
        <v>25</v>
      </c>
      <c r="AL24" s="76" t="s">
        <v>26</v>
      </c>
      <c r="AM24" s="76" t="s">
        <v>39</v>
      </c>
      <c r="AN24" s="77" t="s">
        <v>39</v>
      </c>
      <c r="AO24" s="78">
        <v>0.7</v>
      </c>
      <c r="AP24" s="79" t="s">
        <v>167</v>
      </c>
      <c r="AQ24" s="79" t="s">
        <v>168</v>
      </c>
      <c r="AR24" s="79" t="s">
        <v>169</v>
      </c>
      <c r="AS24" s="80">
        <v>0.5</v>
      </c>
      <c r="AT24" s="81" t="s">
        <v>167</v>
      </c>
      <c r="AU24" s="81" t="s">
        <v>168</v>
      </c>
      <c r="AV24" s="81" t="s">
        <v>169</v>
      </c>
      <c r="AW24" s="82">
        <v>0.3</v>
      </c>
      <c r="AX24" s="83" t="s">
        <v>167</v>
      </c>
      <c r="AY24" s="83" t="s">
        <v>168</v>
      </c>
      <c r="AZ24" s="83" t="s">
        <v>169</v>
      </c>
      <c r="BC24" s="84"/>
      <c r="BD24" s="84"/>
      <c r="BE24" s="85"/>
      <c r="BF24" s="85"/>
      <c r="BG24" s="85"/>
      <c r="BH24" s="85"/>
      <c r="BI24" s="85"/>
      <c r="BK24" s="85"/>
    </row>
    <row r="25" spans="1:63" s="1" customFormat="1" ht="10.199999999999999" customHeight="1">
      <c r="A25" s="86" t="s">
        <v>30</v>
      </c>
      <c r="B25" s="87" t="s">
        <v>121</v>
      </c>
      <c r="C25" s="88">
        <v>8.0713100000000004</v>
      </c>
      <c r="D25" s="88">
        <v>1730.63</v>
      </c>
      <c r="E25" s="88">
        <v>233.42599999999999</v>
      </c>
      <c r="F25" s="88">
        <f t="shared" ref="F25:F31" si="44">+(99+100)/2</f>
        <v>99.5</v>
      </c>
      <c r="G25" s="88">
        <f t="shared" ref="G25:G31" si="45">+(14.4362+14.5206)/2</f>
        <v>14.478400000000001</v>
      </c>
      <c r="H25" s="88">
        <v>8.1401900000000005</v>
      </c>
      <c r="I25" s="88">
        <v>1810.94</v>
      </c>
      <c r="J25" s="88">
        <v>244.48500000000001</v>
      </c>
      <c r="K25" s="89">
        <v>2311.8065616381905</v>
      </c>
      <c r="L25" s="90">
        <v>1</v>
      </c>
      <c r="M25" s="91">
        <v>80</v>
      </c>
      <c r="N25" s="92">
        <f t="shared" si="2"/>
        <v>26.666666666666689</v>
      </c>
      <c r="O25" s="93">
        <f t="shared" si="3"/>
        <v>299.81666666666666</v>
      </c>
      <c r="P25" s="145">
        <f t="shared" ref="P25:P26" si="46">+Q25*1.8+32</f>
        <v>120.00000000000004</v>
      </c>
      <c r="Q25" s="92">
        <f>IF((R25+14.696)&lt;F25,D25/(-(LOG10((R25+14.696)*760/14.696)-C25))-E25,I25/(-(LOG10((R25+14.696)*760/14.696)-H25))-J376)</f>
        <v>48.888888888888914</v>
      </c>
      <c r="R25" s="94">
        <f t="shared" ref="R25:R31" si="47">+AE25+AF25</f>
        <v>-13.007291001035533</v>
      </c>
      <c r="S25" s="93">
        <f t="shared" si="5"/>
        <v>322.03888888888889</v>
      </c>
      <c r="T25" s="95">
        <v>1</v>
      </c>
      <c r="U25" s="91">
        <v>170</v>
      </c>
      <c r="V25" s="167">
        <f t="shared" ref="V25:V31" si="48">+U25*5/9</f>
        <v>94.444444444444443</v>
      </c>
      <c r="W25" s="168">
        <f t="shared" ref="W25:W31" si="49">+V25</f>
        <v>94.444444444444443</v>
      </c>
      <c r="X25" s="96">
        <v>45</v>
      </c>
      <c r="Y25" s="97">
        <f t="shared" ref="Y25:Y31" si="50">+U25*T25*COS(RADIANS(X25))+M25</f>
        <v>200.20815280171308</v>
      </c>
      <c r="Z25" s="92">
        <f t="shared" ref="Z25:Z31" si="51">+(Y25-32)*5/9</f>
        <v>93.448973778729496</v>
      </c>
      <c r="AA25" s="93">
        <f t="shared" si="19"/>
        <v>366.59897377872949</v>
      </c>
      <c r="AB25" s="98">
        <v>1</v>
      </c>
      <c r="AC25" s="99">
        <f t="shared" ref="AC25:AC31" si="52">+(Y25-P25)/(Y25-M25)*AB25</f>
        <v>0.66724386767691846</v>
      </c>
      <c r="AD25" s="100">
        <f t="shared" ref="AD25:AD31" si="53">+(K25*0.09290304*L25*1000*AC25)/1000</f>
        <v>143.30653933292982</v>
      </c>
      <c r="AE25" s="101">
        <v>0.6</v>
      </c>
      <c r="AF25" s="146">
        <v>-13.607291001035533</v>
      </c>
      <c r="AG25" s="103">
        <f t="shared" ref="AG25:AG31" si="54">+AH25*9/5+32</f>
        <v>104.67303267959274</v>
      </c>
      <c r="AH25" s="104">
        <f t="shared" ref="AH25:AH31" si="55">+IF((AF25+14.696)&lt;G25,D25/(-(LOG10((AF25+14.696)*760/14.696)-C25))-E25,I25/(-(LOG10((AF25+14.696)*760/14.696)-H25))-J25)</f>
        <v>40.373907044218186</v>
      </c>
      <c r="AI25" s="105">
        <f t="shared" si="22"/>
        <v>313.52390704421816</v>
      </c>
      <c r="AJ25" s="106">
        <v>85</v>
      </c>
      <c r="AK25" s="107">
        <f t="shared" ref="AK25:AK30" si="56">+(AJ25-32)*5/9</f>
        <v>29.444444444444443</v>
      </c>
      <c r="AL25" s="108">
        <f t="shared" si="24"/>
        <v>302.59444444444443</v>
      </c>
      <c r="AM25" s="109">
        <f t="shared" ref="AM25:AM30" si="57">+IF(AF25&lt;-14.696,0,IF(AI25&lt;=AL25,0,(AI25-AL25)/AI25))</f>
        <v>3.4860061240026205E-2</v>
      </c>
      <c r="AN25" s="110">
        <f>+AC25*AM25</f>
        <v>2.3260162089249321E-2</v>
      </c>
      <c r="AO25" s="111">
        <f>+$AN25*AO$24</f>
        <v>1.6282113462474525E-2</v>
      </c>
      <c r="AP25" s="112">
        <f>+$AD25*1000*AO25</f>
        <v>2333.3333333333317</v>
      </c>
      <c r="AQ25" s="113">
        <f>+AP25*0.00134102209</f>
        <v>3.1290515433333308</v>
      </c>
      <c r="AR25" s="114">
        <f>+($AD25*1000-AP25)/1000</f>
        <v>140.97320599959647</v>
      </c>
      <c r="AS25" s="115">
        <f>+$AN25*AS$24</f>
        <v>1.163008104462466E-2</v>
      </c>
      <c r="AT25" s="116">
        <f>+$AD25*1000*AS25</f>
        <v>1666.6666666666654</v>
      </c>
      <c r="AU25" s="117">
        <f>+AT25*0.00134102209</f>
        <v>2.235036816666665</v>
      </c>
      <c r="AV25" s="118">
        <f>+($AD25*1000-AT25)/1000</f>
        <v>141.63987266626316</v>
      </c>
      <c r="AW25" s="119">
        <f>+$AN25*AW$24</f>
        <v>6.9780486267747958E-3</v>
      </c>
      <c r="AX25" s="120">
        <f>+$AD25*1000*AW25</f>
        <v>999.9999999999992</v>
      </c>
      <c r="AY25" s="121">
        <f>+AX25*0.00134102209</f>
        <v>1.3410220899999989</v>
      </c>
      <c r="AZ25" s="122">
        <f t="shared" si="29"/>
        <v>142.30653933292982</v>
      </c>
      <c r="BA25" s="147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s="1" customFormat="1" ht="10.199999999999999" customHeight="1">
      <c r="A26" s="86" t="s">
        <v>31</v>
      </c>
      <c r="B26" s="87" t="s">
        <v>121</v>
      </c>
      <c r="C26" s="88">
        <v>8.0713100000000004</v>
      </c>
      <c r="D26" s="88">
        <v>1730.63</v>
      </c>
      <c r="E26" s="88">
        <v>233.42599999999999</v>
      </c>
      <c r="F26" s="88">
        <f t="shared" si="44"/>
        <v>99.5</v>
      </c>
      <c r="G26" s="88">
        <f t="shared" si="45"/>
        <v>14.478400000000001</v>
      </c>
      <c r="H26" s="88">
        <v>8.1401900000000005</v>
      </c>
      <c r="I26" s="88">
        <v>1810.94</v>
      </c>
      <c r="J26" s="88">
        <v>244.48500000000001</v>
      </c>
      <c r="K26" s="89">
        <v>1760.0775859810483</v>
      </c>
      <c r="L26" s="90">
        <v>1</v>
      </c>
      <c r="M26" s="91">
        <v>80</v>
      </c>
      <c r="N26" s="92">
        <f t="shared" si="2"/>
        <v>26.666666666666689</v>
      </c>
      <c r="O26" s="93">
        <f t="shared" si="3"/>
        <v>299.81666666666666</v>
      </c>
      <c r="P26" s="145">
        <f t="shared" si="46"/>
        <v>120.00000000000077</v>
      </c>
      <c r="Q26" s="92">
        <f t="shared" ref="Q26:Q31" si="58">IF((R26+14.696)&lt;F26,D26/(-(LOG10((R26+14.696)*760/14.696)-C26))-E26,I26/(-(LOG10((R26+14.696)*760/14.696)-H26))-J377)</f>
        <v>48.888888888889312</v>
      </c>
      <c r="R26" s="94">
        <f t="shared" si="47"/>
        <v>-13.007291001035501</v>
      </c>
      <c r="S26" s="93">
        <f t="shared" si="5"/>
        <v>322.03888888888929</v>
      </c>
      <c r="T26" s="95">
        <v>1</v>
      </c>
      <c r="U26" s="91">
        <v>170</v>
      </c>
      <c r="V26" s="167">
        <f t="shared" si="48"/>
        <v>94.444444444444443</v>
      </c>
      <c r="W26" s="168">
        <f t="shared" si="49"/>
        <v>94.444444444444443</v>
      </c>
      <c r="X26" s="96">
        <v>0</v>
      </c>
      <c r="Y26" s="97">
        <f t="shared" si="50"/>
        <v>250</v>
      </c>
      <c r="Z26" s="92">
        <f t="shared" si="51"/>
        <v>121.11111111111111</v>
      </c>
      <c r="AA26" s="93">
        <f t="shared" si="19"/>
        <v>394.26111111111106</v>
      </c>
      <c r="AB26" s="98">
        <v>1</v>
      </c>
      <c r="AC26" s="99">
        <f t="shared" si="52"/>
        <v>0.76470588235293668</v>
      </c>
      <c r="AD26" s="100">
        <f t="shared" si="53"/>
        <v>125.04207405032338</v>
      </c>
      <c r="AE26" s="101">
        <v>0.6</v>
      </c>
      <c r="AF26" s="146">
        <v>-13.607291001035501</v>
      </c>
      <c r="AG26" s="103">
        <f t="shared" si="54"/>
        <v>104.67303267959376</v>
      </c>
      <c r="AH26" s="104">
        <f t="shared" si="55"/>
        <v>40.373907044218754</v>
      </c>
      <c r="AI26" s="105">
        <f t="shared" si="22"/>
        <v>313.52390704421873</v>
      </c>
      <c r="AJ26" s="106">
        <v>85</v>
      </c>
      <c r="AK26" s="107">
        <f t="shared" si="56"/>
        <v>29.444444444444443</v>
      </c>
      <c r="AL26" s="108">
        <f t="shared" si="24"/>
        <v>302.59444444444443</v>
      </c>
      <c r="AM26" s="109">
        <f t="shared" si="57"/>
        <v>3.4860061240027954E-2</v>
      </c>
      <c r="AN26" s="110">
        <f t="shared" si="26"/>
        <v>2.6657693889432985E-2</v>
      </c>
      <c r="AO26" s="111">
        <f t="shared" ref="AO26:AO31" si="59">+$AN26*AO$24</f>
        <v>1.866038572260309E-2</v>
      </c>
      <c r="AP26" s="112">
        <f>+$AD26*1000*AO26</f>
        <v>2333.3333333333326</v>
      </c>
      <c r="AQ26" s="113">
        <f t="shared" ref="AQ26:AQ31" si="60">+AP26*0.00134102209</f>
        <v>3.1290515433333321</v>
      </c>
      <c r="AR26" s="114">
        <f>+($AD26*1000-AP26)/1000</f>
        <v>122.70874071699005</v>
      </c>
      <c r="AS26" s="115">
        <f t="shared" ref="AS26:AS31" si="61">+$AN26*AS$24</f>
        <v>1.3328846944716493E-2</v>
      </c>
      <c r="AT26" s="116">
        <f>+$AD26*1000*AS26</f>
        <v>1666.6666666666663</v>
      </c>
      <c r="AU26" s="117">
        <f t="shared" ref="AU26:AU31" si="62">+AT26*0.00134102209</f>
        <v>2.2350368166666659</v>
      </c>
      <c r="AV26" s="118">
        <f>+($AD26*1000-AT26)/1000</f>
        <v>123.37540738365671</v>
      </c>
      <c r="AW26" s="119">
        <f t="shared" ref="AW26:AW31" si="63">+$AN26*AW$24</f>
        <v>7.9973081668298952E-3</v>
      </c>
      <c r="AX26" s="120">
        <f t="shared" si="28"/>
        <v>999.99999999999966</v>
      </c>
      <c r="AY26" s="121">
        <f t="shared" ref="AY26:AY28" si="64">+AX26*0.00134102209</f>
        <v>1.3410220899999994</v>
      </c>
      <c r="AZ26" s="122">
        <f t="shared" si="29"/>
        <v>124.04207405032338</v>
      </c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s="1" customFormat="1" ht="10.199999999999999" customHeight="1">
      <c r="A27" s="86" t="s">
        <v>45</v>
      </c>
      <c r="B27" s="87" t="s">
        <v>121</v>
      </c>
      <c r="C27" s="88">
        <v>8.0713100000000004</v>
      </c>
      <c r="D27" s="88">
        <v>1730.63</v>
      </c>
      <c r="E27" s="88">
        <v>233.42599999999999</v>
      </c>
      <c r="F27" s="88">
        <f t="shared" si="44"/>
        <v>99.5</v>
      </c>
      <c r="G27" s="88">
        <f t="shared" si="45"/>
        <v>14.478400000000001</v>
      </c>
      <c r="H27" s="88">
        <v>8.1401900000000005</v>
      </c>
      <c r="I27" s="88">
        <v>1810.94</v>
      </c>
      <c r="J27" s="88">
        <v>244.48500000000001</v>
      </c>
      <c r="K27" s="89">
        <v>610.05463769856317</v>
      </c>
      <c r="L27" s="90">
        <v>1</v>
      </c>
      <c r="M27" s="91">
        <v>80</v>
      </c>
      <c r="N27" s="92">
        <f t="shared" si="2"/>
        <v>26.666666666666689</v>
      </c>
      <c r="O27" s="93">
        <f t="shared" si="3"/>
        <v>299.81666666666666</v>
      </c>
      <c r="P27" s="145">
        <f>+Q27*1.8+32</f>
        <v>180.00000000000011</v>
      </c>
      <c r="Q27" s="92">
        <f t="shared" si="58"/>
        <v>82.222222222222285</v>
      </c>
      <c r="R27" s="94">
        <f t="shared" si="47"/>
        <v>-7.1985290766585841</v>
      </c>
      <c r="S27" s="93">
        <f t="shared" si="5"/>
        <v>355.37222222222226</v>
      </c>
      <c r="T27" s="95">
        <v>1</v>
      </c>
      <c r="U27" s="91">
        <v>340</v>
      </c>
      <c r="V27" s="167">
        <f t="shared" si="48"/>
        <v>188.88888888888889</v>
      </c>
      <c r="W27" s="168">
        <f t="shared" si="49"/>
        <v>188.88888888888889</v>
      </c>
      <c r="X27" s="96">
        <v>0</v>
      </c>
      <c r="Y27" s="97">
        <f t="shared" si="50"/>
        <v>420</v>
      </c>
      <c r="Z27" s="92">
        <f t="shared" si="51"/>
        <v>215.55555555555554</v>
      </c>
      <c r="AA27" s="93">
        <f t="shared" si="19"/>
        <v>488.70555555555552</v>
      </c>
      <c r="AB27" s="98">
        <v>1</v>
      </c>
      <c r="AC27" s="99">
        <f t="shared" si="52"/>
        <v>0.70588235294117618</v>
      </c>
      <c r="AD27" s="100">
        <f t="shared" si="53"/>
        <v>40.006539111737716</v>
      </c>
      <c r="AE27" s="101">
        <v>3</v>
      </c>
      <c r="AF27" s="146">
        <v>-10.198529076658584</v>
      </c>
      <c r="AG27" s="103">
        <f t="shared" si="54"/>
        <v>157.89507079962911</v>
      </c>
      <c r="AH27" s="104">
        <f t="shared" si="55"/>
        <v>69.941705999793953</v>
      </c>
      <c r="AI27" s="105">
        <f t="shared" si="22"/>
        <v>343.09170599979393</v>
      </c>
      <c r="AJ27" s="106">
        <v>85</v>
      </c>
      <c r="AK27" s="107">
        <f t="shared" si="56"/>
        <v>29.444444444444443</v>
      </c>
      <c r="AL27" s="108">
        <f t="shared" si="24"/>
        <v>302.59444444444443</v>
      </c>
      <c r="AM27" s="109">
        <f t="shared" si="57"/>
        <v>0.1180362592483475</v>
      </c>
      <c r="AN27" s="110">
        <f t="shared" si="26"/>
        <v>8.3319712410598198E-2</v>
      </c>
      <c r="AO27" s="111">
        <f t="shared" si="59"/>
        <v>5.8323798687418736E-2</v>
      </c>
      <c r="AP27" s="112">
        <f>+$AD27*1000*AO27</f>
        <v>2333.3333333333344</v>
      </c>
      <c r="AQ27" s="113">
        <f t="shared" si="60"/>
        <v>3.1290515433333348</v>
      </c>
      <c r="AR27" s="114">
        <f>+($AD27*1000-AP27)/1000</f>
        <v>37.67320577840438</v>
      </c>
      <c r="AS27" s="115">
        <f t="shared" si="61"/>
        <v>4.1659856205299099E-2</v>
      </c>
      <c r="AT27" s="116">
        <f>+$AD27*1000*AS27</f>
        <v>1666.6666666666677</v>
      </c>
      <c r="AU27" s="117">
        <f t="shared" si="62"/>
        <v>2.2350368166666681</v>
      </c>
      <c r="AV27" s="118">
        <f>+($AD27*1000-AT27)/1000</f>
        <v>38.339872445071052</v>
      </c>
      <c r="AW27" s="119">
        <f t="shared" si="63"/>
        <v>2.4995913723179459E-2</v>
      </c>
      <c r="AX27" s="120">
        <f t="shared" si="28"/>
        <v>1000.0000000000005</v>
      </c>
      <c r="AY27" s="121">
        <f t="shared" si="64"/>
        <v>1.3410220900000005</v>
      </c>
      <c r="AZ27" s="122">
        <f t="shared" si="29"/>
        <v>39.006539111737716</v>
      </c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s="1" customFormat="1" ht="10.199999999999999" customHeight="1">
      <c r="A28" s="86" t="s">
        <v>46</v>
      </c>
      <c r="B28" s="87" t="s">
        <v>121</v>
      </c>
      <c r="C28" s="88">
        <v>8.0713100000000004</v>
      </c>
      <c r="D28" s="88">
        <v>1730.63</v>
      </c>
      <c r="E28" s="88">
        <v>233.42599999999999</v>
      </c>
      <c r="F28" s="88">
        <f t="shared" si="44"/>
        <v>99.5</v>
      </c>
      <c r="G28" s="88">
        <f t="shared" si="45"/>
        <v>14.478400000000001</v>
      </c>
      <c r="H28" s="88">
        <v>8.1401900000000005</v>
      </c>
      <c r="I28" s="88">
        <v>1810.94</v>
      </c>
      <c r="J28" s="88">
        <v>244.48500000000001</v>
      </c>
      <c r="K28" s="89">
        <v>288.12933308629732</v>
      </c>
      <c r="L28" s="90">
        <v>1</v>
      </c>
      <c r="M28" s="91">
        <v>80</v>
      </c>
      <c r="N28" s="92">
        <f t="shared" ref="N28" si="65">+(M28-32)*0.555555555555556</f>
        <v>26.666666666666689</v>
      </c>
      <c r="O28" s="93">
        <f t="shared" ref="O28" si="66">+N28+273.15</f>
        <v>299.81666666666666</v>
      </c>
      <c r="P28" s="145">
        <f>+Q28*1.8+32</f>
        <v>249.59097114931325</v>
      </c>
      <c r="Q28" s="92">
        <f t="shared" si="58"/>
        <v>120.88387286072958</v>
      </c>
      <c r="R28" s="94">
        <f t="shared" si="47"/>
        <v>15.033382005920101</v>
      </c>
      <c r="S28" s="93">
        <f t="shared" ref="S28" si="67">+Q28+273.15</f>
        <v>394.03387286072956</v>
      </c>
      <c r="T28" s="95">
        <v>2</v>
      </c>
      <c r="U28" s="91">
        <v>340</v>
      </c>
      <c r="V28" s="167">
        <f t="shared" si="48"/>
        <v>188.88888888888889</v>
      </c>
      <c r="W28" s="168">
        <f t="shared" si="49"/>
        <v>188.88888888888889</v>
      </c>
      <c r="X28" s="96">
        <v>0</v>
      </c>
      <c r="Y28" s="97">
        <f t="shared" si="50"/>
        <v>760</v>
      </c>
      <c r="Z28" s="92">
        <f t="shared" si="51"/>
        <v>404.44444444444446</v>
      </c>
      <c r="AA28" s="93">
        <f t="shared" ref="AA28" si="68">+Z28+273.15</f>
        <v>677.59444444444443</v>
      </c>
      <c r="AB28" s="98">
        <v>1</v>
      </c>
      <c r="AC28" s="99">
        <f t="shared" si="52"/>
        <v>0.75060151301571576</v>
      </c>
      <c r="AD28" s="100">
        <f t="shared" si="53"/>
        <v>20.092169572783639</v>
      </c>
      <c r="AE28" s="101">
        <v>5</v>
      </c>
      <c r="AF28" s="146">
        <v>10.033382005920101</v>
      </c>
      <c r="AG28" s="103">
        <f t="shared" si="54"/>
        <v>239.54420172463023</v>
      </c>
      <c r="AH28" s="104">
        <f t="shared" si="55"/>
        <v>115.30233429146125</v>
      </c>
      <c r="AI28" s="105">
        <f t="shared" ref="AI28" si="69">+AH28+273.15</f>
        <v>388.45233429146123</v>
      </c>
      <c r="AJ28" s="106">
        <v>85</v>
      </c>
      <c r="AK28" s="107">
        <f t="shared" si="56"/>
        <v>29.444444444444443</v>
      </c>
      <c r="AL28" s="108">
        <f t="shared" ref="AL28" si="70">+AK28+273.15</f>
        <v>302.59444444444443</v>
      </c>
      <c r="AM28" s="109">
        <f t="shared" si="57"/>
        <v>0.22102554745519026</v>
      </c>
      <c r="AN28" s="110">
        <f t="shared" ref="AN28" si="71">+AC28*AM28</f>
        <v>0.16590211033499269</v>
      </c>
      <c r="AO28" s="111">
        <f t="shared" si="59"/>
        <v>0.11613147723449488</v>
      </c>
      <c r="AP28" s="112">
        <f t="shared" ref="AP28" si="72">+$AD28*1000*AO28</f>
        <v>2333.3333333333339</v>
      </c>
      <c r="AQ28" s="113">
        <f t="shared" si="60"/>
        <v>3.1290515433333339</v>
      </c>
      <c r="AR28" s="114">
        <f t="shared" ref="AR28" si="73">+($AD28*1000-AP28)/1000</f>
        <v>17.758836239450307</v>
      </c>
      <c r="AS28" s="115">
        <f t="shared" si="61"/>
        <v>8.2951055167496346E-2</v>
      </c>
      <c r="AT28" s="116">
        <f t="shared" ref="AT28" si="74">+$AD28*1000*AS28</f>
        <v>1666.666666666667</v>
      </c>
      <c r="AU28" s="117">
        <f t="shared" si="62"/>
        <v>2.2350368166666672</v>
      </c>
      <c r="AV28" s="118">
        <f t="shared" ref="AV28" si="75">+($AD28*1000-AT28)/1000</f>
        <v>18.425502906116972</v>
      </c>
      <c r="AW28" s="119">
        <f t="shared" si="63"/>
        <v>4.9770633100497806E-2</v>
      </c>
      <c r="AX28" s="120">
        <f t="shared" ref="AX28" si="76">+$AD28*1000*AW28</f>
        <v>1000.0000000000002</v>
      </c>
      <c r="AY28" s="121">
        <f t="shared" si="64"/>
        <v>1.3410220900000003</v>
      </c>
      <c r="AZ28" s="122">
        <f t="shared" ref="AZ28" si="77">+($AD28*1000-AX28)/1000</f>
        <v>19.092169572783639</v>
      </c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s="1" customFormat="1" ht="10.199999999999999" customHeight="1">
      <c r="A29" s="86" t="s">
        <v>32</v>
      </c>
      <c r="B29" s="87" t="s">
        <v>121</v>
      </c>
      <c r="C29" s="88">
        <v>8.0713100000000004</v>
      </c>
      <c r="D29" s="88">
        <v>1730.63</v>
      </c>
      <c r="E29" s="88">
        <v>233.42599999999999</v>
      </c>
      <c r="F29" s="88">
        <f t="shared" si="44"/>
        <v>99.5</v>
      </c>
      <c r="G29" s="88">
        <f t="shared" si="45"/>
        <v>14.478400000000001</v>
      </c>
      <c r="H29" s="88">
        <v>8.1401900000000005</v>
      </c>
      <c r="I29" s="88">
        <v>1810.94</v>
      </c>
      <c r="J29" s="88">
        <v>244.48500000000001</v>
      </c>
      <c r="K29" s="89">
        <v>282.77094810482038</v>
      </c>
      <c r="L29" s="90">
        <v>0.8</v>
      </c>
      <c r="M29" s="91">
        <v>80</v>
      </c>
      <c r="N29" s="92">
        <f t="shared" ref="N29:N31" si="78">+(M29-32)*0.555555555555556</f>
        <v>26.666666666666689</v>
      </c>
      <c r="O29" s="93">
        <f t="shared" ref="O29:O31" si="79">+N29+273.15</f>
        <v>299.81666666666666</v>
      </c>
      <c r="P29" s="145">
        <f t="shared" ref="P29:P30" si="80">+Q29*1.8+32</f>
        <v>846.1251680963519</v>
      </c>
      <c r="Q29" s="92">
        <f t="shared" si="58"/>
        <v>452.29176005352883</v>
      </c>
      <c r="R29" s="94">
        <f t="shared" si="47"/>
        <v>249.944070695318</v>
      </c>
      <c r="S29" s="93">
        <f t="shared" ref="S29:S31" si="81">+Q29+273.15</f>
        <v>725.44176005352881</v>
      </c>
      <c r="T29" s="95">
        <v>20</v>
      </c>
      <c r="U29" s="91">
        <v>170</v>
      </c>
      <c r="V29" s="167">
        <f t="shared" si="48"/>
        <v>94.444444444444443</v>
      </c>
      <c r="W29" s="168">
        <f t="shared" si="49"/>
        <v>94.444444444444443</v>
      </c>
      <c r="X29" s="96">
        <v>0</v>
      </c>
      <c r="Y29" s="97">
        <f t="shared" si="50"/>
        <v>3480</v>
      </c>
      <c r="Z29" s="92">
        <f t="shared" si="51"/>
        <v>1915.5555555555557</v>
      </c>
      <c r="AA29" s="93">
        <f t="shared" ref="AA29:AA31" si="82">+Z29+273.15</f>
        <v>2188.7055555555557</v>
      </c>
      <c r="AB29" s="98">
        <v>0.85</v>
      </c>
      <c r="AC29" s="99">
        <f t="shared" si="52"/>
        <v>0.65846870797591206</v>
      </c>
      <c r="AD29" s="100">
        <f t="shared" si="53"/>
        <v>13.838526233935008</v>
      </c>
      <c r="AE29" s="101">
        <v>20</v>
      </c>
      <c r="AF29" s="146">
        <v>229.944070695318</v>
      </c>
      <c r="AG29" s="103">
        <f t="shared" si="54"/>
        <v>399.17149891386981</v>
      </c>
      <c r="AH29" s="104">
        <f t="shared" si="55"/>
        <v>203.984166063261</v>
      </c>
      <c r="AI29" s="105">
        <f t="shared" ref="AI29:AI31" si="83">+AH29+273.15</f>
        <v>477.13416606326098</v>
      </c>
      <c r="AJ29" s="106">
        <v>85</v>
      </c>
      <c r="AK29" s="107">
        <f t="shared" si="56"/>
        <v>29.444444444444443</v>
      </c>
      <c r="AL29" s="108">
        <f t="shared" ref="AL29:AL31" si="84">+AK29+273.15</f>
        <v>302.59444444444443</v>
      </c>
      <c r="AM29" s="109">
        <f t="shared" si="57"/>
        <v>0.36580847491788115</v>
      </c>
      <c r="AN29" s="110">
        <f t="shared" ref="AN29:AN31" si="85">+AC29*AM29</f>
        <v>0.24087343384581603</v>
      </c>
      <c r="AO29" s="111">
        <f t="shared" si="59"/>
        <v>0.1686114036920712</v>
      </c>
      <c r="AP29" s="112">
        <f t="shared" ref="AP29:AP31" si="86">+$AD29*1000*AO29</f>
        <v>2333.3333333333335</v>
      </c>
      <c r="AQ29" s="113">
        <f t="shared" si="60"/>
        <v>3.1290515433333335</v>
      </c>
      <c r="AR29" s="114">
        <f t="shared" ref="AR29:AR31" si="87">+($AD29*1000-AP29)/1000</f>
        <v>11.505192900601674</v>
      </c>
      <c r="AS29" s="115">
        <f t="shared" si="61"/>
        <v>0.12043671692290801</v>
      </c>
      <c r="AT29" s="116">
        <f t="shared" ref="AT29:AT31" si="88">+$AD29*1000*AS29</f>
        <v>1666.666666666667</v>
      </c>
      <c r="AU29" s="117">
        <f t="shared" si="62"/>
        <v>2.2350368166666672</v>
      </c>
      <c r="AV29" s="118">
        <f t="shared" ref="AV29:AV31" si="89">+($AD29*1000-AT29)/1000</f>
        <v>12.17185956726834</v>
      </c>
      <c r="AW29" s="119">
        <f t="shared" si="63"/>
        <v>7.22620301537448E-2</v>
      </c>
      <c r="AX29" s="120">
        <f t="shared" ref="AX29:AX31" si="90">+$AD29*1000*AW29</f>
        <v>1000</v>
      </c>
      <c r="AY29" s="121">
        <f>+AX29*0.00134102209</f>
        <v>1.3410220900000001</v>
      </c>
      <c r="AZ29" s="122">
        <f t="shared" ref="AZ29:AZ31" si="91">+($AD29*1000-AX29)/1000</f>
        <v>12.838526233935008</v>
      </c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s="1" customFormat="1" ht="10.199999999999999" customHeight="1">
      <c r="A30" s="86" t="s">
        <v>33</v>
      </c>
      <c r="B30" s="87" t="s">
        <v>121</v>
      </c>
      <c r="C30" s="88">
        <v>8.0713100000000004</v>
      </c>
      <c r="D30" s="88">
        <v>1730.63</v>
      </c>
      <c r="E30" s="88">
        <v>233.42599999999999</v>
      </c>
      <c r="F30" s="88">
        <f t="shared" si="44"/>
        <v>99.5</v>
      </c>
      <c r="G30" s="88">
        <f t="shared" si="45"/>
        <v>14.478400000000001</v>
      </c>
      <c r="H30" s="88">
        <v>8.1401900000000005</v>
      </c>
      <c r="I30" s="88">
        <v>1810.94</v>
      </c>
      <c r="J30" s="88">
        <v>244.48500000000001</v>
      </c>
      <c r="K30" s="89">
        <v>275.5021730332017</v>
      </c>
      <c r="L30" s="90">
        <v>0.8</v>
      </c>
      <c r="M30" s="91">
        <v>80</v>
      </c>
      <c r="N30" s="92">
        <f t="shared" si="78"/>
        <v>26.666666666666689</v>
      </c>
      <c r="O30" s="93">
        <f t="shared" si="79"/>
        <v>299.81666666666666</v>
      </c>
      <c r="P30" s="145">
        <f t="shared" si="80"/>
        <v>866.55712885038508</v>
      </c>
      <c r="Q30" s="92">
        <f t="shared" si="58"/>
        <v>463.64284936132503</v>
      </c>
      <c r="R30" s="94">
        <f t="shared" si="47"/>
        <v>316.9548924224901</v>
      </c>
      <c r="S30" s="93">
        <f t="shared" si="81"/>
        <v>736.79284936132501</v>
      </c>
      <c r="T30" s="95">
        <v>20</v>
      </c>
      <c r="U30" s="91">
        <v>170</v>
      </c>
      <c r="V30" s="167">
        <f t="shared" si="48"/>
        <v>94.444444444444443</v>
      </c>
      <c r="W30" s="168">
        <f t="shared" si="49"/>
        <v>94.444444444444443</v>
      </c>
      <c r="X30" s="96">
        <v>0</v>
      </c>
      <c r="Y30" s="97">
        <f t="shared" si="50"/>
        <v>3480</v>
      </c>
      <c r="Z30" s="92">
        <f t="shared" si="51"/>
        <v>1915.5555555555557</v>
      </c>
      <c r="AA30" s="93">
        <f t="shared" si="82"/>
        <v>2188.7055555555557</v>
      </c>
      <c r="AB30" s="98">
        <v>0.85</v>
      </c>
      <c r="AC30" s="99">
        <f t="shared" si="52"/>
        <v>0.65336071778740368</v>
      </c>
      <c r="AD30" s="100">
        <f t="shared" si="53"/>
        <v>13.37820851764277</v>
      </c>
      <c r="AE30" s="101">
        <v>20</v>
      </c>
      <c r="AF30" s="146">
        <v>296.9548924224901</v>
      </c>
      <c r="AG30" s="103">
        <f t="shared" si="54"/>
        <v>420.75205332194821</v>
      </c>
      <c r="AH30" s="104">
        <f t="shared" si="55"/>
        <v>215.97336295663791</v>
      </c>
      <c r="AI30" s="105">
        <f t="shared" si="83"/>
        <v>489.12336295663789</v>
      </c>
      <c r="AJ30" s="106">
        <v>85</v>
      </c>
      <c r="AK30" s="107">
        <f t="shared" si="56"/>
        <v>29.444444444444443</v>
      </c>
      <c r="AL30" s="108">
        <f t="shared" si="84"/>
        <v>302.59444444444443</v>
      </c>
      <c r="AM30" s="109">
        <f t="shared" si="57"/>
        <v>0.38135352477270595</v>
      </c>
      <c r="AN30" s="110">
        <f t="shared" si="85"/>
        <v>0.24916141267625158</v>
      </c>
      <c r="AO30" s="111">
        <f t="shared" si="59"/>
        <v>0.17441298887337608</v>
      </c>
      <c r="AP30" s="112">
        <f t="shared" si="86"/>
        <v>2333.3333333333335</v>
      </c>
      <c r="AQ30" s="113">
        <f t="shared" si="60"/>
        <v>3.1290515433333335</v>
      </c>
      <c r="AR30" s="114">
        <f t="shared" si="87"/>
        <v>11.044875184309436</v>
      </c>
      <c r="AS30" s="115">
        <f t="shared" si="61"/>
        <v>0.12458070633812579</v>
      </c>
      <c r="AT30" s="116">
        <f t="shared" si="88"/>
        <v>1666.666666666667</v>
      </c>
      <c r="AU30" s="117">
        <f t="shared" si="62"/>
        <v>2.2350368166666672</v>
      </c>
      <c r="AV30" s="118">
        <f t="shared" si="89"/>
        <v>11.711541850976104</v>
      </c>
      <c r="AW30" s="119">
        <f t="shared" si="63"/>
        <v>7.4748423802875469E-2</v>
      </c>
      <c r="AX30" s="120">
        <f t="shared" si="90"/>
        <v>1000.0000000000001</v>
      </c>
      <c r="AY30" s="121">
        <f t="shared" ref="AY30:AY31" si="92">+AX30*0.00134102209</f>
        <v>1.3410220900000001</v>
      </c>
      <c r="AZ30" s="122">
        <f t="shared" si="91"/>
        <v>12.37820851764277</v>
      </c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s="1" customFormat="1" ht="10.199999999999999" customHeight="1">
      <c r="A31" s="86" t="s">
        <v>34</v>
      </c>
      <c r="B31" s="87" t="s">
        <v>121</v>
      </c>
      <c r="C31" s="88">
        <v>8.0713100000000004</v>
      </c>
      <c r="D31" s="88">
        <v>1730.63</v>
      </c>
      <c r="E31" s="88">
        <v>233.42599999999999</v>
      </c>
      <c r="F31" s="88">
        <f t="shared" si="44"/>
        <v>99.5</v>
      </c>
      <c r="G31" s="88">
        <f t="shared" si="45"/>
        <v>14.478400000000001</v>
      </c>
      <c r="H31" s="88">
        <v>8.1401900000000005</v>
      </c>
      <c r="I31" s="88">
        <v>1810.94</v>
      </c>
      <c r="J31" s="88">
        <v>244.48500000000001</v>
      </c>
      <c r="K31" s="89">
        <v>371.98415021623811</v>
      </c>
      <c r="L31" s="90">
        <v>0.8</v>
      </c>
      <c r="M31" s="91">
        <v>80</v>
      </c>
      <c r="N31" s="92">
        <f t="shared" si="78"/>
        <v>26.666666666666689</v>
      </c>
      <c r="O31" s="93">
        <f t="shared" si="79"/>
        <v>299.81666666666666</v>
      </c>
      <c r="P31" s="145">
        <f>+Q31*1.8+32</f>
        <v>846.11137409596029</v>
      </c>
      <c r="Q31" s="92">
        <f t="shared" si="58"/>
        <v>452.28409671997792</v>
      </c>
      <c r="R31" s="94">
        <f t="shared" si="47"/>
        <v>249.90273462665638</v>
      </c>
      <c r="S31" s="93">
        <f t="shared" si="81"/>
        <v>725.4340967199779</v>
      </c>
      <c r="T31" s="95">
        <v>20</v>
      </c>
      <c r="U31" s="91">
        <v>170</v>
      </c>
      <c r="V31" s="167">
        <f t="shared" si="48"/>
        <v>94.444444444444443</v>
      </c>
      <c r="W31" s="168">
        <f t="shared" si="49"/>
        <v>94.444444444444443</v>
      </c>
      <c r="X31" s="96">
        <v>0</v>
      </c>
      <c r="Y31" s="97">
        <f t="shared" si="50"/>
        <v>3480</v>
      </c>
      <c r="Z31" s="92">
        <f t="shared" si="51"/>
        <v>1915.5555555555557</v>
      </c>
      <c r="AA31" s="93">
        <f t="shared" si="82"/>
        <v>2188.7055555555557</v>
      </c>
      <c r="AB31" s="98">
        <v>0.95</v>
      </c>
      <c r="AC31" s="99">
        <f t="shared" si="52"/>
        <v>0.73593946900259932</v>
      </c>
      <c r="AD31" s="100">
        <f t="shared" si="53"/>
        <v>20.34634681184594</v>
      </c>
      <c r="AE31" s="101">
        <v>20</v>
      </c>
      <c r="AF31" s="146">
        <v>229.90273462665638</v>
      </c>
      <c r="AG31" s="103">
        <f t="shared" si="54"/>
        <v>399.15682829921826</v>
      </c>
      <c r="AH31" s="104">
        <f t="shared" si="55"/>
        <v>203.97601572178792</v>
      </c>
      <c r="AI31" s="105">
        <f t="shared" si="83"/>
        <v>477.12601572178789</v>
      </c>
      <c r="AJ31" s="106">
        <v>85</v>
      </c>
      <c r="AK31" s="107">
        <f>+(AJ31-32)*5/9</f>
        <v>29.444444444444443</v>
      </c>
      <c r="AL31" s="108">
        <f t="shared" si="84"/>
        <v>302.59444444444443</v>
      </c>
      <c r="AM31" s="109">
        <f>+IF(AF31&lt;-14.696,0,IF(AI31&lt;=AL31,0,(AI31-AL31)/AI31))</f>
        <v>0.36579764155872985</v>
      </c>
      <c r="AN31" s="110">
        <f t="shared" si="85"/>
        <v>0.26920492209113478</v>
      </c>
      <c r="AO31" s="111">
        <f t="shared" si="59"/>
        <v>0.18844344546379432</v>
      </c>
      <c r="AP31" s="112">
        <f t="shared" si="86"/>
        <v>3834.1356958255355</v>
      </c>
      <c r="AQ31" s="113">
        <f t="shared" si="60"/>
        <v>5.1416606641595637</v>
      </c>
      <c r="AR31" s="114">
        <f t="shared" si="87"/>
        <v>16.512211116020403</v>
      </c>
      <c r="AS31" s="115">
        <f t="shared" si="61"/>
        <v>0.13460246104556739</v>
      </c>
      <c r="AT31" s="116">
        <f t="shared" si="88"/>
        <v>2738.6683541610973</v>
      </c>
      <c r="AU31" s="117">
        <f t="shared" si="62"/>
        <v>3.6726147601139747</v>
      </c>
      <c r="AV31" s="118">
        <f t="shared" si="89"/>
        <v>17.607678457684841</v>
      </c>
      <c r="AW31" s="119">
        <f t="shared" si="63"/>
        <v>8.0761476627340428E-2</v>
      </c>
      <c r="AX31" s="120">
        <f t="shared" si="90"/>
        <v>1643.2010124966582</v>
      </c>
      <c r="AY31" s="121">
        <f t="shared" si="92"/>
        <v>2.2035688560683848</v>
      </c>
      <c r="AZ31" s="122">
        <f t="shared" si="91"/>
        <v>18.703145799349279</v>
      </c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s="1" customFormat="1" ht="10.199999999999999" customHeight="1">
      <c r="A32" s="71"/>
      <c r="B32" s="71"/>
      <c r="BC32" s="10"/>
      <c r="BD32" s="10"/>
      <c r="BE32" s="10"/>
      <c r="BF32" s="10"/>
      <c r="BG32" s="10"/>
      <c r="BH32" s="10"/>
      <c r="BI32" s="10"/>
      <c r="BJ32" s="10"/>
    </row>
    <row r="33" spans="1:63" s="1" customFormat="1" ht="10.199999999999999" customHeight="1">
      <c r="A33" s="71"/>
      <c r="B33" s="71"/>
      <c r="AW33" s="148"/>
      <c r="BC33" s="10"/>
      <c r="BD33" s="10"/>
      <c r="BE33" s="10"/>
      <c r="BF33" s="10"/>
      <c r="BG33" s="10"/>
      <c r="BH33" s="10"/>
      <c r="BI33" s="10"/>
      <c r="BJ33" s="10"/>
    </row>
    <row r="34" spans="1:63" s="1" customFormat="1" ht="10.199999999999999" customHeight="1">
      <c r="A34" s="71"/>
      <c r="B34" s="71"/>
      <c r="BC34" s="10"/>
      <c r="BD34" s="10"/>
      <c r="BE34" s="10"/>
      <c r="BF34" s="10"/>
      <c r="BG34" s="10"/>
      <c r="BH34" s="10"/>
      <c r="BI34" s="10"/>
      <c r="BJ34" s="10"/>
    </row>
    <row r="35" spans="1:63" s="1" customFormat="1" ht="10.199999999999999" customHeight="1">
      <c r="A35" s="71"/>
      <c r="B35" s="71"/>
      <c r="BC35" s="10"/>
      <c r="BD35" s="10"/>
      <c r="BE35" s="10"/>
      <c r="BF35" s="10"/>
      <c r="BG35" s="10"/>
      <c r="BH35" s="10"/>
      <c r="BI35" s="10"/>
      <c r="BJ35" s="10"/>
    </row>
    <row r="36" spans="1:63" s="1" customFormat="1" ht="10.199999999999999" customHeight="1">
      <c r="A36" s="71"/>
      <c r="B36" s="71"/>
      <c r="BC36" s="10"/>
      <c r="BD36" s="10"/>
      <c r="BE36" s="10"/>
      <c r="BF36" s="10"/>
      <c r="BG36" s="10"/>
      <c r="BH36" s="10"/>
      <c r="BI36" s="10"/>
      <c r="BJ36" s="10"/>
    </row>
    <row r="37" spans="1:63" s="1" customFormat="1" ht="10.199999999999999" customHeight="1">
      <c r="A37" s="71"/>
      <c r="B37" s="71"/>
      <c r="BC37" s="10"/>
      <c r="BD37" s="10"/>
      <c r="BE37" s="10"/>
      <c r="BF37" s="10"/>
      <c r="BG37" s="10"/>
      <c r="BH37" s="10"/>
      <c r="BI37" s="10"/>
      <c r="BJ37" s="10"/>
    </row>
    <row r="38" spans="1:63" s="1" customFormat="1" ht="10.199999999999999" customHeight="1">
      <c r="A38" s="86" t="s">
        <v>83</v>
      </c>
      <c r="B38" s="87" t="s">
        <v>121</v>
      </c>
      <c r="C38" s="88">
        <v>8.0713100000000004</v>
      </c>
      <c r="D38" s="88">
        <v>1730.63</v>
      </c>
      <c r="E38" s="88">
        <v>233.42599999999999</v>
      </c>
      <c r="F38" s="88">
        <f t="shared" ref="F38:F39" si="93">+(99+100)/2</f>
        <v>99.5</v>
      </c>
      <c r="G38" s="88">
        <f t="shared" ref="G38:G39" si="94">+(14.4362+14.5206)/2</f>
        <v>14.478400000000001</v>
      </c>
      <c r="H38" s="88">
        <v>8.1401900000000005</v>
      </c>
      <c r="I38" s="88">
        <v>1810.94</v>
      </c>
      <c r="J38" s="88">
        <v>244.48500000000001</v>
      </c>
      <c r="K38" s="89">
        <v>1105.4182039589725</v>
      </c>
      <c r="L38" s="90">
        <v>0.8</v>
      </c>
      <c r="M38" s="91">
        <v>80</v>
      </c>
      <c r="N38" s="92">
        <f t="shared" ref="N38:N40" si="95">+(M38-32)*0.555555555555556</f>
        <v>26.666666666666689</v>
      </c>
      <c r="O38" s="93">
        <f t="shared" ref="O38:O40" si="96">+N38+273.15</f>
        <v>299.81666666666666</v>
      </c>
      <c r="P38" s="143">
        <v>150</v>
      </c>
      <c r="Q38" s="92">
        <f t="shared" ref="Q38:Q40" si="97">+(P38-32)*5/9</f>
        <v>65.555555555555557</v>
      </c>
      <c r="R38" s="94">
        <f>IF(Q38&lt;F38,(10^(C38-(D38/(E38+Q38))))/760*14.696-14.696,(10^(H38-(I38/(J38+Q38))))/760*14.696-14.696)</f>
        <v>-10.986816837772912</v>
      </c>
      <c r="S38" s="93">
        <f t="shared" ref="S38:S40" si="98">+Q38+273.15</f>
        <v>338.70555555555552</v>
      </c>
      <c r="T38" s="95">
        <v>5</v>
      </c>
      <c r="U38" s="91">
        <v>340</v>
      </c>
      <c r="V38" s="167">
        <f t="shared" ref="V38:V39" si="99">+U38*5/9</f>
        <v>188.88888888888889</v>
      </c>
      <c r="W38" s="168">
        <f t="shared" ref="W38:W39" si="100">+V38</f>
        <v>188.88888888888889</v>
      </c>
      <c r="X38" s="96">
        <v>0</v>
      </c>
      <c r="Y38" s="97">
        <f>+U38*T38*COS(RADIANS(X38))+M38</f>
        <v>1780</v>
      </c>
      <c r="Z38" s="92">
        <f t="shared" ref="Z38" si="101">+(Y38-32)*0.555555555555556</f>
        <v>971.11111111111188</v>
      </c>
      <c r="AA38" s="93">
        <f t="shared" ref="AA38:AA39" si="102">+Z38+273.15</f>
        <v>1244.2611111111119</v>
      </c>
      <c r="AB38" s="98">
        <v>0.85</v>
      </c>
      <c r="AC38" s="99">
        <f>+(Y38-P38)/(Y38-M38)*AB38</f>
        <v>0.81500000000000006</v>
      </c>
      <c r="AD38" s="100">
        <f>+(K38*0.09290304*L38*1000*AC38)/1000</f>
        <v>66.958255975671861</v>
      </c>
      <c r="AE38" s="101">
        <v>2</v>
      </c>
      <c r="AF38" s="102">
        <f>+IF((R38-AE38)&gt;=-14.696,R38-AE38,-14.695)</f>
        <v>-12.986816837772912</v>
      </c>
      <c r="AG38" s="103">
        <f t="shared" ref="AG38:AG39" si="103">+AH38*9/5+32</f>
        <v>120.43423310151607</v>
      </c>
      <c r="AH38" s="104">
        <f>+IF((AF38+14.696)&lt;G38,D38/(-(LOG10((AF38+14.696)*760/14.696)-C38))-E38,I38/(-(LOG10((AF38+14.696)*760/14.696)-H38))-J38)</f>
        <v>49.130129500842258</v>
      </c>
      <c r="AI38" s="105">
        <f t="shared" ref="AI38:AI39" si="104">+AH38+273.15</f>
        <v>322.28012950084224</v>
      </c>
      <c r="AJ38" s="106">
        <v>85</v>
      </c>
      <c r="AK38" s="107">
        <f>+(AJ38-32)*5/9</f>
        <v>29.444444444444443</v>
      </c>
      <c r="AL38" s="108">
        <f t="shared" ref="AL38:AL39" si="105">+AK38+273.15</f>
        <v>302.59444444444443</v>
      </c>
      <c r="AM38" s="109">
        <f>+IF(AF38&lt;-14.696,0,IF(AI38&lt;=AL38,0,(AI38-AL38)/AI38))</f>
        <v>6.108252806925335E-2</v>
      </c>
      <c r="AN38" s="110">
        <f t="shared" ref="AN38" si="106">+AC38*AM38</f>
        <v>4.9782260376441484E-2</v>
      </c>
      <c r="AO38" s="111">
        <f>+$AN38*AO$8</f>
        <v>3.4847582263509036E-2</v>
      </c>
      <c r="AP38" s="112">
        <f>+$AD38*1000*AO38</f>
        <v>2333.3333333333203</v>
      </c>
      <c r="AQ38" s="113">
        <f t="shared" ref="AQ38:AQ40" si="107">+AP38*0.00134102209</f>
        <v>3.1290515433333157</v>
      </c>
      <c r="AR38" s="114">
        <f>+($AD38*1000-AP38)/1000</f>
        <v>64.624922642338532</v>
      </c>
      <c r="AS38" s="115">
        <f>+$AN38*AS$8</f>
        <v>2.4891130188220742E-2</v>
      </c>
      <c r="AT38" s="116">
        <f>+$AD38*1000*AS38</f>
        <v>1666.6666666666576</v>
      </c>
      <c r="AU38" s="117">
        <f t="shared" ref="AU38:AU40" si="108">+AT38*0.00134102209</f>
        <v>2.2350368166666543</v>
      </c>
      <c r="AV38" s="118">
        <f>+($AD38*1000-AT38)/1000</f>
        <v>65.291589309005204</v>
      </c>
      <c r="AW38" s="119">
        <f t="shared" ref="AW38" si="109">+$AN38*AW$8</f>
        <v>1.4934678112932444E-2</v>
      </c>
      <c r="AX38" s="120">
        <f t="shared" ref="AX38:AX39" si="110">+$AD38*1000*AW38</f>
        <v>999.99999999999454</v>
      </c>
      <c r="AY38" s="121">
        <f t="shared" ref="AY38:AY40" si="111">+AX38*0.00134102209</f>
        <v>1.3410220899999927</v>
      </c>
      <c r="AZ38" s="122">
        <f t="shared" ref="AZ38:AZ39" si="112">+($AD38*1000-AX38)/1000</f>
        <v>65.958255975671861</v>
      </c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s="1" customFormat="1" ht="10.199999999999999" customHeight="1">
      <c r="A39" s="86" t="s">
        <v>82</v>
      </c>
      <c r="B39" s="87" t="s">
        <v>121</v>
      </c>
      <c r="C39" s="88">
        <v>8.0713100000000004</v>
      </c>
      <c r="D39" s="88">
        <v>1730.63</v>
      </c>
      <c r="E39" s="88">
        <v>233.42599999999999</v>
      </c>
      <c r="F39" s="88">
        <f t="shared" si="93"/>
        <v>99.5</v>
      </c>
      <c r="G39" s="88">
        <f t="shared" si="94"/>
        <v>14.478400000000001</v>
      </c>
      <c r="H39" s="88">
        <v>8.1401900000000005</v>
      </c>
      <c r="I39" s="88">
        <v>1810.94</v>
      </c>
      <c r="J39" s="88">
        <v>244.48500000000001</v>
      </c>
      <c r="K39" s="89">
        <v>1105.4182039589725</v>
      </c>
      <c r="L39" s="90">
        <v>0.8</v>
      </c>
      <c r="M39" s="91">
        <v>80</v>
      </c>
      <c r="N39" s="92">
        <f t="shared" si="95"/>
        <v>26.666666666666689</v>
      </c>
      <c r="O39" s="93">
        <f t="shared" si="96"/>
        <v>299.81666666666666</v>
      </c>
      <c r="P39" s="145">
        <f>+Q39*1.8+32</f>
        <v>150</v>
      </c>
      <c r="Q39" s="92">
        <f>IF((R39+14.696)&lt;F39,D39/(-(LOG10((R39+14.696)*760/14.696)-C39))-E39,I39/(-(LOG10((R39+14.696)*760/14.696)-H39))-J390)</f>
        <v>65.555555555555543</v>
      </c>
      <c r="R39" s="94">
        <f>+AE39+AF39</f>
        <v>-10.986816837772912</v>
      </c>
      <c r="S39" s="93">
        <f t="shared" si="98"/>
        <v>338.70555555555552</v>
      </c>
      <c r="T39" s="95">
        <v>5</v>
      </c>
      <c r="U39" s="91">
        <v>340</v>
      </c>
      <c r="V39" s="167">
        <f t="shared" si="99"/>
        <v>188.88888888888889</v>
      </c>
      <c r="W39" s="168">
        <f t="shared" si="100"/>
        <v>188.88888888888889</v>
      </c>
      <c r="X39" s="96">
        <v>0</v>
      </c>
      <c r="Y39" s="97">
        <f>+U39*T39*COS(RADIANS(X39))+M39</f>
        <v>1780</v>
      </c>
      <c r="Z39" s="92">
        <f>+(Y39-32)*5/9</f>
        <v>971.11111111111109</v>
      </c>
      <c r="AA39" s="93">
        <f t="shared" si="102"/>
        <v>1244.2611111111109</v>
      </c>
      <c r="AB39" s="98">
        <v>0.85</v>
      </c>
      <c r="AC39" s="99">
        <f>+(Y39-P39)/(Y39-M39)*AB39</f>
        <v>0.81500000000000006</v>
      </c>
      <c r="AD39" s="100">
        <f>+(K39*0.09290304*L39*1000*AC39)/1000</f>
        <v>66.958255975671861</v>
      </c>
      <c r="AE39" s="101">
        <v>2</v>
      </c>
      <c r="AF39" s="146">
        <f>+AF38</f>
        <v>-12.986816837772912</v>
      </c>
      <c r="AG39" s="103">
        <f t="shared" si="103"/>
        <v>120.43423310151607</v>
      </c>
      <c r="AH39" s="104">
        <f>+IF((AF39+14.696)&lt;G39,D39/(-(LOG10((AF39+14.696)*760/14.696)-C39))-E39,I39/(-(LOG10((AF39+14.696)*760/14.696)-H39))-J39)</f>
        <v>49.130129500842258</v>
      </c>
      <c r="AI39" s="105">
        <f t="shared" si="104"/>
        <v>322.28012950084224</v>
      </c>
      <c r="AJ39" s="106">
        <v>85</v>
      </c>
      <c r="AK39" s="107">
        <f>+(AJ39-32)*5/9</f>
        <v>29.444444444444443</v>
      </c>
      <c r="AL39" s="108">
        <f t="shared" si="105"/>
        <v>302.59444444444443</v>
      </c>
      <c r="AM39" s="109">
        <f>+IF(AF39&lt;-14.696,0,IF(AI39&lt;=AL39,0,(AI39-AL39)/AI39))</f>
        <v>6.108252806925335E-2</v>
      </c>
      <c r="AN39" s="110">
        <f>+AC39*AM39</f>
        <v>4.9782260376441484E-2</v>
      </c>
      <c r="AO39" s="111">
        <f>+$AN39*AO$24</f>
        <v>3.4847582263509036E-2</v>
      </c>
      <c r="AP39" s="112">
        <f>+$AD39*1000*AO39</f>
        <v>2333.3333333333203</v>
      </c>
      <c r="AQ39" s="113">
        <f t="shared" si="107"/>
        <v>3.1290515433333157</v>
      </c>
      <c r="AR39" s="114">
        <f>+($AD39*1000-AP39)/1000</f>
        <v>64.624922642338532</v>
      </c>
      <c r="AS39" s="115">
        <f>+$AN39*AS$24</f>
        <v>2.4891130188220742E-2</v>
      </c>
      <c r="AT39" s="116">
        <f>+$AD39*1000*AS39</f>
        <v>1666.6666666666576</v>
      </c>
      <c r="AU39" s="117">
        <f t="shared" si="108"/>
        <v>2.2350368166666543</v>
      </c>
      <c r="AV39" s="118">
        <f>+($AD39*1000-AT39)/1000</f>
        <v>65.291589309005204</v>
      </c>
      <c r="AW39" s="119">
        <f>+$AN39*AW$24</f>
        <v>1.4934678112932444E-2</v>
      </c>
      <c r="AX39" s="120">
        <f t="shared" si="110"/>
        <v>999.99999999999454</v>
      </c>
      <c r="AY39" s="121">
        <f t="shared" si="111"/>
        <v>1.3410220899999927</v>
      </c>
      <c r="AZ39" s="122">
        <f t="shared" si="112"/>
        <v>65.958255975671861</v>
      </c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s="1" customFormat="1" ht="10.199999999999999" customHeight="1">
      <c r="A40" s="86" t="s">
        <v>81</v>
      </c>
      <c r="B40" s="86"/>
      <c r="C40" s="66"/>
      <c r="D40" s="66"/>
      <c r="E40" s="66"/>
      <c r="F40" s="66"/>
      <c r="G40" s="66"/>
      <c r="H40" s="66"/>
      <c r="I40" s="66"/>
      <c r="J40" s="66"/>
      <c r="K40" s="89">
        <v>53.819552083548629</v>
      </c>
      <c r="L40" s="90">
        <v>1</v>
      </c>
      <c r="M40" s="123"/>
      <c r="N40" s="92">
        <f t="shared" si="95"/>
        <v>-17.777777777777793</v>
      </c>
      <c r="O40" s="93">
        <f t="shared" si="96"/>
        <v>255.37222222222218</v>
      </c>
      <c r="P40" s="91">
        <v>77</v>
      </c>
      <c r="Q40" s="92">
        <f t="shared" si="97"/>
        <v>25</v>
      </c>
      <c r="R40" s="123"/>
      <c r="S40" s="93">
        <f t="shared" si="98"/>
        <v>298.14999999999998</v>
      </c>
      <c r="T40" s="95">
        <v>1</v>
      </c>
      <c r="U40" s="124">
        <v>-4.8499999999999996</v>
      </c>
      <c r="V40" s="124"/>
      <c r="W40" s="124"/>
      <c r="X40" s="125"/>
      <c r="Y40" s="97"/>
      <c r="Z40" s="92"/>
      <c r="AA40" s="93"/>
      <c r="AB40" s="98">
        <v>1</v>
      </c>
      <c r="AC40" s="126">
        <v>0.2</v>
      </c>
      <c r="AD40" s="127">
        <f>+(K40*0.09290304*L40*1000*AC40*AB40*T40*(1+(25-Q40)*-U40/1000))/1000</f>
        <v>1.0000000000000004</v>
      </c>
      <c r="AE40" s="128"/>
      <c r="AF40" s="102"/>
      <c r="AG40" s="103"/>
      <c r="AH40" s="104"/>
      <c r="AI40" s="105"/>
      <c r="AJ40" s="129"/>
      <c r="AK40" s="130"/>
      <c r="AL40" s="131"/>
      <c r="AM40" s="132"/>
      <c r="AN40" s="133"/>
      <c r="AO40" s="134"/>
      <c r="AP40" s="135">
        <f t="shared" ref="AP40" si="113">+$AD40*1000</f>
        <v>1000.0000000000005</v>
      </c>
      <c r="AQ40" s="136">
        <f t="shared" si="107"/>
        <v>1.3410220900000005</v>
      </c>
      <c r="AR40" s="137">
        <f t="shared" ref="AR40" si="114">+(AP40/$AC40-AP40)/1000</f>
        <v>4.0000000000000018</v>
      </c>
      <c r="AS40" s="138"/>
      <c r="AT40" s="139">
        <f t="shared" ref="AT40" si="115">+$AD40*1000</f>
        <v>1000.0000000000005</v>
      </c>
      <c r="AU40" s="140">
        <f t="shared" si="108"/>
        <v>1.3410220900000005</v>
      </c>
      <c r="AV40" s="141">
        <f t="shared" ref="AV40" si="116">+(AT40/$AC40-AT40)/1000</f>
        <v>4.0000000000000018</v>
      </c>
      <c r="AW40" s="142"/>
      <c r="AX40" s="120">
        <f>+$AD40*1000</f>
        <v>1000.0000000000005</v>
      </c>
      <c r="AY40" s="121">
        <f t="shared" si="111"/>
        <v>1.3410220900000005</v>
      </c>
      <c r="AZ40" s="122">
        <f>+(AX40/$AC40-AX40)/1000</f>
        <v>4.0000000000000018</v>
      </c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:63" ht="10.199999999999999" customHeight="1">
      <c r="A41" s="35"/>
      <c r="B41" s="3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BC41" s="10"/>
      <c r="BD41" s="10"/>
      <c r="BE41" s="10"/>
      <c r="BF41" s="10"/>
      <c r="BG41" s="10"/>
      <c r="BH41" s="10"/>
      <c r="BI41" s="10"/>
      <c r="BJ41" s="10"/>
    </row>
    <row r="42" spans="1:63" ht="10.199999999999999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BC42" s="10"/>
      <c r="BD42" s="10"/>
      <c r="BE42" s="10"/>
      <c r="BF42" s="10"/>
      <c r="BG42" s="10"/>
      <c r="BH42" s="10"/>
      <c r="BI42" s="10"/>
      <c r="BJ42" s="10"/>
    </row>
    <row r="43" spans="1:63" ht="10.199999999999999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BC43" s="10"/>
      <c r="BD43" s="10"/>
      <c r="BE43" s="10"/>
      <c r="BF43" s="10"/>
      <c r="BG43" s="10"/>
      <c r="BH43" s="10"/>
      <c r="BI43" s="10"/>
      <c r="BJ43" s="10"/>
    </row>
    <row r="44" spans="1:63" ht="10.199999999999999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BC44" s="10"/>
      <c r="BD44" s="10"/>
      <c r="BE44" s="10"/>
      <c r="BF44" s="10"/>
      <c r="BG44" s="10"/>
      <c r="BH44" s="10"/>
      <c r="BI44" s="10"/>
      <c r="BJ44" s="10"/>
    </row>
    <row r="45" spans="1:63" ht="10.199999999999999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BC45" s="10"/>
      <c r="BD45" s="10"/>
      <c r="BE45" s="10"/>
      <c r="BF45" s="10"/>
      <c r="BG45" s="10"/>
      <c r="BH45" s="10"/>
      <c r="BI45" s="10"/>
      <c r="BJ45" s="10"/>
    </row>
    <row r="46" spans="1:63" ht="10.199999999999999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BC46" s="10"/>
      <c r="BD46" s="10"/>
      <c r="BE46" s="10"/>
      <c r="BF46" s="10"/>
      <c r="BG46" s="10"/>
      <c r="BH46" s="10"/>
      <c r="BI46" s="10"/>
      <c r="BJ46" s="10"/>
    </row>
    <row r="47" spans="1:63" ht="10.199999999999999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BC47" s="10"/>
      <c r="BD47" s="10"/>
      <c r="BE47" s="10"/>
      <c r="BF47" s="10"/>
      <c r="BG47" s="10"/>
      <c r="BH47" s="10"/>
      <c r="BI47" s="10"/>
      <c r="BJ47" s="10"/>
    </row>
    <row r="48" spans="1:63" ht="10.199999999999999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BC48" s="10"/>
      <c r="BD48" s="10"/>
      <c r="BE48" s="10"/>
      <c r="BF48" s="10"/>
      <c r="BG48" s="10"/>
      <c r="BH48" s="10"/>
      <c r="BI48" s="10"/>
      <c r="BJ48" s="10"/>
    </row>
    <row r="49" spans="1:62" ht="10.199999999999999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BC49" s="10"/>
      <c r="BD49" s="10"/>
      <c r="BE49" s="10"/>
      <c r="BF49" s="10"/>
      <c r="BG49" s="10"/>
      <c r="BH49" s="10"/>
      <c r="BI49" s="10"/>
      <c r="BJ49" s="10"/>
    </row>
    <row r="50" spans="1:62" ht="10.199999999999999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BC50" s="10"/>
      <c r="BD50" s="10"/>
      <c r="BE50" s="10"/>
      <c r="BF50" s="10"/>
      <c r="BG50" s="10"/>
      <c r="BH50" s="10"/>
      <c r="BI50" s="10"/>
      <c r="BJ50" s="10"/>
    </row>
    <row r="51" spans="1:62" ht="10.199999999999999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BC51" s="10"/>
      <c r="BD51" s="10"/>
      <c r="BE51" s="10"/>
      <c r="BF51" s="10"/>
      <c r="BG51" s="10"/>
      <c r="BH51" s="10"/>
      <c r="BI51" s="10"/>
      <c r="BJ51" s="10"/>
    </row>
    <row r="52" spans="1:62" ht="10.199999999999999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BC52" s="10"/>
      <c r="BD52" s="10"/>
      <c r="BE52" s="10"/>
      <c r="BF52" s="10"/>
      <c r="BG52" s="10"/>
      <c r="BH52" s="10"/>
      <c r="BI52" s="10"/>
      <c r="BJ52" s="10"/>
    </row>
    <row r="53" spans="1:62" ht="10.199999999999999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BC53" s="10"/>
      <c r="BD53" s="10"/>
      <c r="BE53" s="10"/>
      <c r="BF53" s="10"/>
      <c r="BG53" s="10"/>
      <c r="BH53" s="10"/>
      <c r="BI53" s="10"/>
      <c r="BJ53" s="10"/>
    </row>
    <row r="54" spans="1:62" ht="10.199999999999999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BC54" s="10"/>
      <c r="BD54" s="10"/>
      <c r="BE54" s="10"/>
      <c r="BF54" s="10"/>
      <c r="BG54" s="10"/>
      <c r="BH54" s="10"/>
      <c r="BI54" s="10"/>
      <c r="BJ54" s="10"/>
    </row>
    <row r="55" spans="1:62" ht="10.199999999999999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BC55" s="10"/>
      <c r="BD55" s="10"/>
      <c r="BE55" s="10"/>
      <c r="BF55" s="10"/>
      <c r="BG55" s="10"/>
      <c r="BH55" s="10"/>
      <c r="BI55" s="10"/>
      <c r="BJ55" s="10"/>
    </row>
    <row r="56" spans="1:62" ht="10.199999999999999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BC56" s="10"/>
      <c r="BD56" s="10"/>
      <c r="BE56" s="10"/>
      <c r="BF56" s="10"/>
      <c r="BG56" s="10"/>
      <c r="BH56" s="10"/>
      <c r="BI56" s="10"/>
      <c r="BJ56" s="10"/>
    </row>
    <row r="57" spans="1:62" ht="10.199999999999999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BC57" s="10"/>
      <c r="BD57" s="10"/>
      <c r="BE57" s="10"/>
      <c r="BF57" s="10"/>
      <c r="BG57" s="10"/>
      <c r="BH57" s="10"/>
      <c r="BI57" s="10"/>
      <c r="BJ57" s="10"/>
    </row>
    <row r="58" spans="1:62" ht="10.199999999999999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BC58" s="10"/>
      <c r="BD58" s="10"/>
      <c r="BE58" s="10"/>
      <c r="BF58" s="10"/>
      <c r="BG58" s="10"/>
      <c r="BH58" s="10"/>
      <c r="BI58" s="10"/>
      <c r="BJ58" s="10"/>
    </row>
    <row r="59" spans="1:62" ht="10.199999999999999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BC59" s="10"/>
      <c r="BD59" s="10"/>
      <c r="BE59" s="10"/>
      <c r="BF59" s="10"/>
      <c r="BG59" s="10"/>
      <c r="BH59" s="10"/>
      <c r="BI59" s="10"/>
      <c r="BJ59" s="10"/>
    </row>
    <row r="60" spans="1:62" ht="10.199999999999999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BC60" s="10"/>
      <c r="BD60" s="10"/>
      <c r="BE60" s="10"/>
      <c r="BF60" s="10"/>
      <c r="BG60" s="10"/>
      <c r="BH60" s="10"/>
      <c r="BI60" s="10"/>
      <c r="BJ60" s="10"/>
    </row>
    <row r="61" spans="1:62" ht="10.199999999999999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BC61" s="10"/>
      <c r="BD61" s="10"/>
      <c r="BE61" s="10"/>
      <c r="BF61" s="10"/>
      <c r="BG61" s="10"/>
      <c r="BH61" s="10"/>
      <c r="BI61" s="10"/>
      <c r="BJ61" s="10"/>
    </row>
    <row r="62" spans="1:62" ht="10.199999999999999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BC62" s="10"/>
      <c r="BD62" s="10"/>
      <c r="BE62" s="10"/>
      <c r="BF62" s="10"/>
      <c r="BG62" s="10"/>
      <c r="BH62" s="10"/>
      <c r="BI62" s="10"/>
      <c r="BJ62" s="10"/>
    </row>
    <row r="63" spans="1:62" ht="10.199999999999999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BC63" s="10"/>
      <c r="BD63" s="10"/>
      <c r="BE63" s="10"/>
      <c r="BF63" s="10"/>
      <c r="BG63" s="10"/>
      <c r="BH63" s="10"/>
      <c r="BI63" s="10"/>
      <c r="BJ63" s="10"/>
    </row>
    <row r="64" spans="1:62" ht="10.199999999999999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BC64" s="10"/>
      <c r="BD64" s="10"/>
      <c r="BE64" s="10"/>
      <c r="BF64" s="10"/>
      <c r="BG64" s="10"/>
      <c r="BH64" s="10"/>
      <c r="BI64" s="10"/>
      <c r="BJ64" s="10"/>
    </row>
    <row r="65" spans="1:62" ht="10.199999999999999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BC65" s="10"/>
      <c r="BD65" s="10"/>
      <c r="BE65" s="10"/>
      <c r="BF65" s="10"/>
      <c r="BG65" s="10"/>
      <c r="BH65" s="10"/>
      <c r="BI65" s="10"/>
      <c r="BJ65" s="10"/>
    </row>
    <row r="66" spans="1:62" ht="10.199999999999999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BC66" s="10"/>
      <c r="BD66" s="10"/>
      <c r="BE66" s="10"/>
      <c r="BF66" s="10"/>
      <c r="BG66" s="10"/>
      <c r="BH66" s="10"/>
      <c r="BI66" s="10"/>
      <c r="BJ66" s="10"/>
    </row>
    <row r="67" spans="1:62" ht="10.199999999999999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BC67" s="10"/>
      <c r="BD67" s="10"/>
      <c r="BE67" s="10"/>
      <c r="BF67" s="10"/>
      <c r="BG67" s="10"/>
      <c r="BH67" s="10"/>
      <c r="BI67" s="10"/>
      <c r="BJ67" s="10"/>
    </row>
    <row r="68" spans="1:62" ht="10.199999999999999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BC68" s="10"/>
      <c r="BD68" s="10"/>
      <c r="BE68" s="10"/>
      <c r="BF68" s="10"/>
      <c r="BG68" s="10"/>
      <c r="BH68" s="10"/>
      <c r="BI68" s="10"/>
      <c r="BJ68" s="10"/>
    </row>
    <row r="69" spans="1:62" ht="10.199999999999999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BC69" s="10"/>
      <c r="BD69" s="10"/>
      <c r="BE69" s="10"/>
      <c r="BF69" s="10"/>
      <c r="BG69" s="10"/>
      <c r="BH69" s="10"/>
      <c r="BI69" s="10"/>
      <c r="BJ69" s="10"/>
    </row>
    <row r="70" spans="1:62" ht="10.199999999999999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BC70" s="10"/>
      <c r="BD70" s="10"/>
      <c r="BE70" s="10"/>
      <c r="BF70" s="10"/>
      <c r="BG70" s="10"/>
      <c r="BH70" s="10"/>
      <c r="BI70" s="10"/>
      <c r="BJ70" s="10"/>
    </row>
    <row r="71" spans="1:62" ht="10.199999999999999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BC71" s="10"/>
      <c r="BD71" s="10"/>
      <c r="BE71" s="10"/>
      <c r="BF71" s="10"/>
      <c r="BG71" s="10"/>
      <c r="BH71" s="10"/>
      <c r="BI71" s="10"/>
      <c r="BJ71" s="10"/>
    </row>
    <row r="72" spans="1:62" ht="10.199999999999999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BC72" s="10"/>
      <c r="BD72" s="10"/>
      <c r="BE72" s="10"/>
      <c r="BF72" s="10"/>
      <c r="BG72" s="10"/>
      <c r="BH72" s="10"/>
      <c r="BI72" s="10"/>
      <c r="BJ72" s="10"/>
    </row>
    <row r="73" spans="1:62" ht="10.199999999999999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BC73" s="10"/>
      <c r="BD73" s="10"/>
      <c r="BE73" s="10"/>
      <c r="BF73" s="10"/>
      <c r="BG73" s="10"/>
      <c r="BH73" s="10"/>
      <c r="BI73" s="10"/>
      <c r="BJ73" s="10"/>
    </row>
    <row r="74" spans="1:62" ht="10.199999999999999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BC74" s="10"/>
      <c r="BD74" s="10"/>
      <c r="BE74" s="10"/>
      <c r="BF74" s="10"/>
      <c r="BG74" s="10"/>
      <c r="BH74" s="10"/>
      <c r="BI74" s="10"/>
      <c r="BJ74" s="10"/>
    </row>
    <row r="75" spans="1:62" ht="10.199999999999999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BC75" s="10"/>
      <c r="BD75" s="10"/>
      <c r="BE75" s="10"/>
      <c r="BF75" s="10"/>
      <c r="BG75" s="10"/>
      <c r="BH75" s="10"/>
      <c r="BI75" s="10"/>
      <c r="BJ75" s="10"/>
    </row>
    <row r="76" spans="1:62" ht="10.199999999999999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BC76" s="10"/>
      <c r="BD76" s="10"/>
      <c r="BE76" s="10"/>
      <c r="BF76" s="10"/>
      <c r="BG76" s="10"/>
      <c r="BH76" s="10"/>
      <c r="BI76" s="10"/>
      <c r="BJ76" s="10"/>
    </row>
    <row r="77" spans="1:62" ht="10.199999999999999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BC77" s="10"/>
      <c r="BD77" s="10"/>
      <c r="BE77" s="10"/>
      <c r="BF77" s="10"/>
      <c r="BG77" s="10"/>
      <c r="BH77" s="10"/>
      <c r="BI77" s="10"/>
      <c r="BJ77" s="10"/>
    </row>
    <row r="78" spans="1:62" ht="10.199999999999999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BC78" s="10"/>
      <c r="BD78" s="10"/>
      <c r="BE78" s="10"/>
      <c r="BF78" s="10"/>
      <c r="BG78" s="10"/>
      <c r="BH78" s="10"/>
      <c r="BI78" s="10"/>
      <c r="BJ78" s="10"/>
    </row>
    <row r="79" spans="1:62" ht="10.199999999999999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BC79" s="10"/>
      <c r="BD79" s="10"/>
      <c r="BE79" s="10"/>
      <c r="BF79" s="10"/>
      <c r="BG79" s="10"/>
      <c r="BH79" s="10"/>
      <c r="BI79" s="10"/>
      <c r="BJ79" s="10"/>
    </row>
    <row r="80" spans="1:62" ht="10.199999999999999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BC80" s="10"/>
      <c r="BD80" s="10"/>
      <c r="BE80" s="10"/>
      <c r="BF80" s="10"/>
      <c r="BG80" s="10"/>
      <c r="BH80" s="10"/>
      <c r="BI80" s="10"/>
      <c r="BJ80" s="10"/>
    </row>
    <row r="81" spans="1:62" ht="10.199999999999999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BC81" s="10"/>
      <c r="BD81" s="10"/>
      <c r="BE81" s="10"/>
      <c r="BF81" s="10"/>
      <c r="BG81" s="10"/>
      <c r="BH81" s="10"/>
      <c r="BI81" s="10"/>
      <c r="BJ81" s="10"/>
    </row>
    <row r="82" spans="1:62" ht="10.199999999999999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BC82" s="10"/>
      <c r="BD82" s="10"/>
      <c r="BE82" s="10"/>
      <c r="BF82" s="10"/>
      <c r="BG82" s="10"/>
      <c r="BH82" s="10"/>
      <c r="BI82" s="10"/>
      <c r="BJ82" s="10"/>
    </row>
    <row r="83" spans="1:62" ht="10.199999999999999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BC83" s="10"/>
      <c r="BD83" s="10"/>
      <c r="BE83" s="10"/>
      <c r="BF83" s="10"/>
      <c r="BG83" s="10"/>
      <c r="BH83" s="10"/>
      <c r="BI83" s="10"/>
      <c r="BJ83" s="10"/>
    </row>
    <row r="84" spans="1:62" ht="10.199999999999999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BC84" s="10"/>
      <c r="BD84" s="10"/>
      <c r="BE84" s="10"/>
      <c r="BF84" s="10"/>
      <c r="BG84" s="10"/>
      <c r="BH84" s="10"/>
      <c r="BI84" s="10"/>
      <c r="BJ84" s="10"/>
    </row>
    <row r="85" spans="1:62" ht="10.199999999999999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BC85" s="10"/>
      <c r="BD85" s="10"/>
      <c r="BE85" s="10"/>
      <c r="BF85" s="10"/>
      <c r="BG85" s="10"/>
      <c r="BH85" s="10"/>
      <c r="BI85" s="10"/>
      <c r="BJ85" s="10"/>
    </row>
    <row r="86" spans="1:62" ht="10.199999999999999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BC86" s="10"/>
      <c r="BD86" s="10"/>
      <c r="BE86" s="10"/>
      <c r="BF86" s="10"/>
      <c r="BG86" s="10"/>
      <c r="BH86" s="10"/>
      <c r="BI86" s="10"/>
      <c r="BJ86" s="10"/>
    </row>
    <row r="87" spans="1:62" ht="10.199999999999999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BC87" s="10"/>
      <c r="BD87" s="10"/>
      <c r="BE87" s="10"/>
      <c r="BF87" s="10"/>
      <c r="BG87" s="10"/>
      <c r="BH87" s="10"/>
      <c r="BI87" s="10"/>
      <c r="BJ87" s="10"/>
    </row>
    <row r="88" spans="1:62" ht="10.199999999999999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BC88" s="10"/>
      <c r="BD88" s="10"/>
      <c r="BE88" s="10"/>
      <c r="BF88" s="10"/>
      <c r="BG88" s="10"/>
      <c r="BH88" s="10"/>
      <c r="BI88" s="10"/>
      <c r="BJ88" s="10"/>
    </row>
    <row r="89" spans="1:62" ht="10.199999999999999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BC89" s="10"/>
      <c r="BD89" s="10"/>
      <c r="BE89" s="10"/>
      <c r="BF89" s="10"/>
      <c r="BG89" s="10"/>
      <c r="BH89" s="10"/>
      <c r="BI89" s="10"/>
      <c r="BJ89" s="10"/>
    </row>
    <row r="90" spans="1:62" ht="10.199999999999999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BC90" s="10"/>
      <c r="BD90" s="10"/>
      <c r="BE90" s="10"/>
      <c r="BF90" s="10"/>
      <c r="BG90" s="10"/>
      <c r="BH90" s="10"/>
      <c r="BI90" s="10"/>
      <c r="BJ90" s="10"/>
    </row>
    <row r="91" spans="1:62" ht="10.199999999999999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BC91" s="10"/>
      <c r="BD91" s="10"/>
      <c r="BE91" s="10"/>
      <c r="BF91" s="10"/>
      <c r="BG91" s="10"/>
      <c r="BH91" s="10"/>
      <c r="BI91" s="10"/>
      <c r="BJ91" s="10"/>
    </row>
    <row r="92" spans="1:62" ht="10.199999999999999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BC92" s="10"/>
      <c r="BD92" s="10"/>
      <c r="BE92" s="10"/>
      <c r="BF92" s="10"/>
      <c r="BG92" s="10"/>
      <c r="BH92" s="10"/>
      <c r="BI92" s="10"/>
      <c r="BJ92" s="10"/>
    </row>
    <row r="93" spans="1:62" ht="10.199999999999999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BC93" s="10"/>
      <c r="BD93" s="10"/>
      <c r="BE93" s="10"/>
      <c r="BF93" s="10"/>
      <c r="BG93" s="10"/>
      <c r="BH93" s="10"/>
      <c r="BI93" s="10"/>
      <c r="BJ93" s="10"/>
    </row>
    <row r="94" spans="1:62" ht="10.199999999999999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BC94" s="10"/>
      <c r="BD94" s="10"/>
      <c r="BE94" s="10"/>
      <c r="BF94" s="10"/>
      <c r="BG94" s="10"/>
      <c r="BH94" s="10"/>
      <c r="BI94" s="10"/>
      <c r="BJ94" s="10"/>
    </row>
    <row r="95" spans="1:62" ht="10.199999999999999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BC95" s="10"/>
      <c r="BD95" s="10"/>
      <c r="BE95" s="10"/>
      <c r="BF95" s="10"/>
      <c r="BG95" s="10"/>
      <c r="BH95" s="10"/>
      <c r="BI95" s="10"/>
      <c r="BJ95" s="10"/>
    </row>
    <row r="96" spans="1:62" ht="10.199999999999999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BC96" s="10"/>
      <c r="BD96" s="10"/>
      <c r="BE96" s="10"/>
      <c r="BF96" s="10"/>
      <c r="BG96" s="10"/>
      <c r="BH96" s="10"/>
      <c r="BI96" s="10"/>
      <c r="BJ96" s="10"/>
    </row>
    <row r="97" spans="1:62" ht="10.199999999999999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BC97" s="10"/>
      <c r="BD97" s="10"/>
      <c r="BE97" s="10"/>
      <c r="BF97" s="10"/>
      <c r="BG97" s="10"/>
      <c r="BH97" s="10"/>
      <c r="BI97" s="10"/>
      <c r="BJ97" s="10"/>
    </row>
    <row r="98" spans="1:62" ht="10.199999999999999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BC98" s="10"/>
      <c r="BD98" s="10"/>
      <c r="BE98" s="10"/>
      <c r="BF98" s="10"/>
      <c r="BG98" s="10"/>
      <c r="BH98" s="10"/>
      <c r="BI98" s="10"/>
      <c r="BJ98" s="10"/>
    </row>
    <row r="99" spans="1:62" ht="10.199999999999999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BC99" s="10"/>
      <c r="BD99" s="10"/>
      <c r="BE99" s="10"/>
      <c r="BF99" s="10"/>
      <c r="BG99" s="10"/>
      <c r="BH99" s="10"/>
      <c r="BI99" s="10"/>
      <c r="BJ99" s="10"/>
    </row>
    <row r="100" spans="1:62" ht="10.199999999999999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BC100" s="10"/>
      <c r="BD100" s="10"/>
      <c r="BE100" s="10"/>
      <c r="BF100" s="10"/>
      <c r="BG100" s="10"/>
      <c r="BH100" s="10"/>
      <c r="BI100" s="10"/>
      <c r="BJ100" s="10"/>
    </row>
    <row r="101" spans="1:62" ht="10.199999999999999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BC101" s="10"/>
      <c r="BD101" s="10"/>
      <c r="BE101" s="10"/>
      <c r="BF101" s="10"/>
      <c r="BG101" s="10"/>
      <c r="BH101" s="10"/>
      <c r="BI101" s="10"/>
      <c r="BJ101" s="10"/>
    </row>
    <row r="102" spans="1:62" ht="10.199999999999999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BC102" s="10"/>
      <c r="BD102" s="10"/>
      <c r="BE102" s="10"/>
      <c r="BF102" s="10"/>
      <c r="BG102" s="10"/>
      <c r="BH102" s="10"/>
      <c r="BI102" s="10"/>
      <c r="BJ102" s="10"/>
    </row>
    <row r="103" spans="1:62" ht="10.199999999999999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BC103" s="10"/>
      <c r="BD103" s="10"/>
      <c r="BE103" s="10"/>
      <c r="BF103" s="10"/>
      <c r="BG103" s="10"/>
      <c r="BH103" s="10"/>
      <c r="BI103" s="10"/>
      <c r="BJ103" s="10"/>
    </row>
    <row r="104" spans="1:62" ht="10.199999999999999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BC104" s="10"/>
      <c r="BD104" s="10"/>
      <c r="BE104" s="10"/>
      <c r="BF104" s="10"/>
      <c r="BG104" s="10"/>
      <c r="BH104" s="10"/>
      <c r="BI104" s="10"/>
      <c r="BJ104" s="10"/>
    </row>
    <row r="105" spans="1:62" ht="10.199999999999999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BC105" s="10"/>
      <c r="BD105" s="10"/>
      <c r="BE105" s="10"/>
      <c r="BF105" s="10"/>
      <c r="BG105" s="10"/>
      <c r="BH105" s="10"/>
      <c r="BI105" s="10"/>
      <c r="BJ105" s="10"/>
    </row>
    <row r="106" spans="1:62" ht="10.199999999999999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BC106" s="10"/>
      <c r="BD106" s="10"/>
      <c r="BE106" s="10"/>
      <c r="BF106" s="10"/>
      <c r="BG106" s="10"/>
      <c r="BH106" s="10"/>
      <c r="BI106" s="10"/>
      <c r="BJ106" s="10"/>
    </row>
    <row r="107" spans="1:62" ht="10.199999999999999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BC107" s="10"/>
      <c r="BD107" s="10"/>
      <c r="BE107" s="10"/>
      <c r="BF107" s="10"/>
      <c r="BG107" s="10"/>
      <c r="BH107" s="10"/>
      <c r="BI107" s="10"/>
      <c r="BJ107" s="10"/>
    </row>
    <row r="108" spans="1:62" ht="10.199999999999999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BC108" s="10"/>
      <c r="BD108" s="10"/>
      <c r="BE108" s="10"/>
      <c r="BF108" s="10"/>
      <c r="BG108" s="10"/>
      <c r="BH108" s="10"/>
      <c r="BI108" s="10"/>
      <c r="BJ108" s="10"/>
    </row>
    <row r="109" spans="1:62" ht="10.199999999999999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BC109" s="10"/>
      <c r="BD109" s="10"/>
      <c r="BE109" s="10"/>
      <c r="BF109" s="10"/>
      <c r="BG109" s="10"/>
      <c r="BH109" s="10"/>
      <c r="BI109" s="10"/>
      <c r="BJ109" s="10"/>
    </row>
    <row r="110" spans="1:62" ht="10.199999999999999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BC110" s="10"/>
      <c r="BD110" s="10"/>
      <c r="BE110" s="10"/>
      <c r="BF110" s="10"/>
      <c r="BG110" s="10"/>
      <c r="BH110" s="10"/>
      <c r="BI110" s="10"/>
      <c r="BJ110" s="10"/>
    </row>
    <row r="111" spans="1:62" ht="10.199999999999999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BC111" s="10"/>
      <c r="BD111" s="10"/>
      <c r="BE111" s="10"/>
      <c r="BF111" s="10"/>
      <c r="BG111" s="10"/>
      <c r="BH111" s="10"/>
      <c r="BI111" s="10"/>
      <c r="BJ111" s="10"/>
    </row>
    <row r="112" spans="1:62" ht="10.199999999999999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BC112" s="10"/>
      <c r="BD112" s="10"/>
      <c r="BE112" s="10"/>
      <c r="BF112" s="10"/>
      <c r="BG112" s="10"/>
      <c r="BH112" s="10"/>
      <c r="BI112" s="10"/>
      <c r="BJ112" s="10"/>
    </row>
    <row r="113" spans="1:62" ht="10.199999999999999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BC113" s="10"/>
      <c r="BD113" s="10"/>
      <c r="BE113" s="10"/>
      <c r="BF113" s="10"/>
      <c r="BG113" s="10"/>
      <c r="BH113" s="10"/>
      <c r="BI113" s="10"/>
      <c r="BJ113" s="10"/>
    </row>
    <row r="114" spans="1:62" ht="10.199999999999999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BC114" s="10"/>
      <c r="BD114" s="10"/>
      <c r="BE114" s="10"/>
      <c r="BF114" s="10"/>
      <c r="BG114" s="10"/>
      <c r="BH114" s="10"/>
      <c r="BI114" s="10"/>
      <c r="BJ114" s="10"/>
    </row>
    <row r="115" spans="1:62" ht="10.199999999999999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BC115" s="10"/>
      <c r="BD115" s="10"/>
      <c r="BE115" s="10"/>
      <c r="BF115" s="10"/>
      <c r="BG115" s="10"/>
      <c r="BH115" s="10"/>
      <c r="BI115" s="10"/>
      <c r="BJ115" s="10"/>
    </row>
    <row r="116" spans="1:62" ht="10.199999999999999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BC116" s="10"/>
      <c r="BD116" s="10"/>
      <c r="BE116" s="10"/>
      <c r="BF116" s="10"/>
      <c r="BG116" s="10"/>
      <c r="BH116" s="10"/>
      <c r="BI116" s="10"/>
      <c r="BJ116" s="10"/>
    </row>
    <row r="117" spans="1:62" ht="10.199999999999999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BC117" s="10"/>
      <c r="BD117" s="10"/>
      <c r="BE117" s="10"/>
      <c r="BF117" s="10"/>
      <c r="BG117" s="10"/>
      <c r="BH117" s="10"/>
      <c r="BI117" s="10"/>
      <c r="BJ117" s="10"/>
    </row>
    <row r="118" spans="1:62" ht="10.199999999999999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BC118" s="10"/>
      <c r="BD118" s="10"/>
      <c r="BE118" s="10"/>
      <c r="BF118" s="10"/>
      <c r="BG118" s="10"/>
      <c r="BH118" s="10"/>
      <c r="BI118" s="10"/>
      <c r="BJ118" s="10"/>
    </row>
    <row r="119" spans="1:62" ht="10.199999999999999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BC119" s="10"/>
      <c r="BD119" s="10"/>
      <c r="BE119" s="10"/>
      <c r="BF119" s="10"/>
      <c r="BG119" s="10"/>
      <c r="BH119" s="10"/>
      <c r="BI119" s="10"/>
      <c r="BJ119" s="10"/>
    </row>
    <row r="120" spans="1:62" ht="10.199999999999999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BC120" s="10"/>
      <c r="BD120" s="10"/>
      <c r="BE120" s="10"/>
      <c r="BF120" s="10"/>
      <c r="BG120" s="10"/>
      <c r="BH120" s="10"/>
      <c r="BI120" s="10"/>
      <c r="BJ120" s="10"/>
    </row>
    <row r="121" spans="1:62" ht="10.199999999999999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BC121" s="10"/>
      <c r="BD121" s="10"/>
      <c r="BE121" s="10"/>
      <c r="BF121" s="10"/>
      <c r="BG121" s="10"/>
      <c r="BH121" s="10"/>
      <c r="BI121" s="10"/>
      <c r="BJ121" s="10"/>
    </row>
    <row r="122" spans="1:62" ht="10.199999999999999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BC122" s="10"/>
      <c r="BD122" s="10"/>
      <c r="BE122" s="10"/>
      <c r="BF122" s="10"/>
      <c r="BG122" s="10"/>
      <c r="BH122" s="10"/>
      <c r="BI122" s="10"/>
      <c r="BJ122" s="10"/>
    </row>
    <row r="123" spans="1:62" ht="10.199999999999999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BC123" s="10"/>
      <c r="BD123" s="10"/>
      <c r="BE123" s="10"/>
      <c r="BF123" s="10"/>
      <c r="BG123" s="10"/>
      <c r="BH123" s="10"/>
      <c r="BI123" s="10"/>
      <c r="BJ123" s="10"/>
    </row>
    <row r="124" spans="1:62" ht="10.199999999999999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BC124" s="10"/>
      <c r="BD124" s="10"/>
      <c r="BE124" s="10"/>
      <c r="BF124" s="10"/>
      <c r="BG124" s="10"/>
      <c r="BH124" s="10"/>
      <c r="BI124" s="10"/>
      <c r="BJ124" s="10"/>
    </row>
    <row r="125" spans="1:62" ht="10.199999999999999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BC125" s="10"/>
      <c r="BD125" s="10"/>
      <c r="BE125" s="10"/>
      <c r="BF125" s="10"/>
      <c r="BG125" s="10"/>
      <c r="BH125" s="10"/>
      <c r="BI125" s="10"/>
      <c r="BJ125" s="10"/>
    </row>
    <row r="126" spans="1:62" ht="10.199999999999999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BC126" s="10"/>
      <c r="BD126" s="10"/>
      <c r="BE126" s="10"/>
      <c r="BF126" s="10"/>
      <c r="BG126" s="10"/>
      <c r="BH126" s="10"/>
      <c r="BI126" s="10"/>
      <c r="BJ126" s="10"/>
    </row>
    <row r="127" spans="1:62" ht="10.199999999999999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BC127" s="10"/>
      <c r="BD127" s="10"/>
      <c r="BE127" s="10"/>
      <c r="BF127" s="10"/>
      <c r="BG127" s="10"/>
      <c r="BH127" s="10"/>
      <c r="BI127" s="10"/>
      <c r="BJ127" s="10"/>
    </row>
    <row r="128" spans="1:62" ht="10.199999999999999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BC128" s="10"/>
      <c r="BD128" s="10"/>
      <c r="BE128" s="10"/>
      <c r="BF128" s="10"/>
      <c r="BG128" s="10"/>
      <c r="BH128" s="10"/>
      <c r="BI128" s="10"/>
      <c r="BJ128" s="10"/>
    </row>
    <row r="129" spans="1:62" ht="10.199999999999999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BC129" s="10"/>
      <c r="BD129" s="10"/>
      <c r="BE129" s="10"/>
      <c r="BF129" s="10"/>
      <c r="BG129" s="10"/>
      <c r="BH129" s="10"/>
      <c r="BI129" s="10"/>
      <c r="BJ129" s="10"/>
    </row>
    <row r="130" spans="1:62" ht="10.199999999999999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BC130" s="10"/>
      <c r="BD130" s="10"/>
      <c r="BE130" s="10"/>
      <c r="BF130" s="10"/>
      <c r="BG130" s="10"/>
      <c r="BH130" s="10"/>
      <c r="BI130" s="10"/>
      <c r="BJ130" s="10"/>
    </row>
    <row r="131" spans="1:62" ht="10.199999999999999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BC131" s="10"/>
      <c r="BD131" s="10"/>
      <c r="BE131" s="10"/>
      <c r="BF131" s="10"/>
      <c r="BG131" s="10"/>
      <c r="BH131" s="10"/>
      <c r="BI131" s="10"/>
      <c r="BJ131" s="10"/>
    </row>
    <row r="132" spans="1:62" ht="10.199999999999999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BC132" s="10"/>
      <c r="BD132" s="10"/>
      <c r="BE132" s="10"/>
      <c r="BF132" s="10"/>
      <c r="BG132" s="10"/>
      <c r="BH132" s="10"/>
      <c r="BI132" s="10"/>
      <c r="BJ132" s="10"/>
    </row>
    <row r="133" spans="1:62" ht="10.199999999999999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BC133" s="10"/>
      <c r="BD133" s="10"/>
      <c r="BE133" s="10"/>
      <c r="BF133" s="10"/>
      <c r="BG133" s="10"/>
      <c r="BH133" s="10"/>
      <c r="BI133" s="10"/>
      <c r="BJ133" s="10"/>
    </row>
    <row r="134" spans="1:62" ht="10.199999999999999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BC134" s="10"/>
      <c r="BD134" s="10"/>
      <c r="BE134" s="10"/>
      <c r="BF134" s="10"/>
      <c r="BG134" s="10"/>
      <c r="BH134" s="10"/>
      <c r="BI134" s="10"/>
      <c r="BJ134" s="10"/>
    </row>
    <row r="135" spans="1:62" ht="10.199999999999999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BC135" s="10"/>
      <c r="BD135" s="10"/>
      <c r="BE135" s="10"/>
      <c r="BF135" s="10"/>
      <c r="BG135" s="10"/>
      <c r="BH135" s="10"/>
      <c r="BI135" s="10"/>
      <c r="BJ135" s="10"/>
    </row>
    <row r="136" spans="1:62" ht="10.199999999999999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BC136" s="10"/>
      <c r="BD136" s="10"/>
      <c r="BE136" s="10"/>
      <c r="BF136" s="10"/>
      <c r="BG136" s="10"/>
      <c r="BH136" s="10"/>
      <c r="BI136" s="10"/>
      <c r="BJ136" s="10"/>
    </row>
    <row r="137" spans="1:62" ht="10.199999999999999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BC137" s="10"/>
      <c r="BD137" s="10"/>
      <c r="BE137" s="10"/>
      <c r="BF137" s="10"/>
      <c r="BG137" s="10"/>
      <c r="BH137" s="10"/>
      <c r="BI137" s="10"/>
      <c r="BJ137" s="10"/>
    </row>
    <row r="138" spans="1:62" ht="10.199999999999999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BC138" s="10"/>
      <c r="BD138" s="10"/>
      <c r="BE138" s="10"/>
      <c r="BF138" s="10"/>
      <c r="BG138" s="10"/>
      <c r="BH138" s="10"/>
      <c r="BI138" s="10"/>
      <c r="BJ138" s="10"/>
    </row>
    <row r="139" spans="1:62" ht="10.199999999999999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BC139" s="10"/>
      <c r="BD139" s="10"/>
      <c r="BE139" s="10"/>
      <c r="BF139" s="10"/>
      <c r="BG139" s="10"/>
      <c r="BH139" s="10"/>
      <c r="BI139" s="10"/>
      <c r="BJ139" s="10"/>
    </row>
    <row r="140" spans="1:62" ht="10.199999999999999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BC140" s="10"/>
      <c r="BD140" s="10"/>
      <c r="BE140" s="10"/>
      <c r="BF140" s="10"/>
      <c r="BG140" s="10"/>
      <c r="BH140" s="10"/>
      <c r="BI140" s="10"/>
      <c r="BJ140" s="10"/>
    </row>
    <row r="141" spans="1:62" ht="10.199999999999999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BC141" s="10"/>
      <c r="BD141" s="10"/>
      <c r="BE141" s="10"/>
      <c r="BF141" s="10"/>
      <c r="BG141" s="10"/>
      <c r="BH141" s="10"/>
      <c r="BI141" s="10"/>
      <c r="BJ141" s="10"/>
    </row>
    <row r="142" spans="1:62" ht="10.199999999999999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BC142" s="10"/>
      <c r="BD142" s="10"/>
      <c r="BE142" s="10"/>
      <c r="BF142" s="10"/>
      <c r="BG142" s="10"/>
      <c r="BH142" s="10"/>
      <c r="BI142" s="10"/>
      <c r="BJ142" s="10"/>
    </row>
    <row r="143" spans="1:62" ht="10.199999999999999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BC143" s="10"/>
      <c r="BD143" s="10"/>
      <c r="BE143" s="10"/>
      <c r="BF143" s="10"/>
      <c r="BG143" s="10"/>
      <c r="BH143" s="10"/>
      <c r="BI143" s="10"/>
      <c r="BJ143" s="10"/>
    </row>
    <row r="144" spans="1:62" ht="10.199999999999999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BC144" s="10"/>
      <c r="BD144" s="10"/>
      <c r="BE144" s="10"/>
      <c r="BF144" s="10"/>
      <c r="BG144" s="10"/>
      <c r="BH144" s="10"/>
      <c r="BI144" s="10"/>
      <c r="BJ144" s="10"/>
    </row>
    <row r="145" spans="1:62" ht="10.199999999999999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BC145" s="10"/>
      <c r="BD145" s="10"/>
      <c r="BE145" s="10"/>
      <c r="BF145" s="10"/>
      <c r="BG145" s="10"/>
      <c r="BH145" s="10"/>
      <c r="BI145" s="10"/>
      <c r="BJ145" s="10"/>
    </row>
    <row r="146" spans="1:62" ht="10.199999999999999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BC146" s="10"/>
      <c r="BD146" s="10"/>
      <c r="BE146" s="10"/>
      <c r="BF146" s="10"/>
      <c r="BG146" s="10"/>
      <c r="BH146" s="10"/>
      <c r="BI146" s="10"/>
      <c r="BJ146" s="10"/>
    </row>
    <row r="147" spans="1:62" ht="10.199999999999999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BC147" s="10"/>
      <c r="BD147" s="10"/>
      <c r="BE147" s="10"/>
      <c r="BF147" s="10"/>
      <c r="BG147" s="10"/>
      <c r="BH147" s="10"/>
      <c r="BI147" s="10"/>
      <c r="BJ147" s="10"/>
    </row>
    <row r="148" spans="1:62" ht="10.199999999999999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BC148" s="10"/>
      <c r="BD148" s="10"/>
      <c r="BE148" s="10"/>
      <c r="BF148" s="10"/>
      <c r="BG148" s="10"/>
      <c r="BH148" s="10"/>
      <c r="BI148" s="10"/>
      <c r="BJ148" s="10"/>
    </row>
    <row r="149" spans="1:62" ht="10.199999999999999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BC149" s="10"/>
      <c r="BD149" s="10"/>
      <c r="BE149" s="10"/>
      <c r="BF149" s="10"/>
      <c r="BG149" s="10"/>
      <c r="BH149" s="10"/>
      <c r="BI149" s="10"/>
      <c r="BJ149" s="10"/>
    </row>
    <row r="150" spans="1:62" ht="10.199999999999999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BC150" s="10"/>
      <c r="BD150" s="10"/>
      <c r="BE150" s="10"/>
      <c r="BF150" s="10"/>
      <c r="BG150" s="10"/>
      <c r="BH150" s="10"/>
      <c r="BI150" s="10"/>
      <c r="BJ150" s="10"/>
    </row>
    <row r="151" spans="1:62" ht="10.199999999999999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BC151" s="10"/>
      <c r="BD151" s="10"/>
      <c r="BE151" s="10"/>
      <c r="BF151" s="10"/>
      <c r="BG151" s="10"/>
      <c r="BH151" s="10"/>
      <c r="BI151" s="10"/>
      <c r="BJ151" s="10"/>
    </row>
    <row r="152" spans="1:62" ht="10.199999999999999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BC152" s="10"/>
      <c r="BD152" s="10"/>
      <c r="BE152" s="10"/>
      <c r="BF152" s="10"/>
      <c r="BG152" s="10"/>
      <c r="BH152" s="10"/>
      <c r="BI152" s="10"/>
      <c r="BJ152" s="10"/>
    </row>
    <row r="153" spans="1:62" ht="10.199999999999999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BC153" s="10"/>
      <c r="BD153" s="10"/>
      <c r="BE153" s="10"/>
      <c r="BF153" s="10"/>
      <c r="BG153" s="10"/>
      <c r="BH153" s="10"/>
      <c r="BI153" s="10"/>
      <c r="BJ153" s="10"/>
    </row>
    <row r="154" spans="1:62" ht="10.199999999999999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BC154" s="10"/>
      <c r="BD154" s="10"/>
      <c r="BE154" s="10"/>
      <c r="BF154" s="10"/>
      <c r="BG154" s="10"/>
      <c r="BH154" s="10"/>
      <c r="BI154" s="10"/>
      <c r="BJ154" s="10"/>
    </row>
    <row r="155" spans="1:62" ht="10.199999999999999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BC155" s="10"/>
      <c r="BD155" s="10"/>
      <c r="BE155" s="10"/>
      <c r="BF155" s="10"/>
      <c r="BG155" s="10"/>
      <c r="BH155" s="10"/>
      <c r="BI155" s="10"/>
      <c r="BJ155" s="10"/>
    </row>
    <row r="156" spans="1:62" ht="10.199999999999999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BC156" s="10"/>
      <c r="BD156" s="10"/>
      <c r="BE156" s="10"/>
      <c r="BF156" s="10"/>
      <c r="BG156" s="10"/>
      <c r="BH156" s="10"/>
      <c r="BI156" s="10"/>
      <c r="BJ156" s="10"/>
    </row>
    <row r="157" spans="1:62" ht="10.199999999999999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BC157" s="10"/>
      <c r="BD157" s="10"/>
      <c r="BE157" s="10"/>
      <c r="BF157" s="10"/>
      <c r="BG157" s="10"/>
      <c r="BH157" s="10"/>
      <c r="BI157" s="10"/>
      <c r="BJ157" s="10"/>
    </row>
    <row r="158" spans="1:62" ht="10.199999999999999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BC158" s="10"/>
      <c r="BD158" s="10"/>
      <c r="BE158" s="10"/>
      <c r="BF158" s="10"/>
      <c r="BG158" s="10"/>
      <c r="BH158" s="10"/>
      <c r="BI158" s="10"/>
      <c r="BJ158" s="10"/>
    </row>
    <row r="159" spans="1:62" ht="10.199999999999999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BC159" s="10"/>
      <c r="BD159" s="10"/>
      <c r="BE159" s="10"/>
      <c r="BF159" s="10"/>
      <c r="BG159" s="10"/>
      <c r="BH159" s="10"/>
      <c r="BI159" s="10"/>
      <c r="BJ159" s="10"/>
    </row>
    <row r="160" spans="1:62" ht="10.199999999999999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BC160" s="10"/>
      <c r="BD160" s="10"/>
      <c r="BE160" s="10"/>
      <c r="BF160" s="10"/>
      <c r="BG160" s="10"/>
      <c r="BH160" s="10"/>
      <c r="BI160" s="10"/>
      <c r="BJ160" s="10"/>
    </row>
    <row r="161" spans="1:62" ht="10.199999999999999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BC161" s="10"/>
      <c r="BD161" s="10"/>
      <c r="BE161" s="10"/>
      <c r="BF161" s="10"/>
      <c r="BG161" s="10"/>
      <c r="BH161" s="10"/>
      <c r="BI161" s="10"/>
      <c r="BJ161" s="10"/>
    </row>
    <row r="162" spans="1:62" ht="10.199999999999999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BC162" s="10"/>
      <c r="BD162" s="10"/>
      <c r="BE162" s="10"/>
      <c r="BF162" s="10"/>
      <c r="BG162" s="10"/>
      <c r="BH162" s="10"/>
      <c r="BI162" s="10"/>
      <c r="BJ162" s="10"/>
    </row>
    <row r="163" spans="1:62" ht="10.199999999999999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BC163" s="10"/>
      <c r="BD163" s="10"/>
      <c r="BE163" s="10"/>
      <c r="BF163" s="10"/>
      <c r="BG163" s="10"/>
      <c r="BH163" s="10"/>
      <c r="BI163" s="10"/>
      <c r="BJ163" s="10"/>
    </row>
    <row r="164" spans="1:62" ht="10.199999999999999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BC164" s="10"/>
      <c r="BD164" s="10"/>
      <c r="BE164" s="10"/>
      <c r="BF164" s="10"/>
      <c r="BG164" s="10"/>
      <c r="BH164" s="10"/>
      <c r="BI164" s="10"/>
      <c r="BJ164" s="10"/>
    </row>
    <row r="165" spans="1:62" ht="10.199999999999999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BC165" s="10"/>
      <c r="BD165" s="10"/>
      <c r="BE165" s="10"/>
      <c r="BF165" s="10"/>
      <c r="BG165" s="10"/>
      <c r="BH165" s="10"/>
      <c r="BI165" s="10"/>
      <c r="BJ165" s="10"/>
    </row>
    <row r="166" spans="1:62" ht="10.199999999999999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BC166" s="10"/>
      <c r="BD166" s="10"/>
      <c r="BE166" s="10"/>
      <c r="BF166" s="10"/>
      <c r="BG166" s="10"/>
      <c r="BH166" s="10"/>
      <c r="BI166" s="10"/>
      <c r="BJ166" s="10"/>
    </row>
    <row r="167" spans="1:62" ht="10.199999999999999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BC167" s="10"/>
      <c r="BD167" s="10"/>
      <c r="BE167" s="10"/>
      <c r="BF167" s="10"/>
      <c r="BG167" s="10"/>
      <c r="BH167" s="10"/>
      <c r="BI167" s="10"/>
      <c r="BJ167" s="10"/>
    </row>
    <row r="168" spans="1:62" ht="10.199999999999999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BC168" s="10"/>
      <c r="BD168" s="10"/>
      <c r="BE168" s="10"/>
      <c r="BF168" s="10"/>
      <c r="BG168" s="10"/>
      <c r="BH168" s="10"/>
      <c r="BI168" s="10"/>
      <c r="BJ168" s="10"/>
    </row>
    <row r="169" spans="1:62" ht="10.199999999999999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BC169" s="10"/>
      <c r="BD169" s="10"/>
      <c r="BE169" s="10"/>
      <c r="BF169" s="10"/>
      <c r="BG169" s="10"/>
      <c r="BH169" s="10"/>
      <c r="BI169" s="10"/>
      <c r="BJ169" s="10"/>
    </row>
    <row r="170" spans="1:62" ht="10.199999999999999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BC170" s="10"/>
      <c r="BD170" s="10"/>
      <c r="BE170" s="10"/>
      <c r="BF170" s="10"/>
      <c r="BG170" s="10"/>
      <c r="BH170" s="10"/>
      <c r="BI170" s="10"/>
      <c r="BJ170" s="10"/>
    </row>
    <row r="171" spans="1:62" ht="10.199999999999999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BC171" s="10"/>
      <c r="BD171" s="10"/>
      <c r="BE171" s="10"/>
      <c r="BF171" s="10"/>
      <c r="BG171" s="10"/>
      <c r="BH171" s="10"/>
      <c r="BI171" s="10"/>
      <c r="BJ171" s="10"/>
    </row>
    <row r="172" spans="1:62" ht="10.199999999999999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BC172" s="10"/>
      <c r="BD172" s="10"/>
      <c r="BE172" s="10"/>
      <c r="BF172" s="10"/>
      <c r="BG172" s="10"/>
      <c r="BH172" s="10"/>
      <c r="BI172" s="10"/>
      <c r="BJ172" s="10"/>
    </row>
    <row r="173" spans="1:62" ht="10.199999999999999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BC173" s="10"/>
      <c r="BD173" s="10"/>
      <c r="BE173" s="10"/>
      <c r="BF173" s="10"/>
      <c r="BG173" s="10"/>
      <c r="BH173" s="10"/>
      <c r="BI173" s="10"/>
      <c r="BJ173" s="10"/>
    </row>
    <row r="174" spans="1:62" ht="10.199999999999999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BC174" s="10"/>
      <c r="BD174" s="10"/>
      <c r="BE174" s="10"/>
      <c r="BF174" s="10"/>
      <c r="BG174" s="10"/>
      <c r="BH174" s="10"/>
      <c r="BI174" s="10"/>
      <c r="BJ174" s="10"/>
    </row>
    <row r="175" spans="1:62" ht="10.199999999999999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BC175" s="10"/>
      <c r="BD175" s="10"/>
      <c r="BE175" s="10"/>
      <c r="BF175" s="10"/>
      <c r="BG175" s="10"/>
      <c r="BH175" s="10"/>
      <c r="BI175" s="10"/>
      <c r="BJ175" s="10"/>
    </row>
    <row r="176" spans="1:62" ht="10.199999999999999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BC176" s="10"/>
      <c r="BD176" s="10"/>
      <c r="BE176" s="10"/>
      <c r="BF176" s="10"/>
      <c r="BG176" s="10"/>
      <c r="BH176" s="10"/>
      <c r="BI176" s="10"/>
      <c r="BJ176" s="10"/>
    </row>
    <row r="177" spans="1:62" ht="10.199999999999999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BC177" s="10"/>
      <c r="BD177" s="10"/>
      <c r="BE177" s="10"/>
      <c r="BF177" s="10"/>
      <c r="BG177" s="10"/>
      <c r="BH177" s="10"/>
      <c r="BI177" s="10"/>
      <c r="BJ177" s="10"/>
    </row>
    <row r="178" spans="1:62" ht="10.199999999999999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BC178" s="10"/>
      <c r="BD178" s="10"/>
      <c r="BE178" s="10"/>
      <c r="BF178" s="10"/>
      <c r="BG178" s="10"/>
      <c r="BH178" s="10"/>
      <c r="BI178" s="10"/>
      <c r="BJ178" s="10"/>
    </row>
    <row r="179" spans="1:62" ht="10.199999999999999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BC179" s="10"/>
      <c r="BD179" s="10"/>
      <c r="BE179" s="10"/>
      <c r="BF179" s="10"/>
      <c r="BG179" s="10"/>
      <c r="BH179" s="10"/>
      <c r="BI179" s="10"/>
      <c r="BJ179" s="10"/>
    </row>
    <row r="180" spans="1:62" ht="10.199999999999999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BC180" s="10"/>
      <c r="BD180" s="10"/>
      <c r="BE180" s="10"/>
      <c r="BF180" s="10"/>
      <c r="BG180" s="10"/>
      <c r="BH180" s="10"/>
      <c r="BI180" s="10"/>
      <c r="BJ180" s="10"/>
    </row>
    <row r="181" spans="1:62" ht="10.199999999999999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BC181" s="10"/>
      <c r="BD181" s="10"/>
      <c r="BE181" s="10"/>
      <c r="BF181" s="10"/>
      <c r="BG181" s="10"/>
      <c r="BH181" s="10"/>
      <c r="BI181" s="10"/>
      <c r="BJ181" s="10"/>
    </row>
    <row r="182" spans="1:62" ht="10.199999999999999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BC182" s="10"/>
      <c r="BD182" s="10"/>
      <c r="BE182" s="10"/>
      <c r="BF182" s="10"/>
      <c r="BG182" s="10"/>
      <c r="BH182" s="10"/>
      <c r="BI182" s="10"/>
      <c r="BJ182" s="10"/>
    </row>
    <row r="183" spans="1:62" ht="10.199999999999999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BC183" s="10"/>
      <c r="BD183" s="10"/>
      <c r="BE183" s="10"/>
      <c r="BF183" s="10"/>
      <c r="BG183" s="10"/>
      <c r="BH183" s="10"/>
      <c r="BI183" s="10"/>
      <c r="BJ183" s="10"/>
    </row>
    <row r="184" spans="1:62" ht="10.199999999999999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BC184" s="10"/>
      <c r="BD184" s="10"/>
      <c r="BE184" s="10"/>
      <c r="BF184" s="10"/>
      <c r="BG184" s="10"/>
      <c r="BH184" s="10"/>
      <c r="BI184" s="10"/>
      <c r="BJ184" s="10"/>
    </row>
    <row r="185" spans="1:62" ht="10.199999999999999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BC185" s="10"/>
      <c r="BD185" s="10"/>
      <c r="BE185" s="10"/>
      <c r="BF185" s="10"/>
      <c r="BG185" s="10"/>
      <c r="BH185" s="10"/>
      <c r="BI185" s="10"/>
      <c r="BJ185" s="10"/>
    </row>
    <row r="186" spans="1:62" ht="10.199999999999999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BC186" s="10"/>
      <c r="BD186" s="10"/>
      <c r="BE186" s="10"/>
      <c r="BF186" s="10"/>
      <c r="BG186" s="10"/>
      <c r="BH186" s="10"/>
      <c r="BI186" s="10"/>
      <c r="BJ186" s="10"/>
    </row>
    <row r="187" spans="1:62" ht="10.199999999999999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BC187" s="10"/>
      <c r="BD187" s="10"/>
      <c r="BE187" s="10"/>
      <c r="BF187" s="10"/>
      <c r="BG187" s="10"/>
      <c r="BH187" s="10"/>
      <c r="BI187" s="10"/>
      <c r="BJ187" s="10"/>
    </row>
    <row r="188" spans="1:62" ht="10.199999999999999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BC188" s="10"/>
      <c r="BD188" s="10"/>
      <c r="BE188" s="10"/>
      <c r="BF188" s="10"/>
      <c r="BG188" s="10"/>
      <c r="BH188" s="10"/>
      <c r="BI188" s="10"/>
      <c r="BJ188" s="10"/>
    </row>
    <row r="189" spans="1:62" ht="10.199999999999999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BC189" s="10"/>
      <c r="BD189" s="10"/>
      <c r="BE189" s="10"/>
      <c r="BF189" s="10"/>
      <c r="BG189" s="10"/>
      <c r="BH189" s="10"/>
      <c r="BI189" s="10"/>
      <c r="BJ189" s="10"/>
    </row>
    <row r="190" spans="1:62" ht="10.199999999999999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BC190" s="10"/>
      <c r="BD190" s="10"/>
      <c r="BE190" s="10"/>
      <c r="BF190" s="10"/>
      <c r="BG190" s="10"/>
      <c r="BH190" s="10"/>
      <c r="BI190" s="10"/>
      <c r="BJ190" s="10"/>
    </row>
    <row r="191" spans="1:62" ht="10.199999999999999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BC191" s="10"/>
      <c r="BD191" s="10"/>
      <c r="BE191" s="10"/>
      <c r="BF191" s="10"/>
      <c r="BG191" s="10"/>
      <c r="BH191" s="10"/>
      <c r="BI191" s="10"/>
      <c r="BJ191" s="10"/>
    </row>
    <row r="192" spans="1:62" ht="10.199999999999999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BC192" s="10"/>
      <c r="BD192" s="10"/>
      <c r="BE192" s="10"/>
      <c r="BF192" s="10"/>
      <c r="BG192" s="10"/>
      <c r="BH192" s="10"/>
      <c r="BI192" s="10"/>
      <c r="BJ192" s="10"/>
    </row>
    <row r="193" spans="1:62" ht="10.199999999999999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BC193" s="10"/>
      <c r="BD193" s="10"/>
      <c r="BE193" s="10"/>
      <c r="BF193" s="10"/>
      <c r="BG193" s="10"/>
      <c r="BH193" s="10"/>
      <c r="BI193" s="10"/>
      <c r="BJ193" s="10"/>
    </row>
    <row r="194" spans="1:62" ht="10.199999999999999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BC194" s="10"/>
      <c r="BD194" s="10"/>
      <c r="BE194" s="10"/>
      <c r="BF194" s="10"/>
      <c r="BG194" s="10"/>
      <c r="BH194" s="10"/>
      <c r="BI194" s="10"/>
      <c r="BJ194" s="10"/>
    </row>
    <row r="195" spans="1:62" ht="10.199999999999999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BC195" s="10"/>
      <c r="BD195" s="10"/>
      <c r="BE195" s="10"/>
      <c r="BF195" s="10"/>
      <c r="BG195" s="10"/>
      <c r="BH195" s="10"/>
      <c r="BI195" s="10"/>
      <c r="BJ195" s="10"/>
    </row>
    <row r="196" spans="1:62" ht="10.199999999999999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BC196" s="10"/>
      <c r="BD196" s="10"/>
      <c r="BE196" s="10"/>
      <c r="BF196" s="10"/>
      <c r="BG196" s="10"/>
      <c r="BH196" s="10"/>
      <c r="BI196" s="10"/>
      <c r="BJ196" s="10"/>
    </row>
    <row r="197" spans="1:62" ht="10.199999999999999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BC197" s="10"/>
      <c r="BD197" s="10"/>
      <c r="BE197" s="10"/>
      <c r="BF197" s="10"/>
      <c r="BG197" s="10"/>
      <c r="BH197" s="10"/>
      <c r="BI197" s="10"/>
      <c r="BJ197" s="10"/>
    </row>
    <row r="198" spans="1:62" ht="10.199999999999999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BC198" s="10"/>
      <c r="BD198" s="10"/>
      <c r="BE198" s="10"/>
      <c r="BF198" s="10"/>
      <c r="BG198" s="10"/>
      <c r="BH198" s="10"/>
      <c r="BI198" s="10"/>
      <c r="BJ198" s="10"/>
    </row>
    <row r="199" spans="1:62" ht="10.199999999999999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BC199" s="10"/>
      <c r="BD199" s="10"/>
      <c r="BE199" s="10"/>
      <c r="BF199" s="10"/>
      <c r="BG199" s="10"/>
      <c r="BH199" s="10"/>
      <c r="BI199" s="10"/>
      <c r="BJ199" s="10"/>
    </row>
    <row r="200" spans="1:62" ht="10.199999999999999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BC200" s="10"/>
      <c r="BD200" s="10"/>
      <c r="BE200" s="10"/>
      <c r="BF200" s="10"/>
      <c r="BG200" s="10"/>
      <c r="BH200" s="10"/>
      <c r="BI200" s="10"/>
      <c r="BJ200" s="10"/>
    </row>
    <row r="201" spans="1:62" ht="10.199999999999999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BC201" s="10"/>
      <c r="BD201" s="10"/>
      <c r="BE201" s="10"/>
      <c r="BF201" s="10"/>
      <c r="BG201" s="10"/>
      <c r="BH201" s="10"/>
      <c r="BI201" s="10"/>
      <c r="BJ201" s="10"/>
    </row>
    <row r="202" spans="1:62" ht="10.199999999999999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BC202" s="10"/>
      <c r="BD202" s="10"/>
      <c r="BE202" s="10"/>
      <c r="BF202" s="10"/>
      <c r="BG202" s="10"/>
      <c r="BH202" s="10"/>
      <c r="BI202" s="10"/>
      <c r="BJ202" s="10"/>
    </row>
    <row r="203" spans="1:62" ht="10.199999999999999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BC203" s="10"/>
      <c r="BD203" s="10"/>
      <c r="BE203" s="10"/>
      <c r="BF203" s="10"/>
      <c r="BG203" s="10"/>
      <c r="BH203" s="10"/>
      <c r="BI203" s="10"/>
      <c r="BJ203" s="10"/>
    </row>
    <row r="204" spans="1:62" ht="10.199999999999999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BC204" s="10"/>
      <c r="BD204" s="10"/>
      <c r="BE204" s="10"/>
      <c r="BF204" s="10"/>
      <c r="BG204" s="10"/>
      <c r="BH204" s="10"/>
      <c r="BI204" s="10"/>
      <c r="BJ204" s="10"/>
    </row>
    <row r="205" spans="1:62" ht="10.199999999999999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BC205" s="10"/>
      <c r="BD205" s="10"/>
      <c r="BE205" s="10"/>
      <c r="BF205" s="10"/>
      <c r="BG205" s="10"/>
      <c r="BH205" s="10"/>
      <c r="BI205" s="10"/>
      <c r="BJ205" s="10"/>
    </row>
    <row r="206" spans="1:62" ht="10.199999999999999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BC206" s="10"/>
      <c r="BD206" s="10"/>
      <c r="BE206" s="10"/>
      <c r="BF206" s="10"/>
      <c r="BG206" s="10"/>
      <c r="BH206" s="10"/>
      <c r="BI206" s="10"/>
      <c r="BJ206" s="10"/>
    </row>
    <row r="207" spans="1:62" ht="10.199999999999999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BC207" s="10"/>
      <c r="BD207" s="10"/>
      <c r="BE207" s="10"/>
      <c r="BF207" s="10"/>
      <c r="BG207" s="10"/>
      <c r="BH207" s="10"/>
      <c r="BI207" s="10"/>
      <c r="BJ207" s="10"/>
    </row>
    <row r="208" spans="1:62" ht="10.199999999999999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BC208" s="10"/>
      <c r="BD208" s="10"/>
      <c r="BE208" s="10"/>
      <c r="BF208" s="10"/>
      <c r="BG208" s="10"/>
      <c r="BH208" s="10"/>
      <c r="BI208" s="10"/>
      <c r="BJ208" s="10"/>
    </row>
    <row r="209" spans="1:62" ht="10.199999999999999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BC209" s="10"/>
      <c r="BD209" s="10"/>
      <c r="BE209" s="10"/>
      <c r="BF209" s="10"/>
      <c r="BG209" s="10"/>
      <c r="BH209" s="10"/>
      <c r="BI209" s="10"/>
      <c r="BJ209" s="10"/>
    </row>
    <row r="210" spans="1:62" ht="10.199999999999999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BC210" s="10"/>
      <c r="BD210" s="10"/>
      <c r="BE210" s="10"/>
      <c r="BF210" s="10"/>
      <c r="BG210" s="10"/>
      <c r="BH210" s="10"/>
      <c r="BI210" s="10"/>
      <c r="BJ210" s="10"/>
    </row>
    <row r="211" spans="1:62" ht="10.199999999999999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BC211" s="10"/>
      <c r="BD211" s="10"/>
      <c r="BE211" s="10"/>
      <c r="BF211" s="10"/>
      <c r="BG211" s="10"/>
      <c r="BH211" s="10"/>
      <c r="BI211" s="10"/>
      <c r="BJ211" s="10"/>
    </row>
    <row r="212" spans="1:62" ht="10.199999999999999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BC212" s="10"/>
      <c r="BD212" s="10"/>
      <c r="BE212" s="10"/>
      <c r="BF212" s="10"/>
      <c r="BG212" s="10"/>
      <c r="BH212" s="10"/>
      <c r="BI212" s="10"/>
      <c r="BJ212" s="10"/>
    </row>
    <row r="213" spans="1:62" ht="10.199999999999999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BC213" s="10"/>
      <c r="BD213" s="10"/>
      <c r="BE213" s="10"/>
      <c r="BF213" s="10"/>
      <c r="BG213" s="10"/>
      <c r="BH213" s="10"/>
      <c r="BI213" s="10"/>
      <c r="BJ213" s="10"/>
    </row>
    <row r="214" spans="1:62" ht="10.199999999999999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BC214" s="10"/>
      <c r="BD214" s="10"/>
      <c r="BE214" s="10"/>
      <c r="BF214" s="10"/>
      <c r="BG214" s="10"/>
      <c r="BH214" s="10"/>
      <c r="BI214" s="10"/>
      <c r="BJ214" s="10"/>
    </row>
    <row r="215" spans="1:62" ht="10.199999999999999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BC215" s="10"/>
      <c r="BD215" s="10"/>
      <c r="BE215" s="10"/>
      <c r="BF215" s="10"/>
      <c r="BG215" s="10"/>
      <c r="BH215" s="10"/>
      <c r="BI215" s="10"/>
      <c r="BJ215" s="10"/>
    </row>
    <row r="216" spans="1:62" ht="10.199999999999999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BC216" s="10"/>
      <c r="BD216" s="10"/>
      <c r="BE216" s="10"/>
      <c r="BF216" s="10"/>
      <c r="BG216" s="10"/>
      <c r="BH216" s="10"/>
      <c r="BI216" s="10"/>
      <c r="BJ216" s="10"/>
    </row>
    <row r="217" spans="1:62" ht="10.199999999999999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BC217" s="10"/>
      <c r="BD217" s="10"/>
      <c r="BE217" s="10"/>
      <c r="BF217" s="10"/>
      <c r="BG217" s="10"/>
      <c r="BH217" s="10"/>
      <c r="BI217" s="10"/>
      <c r="BJ217" s="10"/>
    </row>
    <row r="218" spans="1:62" ht="10.199999999999999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BC218" s="10"/>
      <c r="BD218" s="10"/>
      <c r="BE218" s="10"/>
      <c r="BF218" s="10"/>
      <c r="BG218" s="10"/>
      <c r="BH218" s="10"/>
      <c r="BI218" s="10"/>
      <c r="BJ218" s="10"/>
    </row>
    <row r="219" spans="1:62" ht="10.199999999999999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BC219" s="10"/>
      <c r="BD219" s="10"/>
      <c r="BE219" s="10"/>
      <c r="BF219" s="10"/>
      <c r="BG219" s="10"/>
      <c r="BH219" s="10"/>
      <c r="BI219" s="10"/>
      <c r="BJ219" s="10"/>
    </row>
    <row r="220" spans="1:62" ht="10.199999999999999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BC220" s="10"/>
      <c r="BD220" s="10"/>
      <c r="BE220" s="10"/>
      <c r="BF220" s="10"/>
      <c r="BG220" s="10"/>
      <c r="BH220" s="10"/>
      <c r="BI220" s="10"/>
      <c r="BJ220" s="10"/>
    </row>
    <row r="221" spans="1:62" ht="10.199999999999999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BC221" s="10"/>
      <c r="BD221" s="10"/>
      <c r="BE221" s="10"/>
      <c r="BF221" s="10"/>
      <c r="BG221" s="10"/>
      <c r="BH221" s="10"/>
      <c r="BI221" s="10"/>
      <c r="BJ221" s="10"/>
    </row>
    <row r="222" spans="1:62" ht="10.199999999999999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BC222" s="10"/>
      <c r="BD222" s="10"/>
      <c r="BE222" s="10"/>
      <c r="BF222" s="10"/>
      <c r="BG222" s="10"/>
      <c r="BH222" s="10"/>
      <c r="BI222" s="10"/>
      <c r="BJ222" s="10"/>
    </row>
    <row r="223" spans="1:62" ht="10.199999999999999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BC223" s="10"/>
      <c r="BD223" s="10"/>
      <c r="BE223" s="10"/>
      <c r="BF223" s="10"/>
      <c r="BG223" s="10"/>
      <c r="BH223" s="10"/>
      <c r="BI223" s="10"/>
      <c r="BJ223" s="10"/>
    </row>
    <row r="224" spans="1:62" ht="10.199999999999999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BC224" s="10"/>
      <c r="BD224" s="10"/>
      <c r="BE224" s="10"/>
      <c r="BF224" s="10"/>
      <c r="BG224" s="10"/>
      <c r="BH224" s="10"/>
      <c r="BI224" s="10"/>
      <c r="BJ224" s="10"/>
    </row>
    <row r="225" spans="1:62" ht="10.199999999999999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BC225" s="10"/>
      <c r="BD225" s="10"/>
      <c r="BE225" s="10"/>
      <c r="BF225" s="10"/>
      <c r="BG225" s="10"/>
      <c r="BH225" s="10"/>
      <c r="BI225" s="10"/>
      <c r="BJ225" s="10"/>
    </row>
    <row r="226" spans="1:62" ht="10.199999999999999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BC226" s="10"/>
      <c r="BD226" s="10"/>
      <c r="BE226" s="10"/>
      <c r="BF226" s="10"/>
      <c r="BG226" s="10"/>
      <c r="BH226" s="10"/>
      <c r="BI226" s="10"/>
      <c r="BJ226" s="10"/>
    </row>
    <row r="227" spans="1:62" ht="10.199999999999999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BC227" s="10"/>
      <c r="BD227" s="10"/>
      <c r="BE227" s="10"/>
      <c r="BF227" s="10"/>
      <c r="BG227" s="10"/>
      <c r="BH227" s="10"/>
      <c r="BI227" s="10"/>
      <c r="BJ227" s="10"/>
    </row>
    <row r="228" spans="1:62" ht="10.199999999999999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BC228" s="10"/>
      <c r="BD228" s="10"/>
      <c r="BE228" s="10"/>
      <c r="BF228" s="10"/>
      <c r="BG228" s="10"/>
      <c r="BH228" s="10"/>
      <c r="BI228" s="10"/>
      <c r="BJ228" s="10"/>
    </row>
    <row r="229" spans="1:62" ht="10.199999999999999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BC229" s="10"/>
      <c r="BD229" s="10"/>
      <c r="BE229" s="10"/>
      <c r="BF229" s="10"/>
      <c r="BG229" s="10"/>
      <c r="BH229" s="10"/>
      <c r="BI229" s="10"/>
      <c r="BJ229" s="10"/>
    </row>
    <row r="230" spans="1:62" ht="10.199999999999999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BC230" s="10"/>
      <c r="BD230" s="10"/>
      <c r="BE230" s="10"/>
      <c r="BF230" s="10"/>
      <c r="BG230" s="10"/>
      <c r="BH230" s="10"/>
      <c r="BI230" s="10"/>
      <c r="BJ230" s="10"/>
    </row>
    <row r="231" spans="1:62" ht="10.199999999999999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BC231" s="10"/>
      <c r="BD231" s="10"/>
      <c r="BE231" s="10"/>
      <c r="BF231" s="10"/>
      <c r="BG231" s="10"/>
      <c r="BH231" s="10"/>
      <c r="BI231" s="10"/>
      <c r="BJ231" s="10"/>
    </row>
    <row r="232" spans="1:62" ht="10.199999999999999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BC232" s="10"/>
      <c r="BD232" s="10"/>
      <c r="BE232" s="10"/>
      <c r="BF232" s="10"/>
      <c r="BG232" s="10"/>
      <c r="BH232" s="10"/>
      <c r="BI232" s="10"/>
      <c r="BJ232" s="10"/>
    </row>
    <row r="233" spans="1:62" ht="10.199999999999999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BC233" s="10"/>
      <c r="BD233" s="10"/>
      <c r="BE233" s="10"/>
      <c r="BF233" s="10"/>
      <c r="BG233" s="10"/>
      <c r="BH233" s="10"/>
      <c r="BI233" s="10"/>
      <c r="BJ233" s="10"/>
    </row>
    <row r="234" spans="1:62" ht="10.199999999999999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BC234" s="10"/>
      <c r="BD234" s="10"/>
      <c r="BE234" s="10"/>
      <c r="BF234" s="10"/>
      <c r="BG234" s="10"/>
      <c r="BH234" s="10"/>
      <c r="BI234" s="10"/>
      <c r="BJ234" s="10"/>
    </row>
    <row r="235" spans="1:62" ht="10.199999999999999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BC235" s="10"/>
      <c r="BD235" s="10"/>
      <c r="BE235" s="10"/>
      <c r="BF235" s="10"/>
      <c r="BG235" s="10"/>
      <c r="BH235" s="10"/>
      <c r="BI235" s="10"/>
      <c r="BJ235" s="10"/>
    </row>
    <row r="236" spans="1:62" ht="10.199999999999999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BC236" s="10"/>
      <c r="BD236" s="10"/>
      <c r="BE236" s="10"/>
      <c r="BF236" s="10"/>
      <c r="BG236" s="10"/>
      <c r="BH236" s="10"/>
      <c r="BI236" s="10"/>
      <c r="BJ236" s="10"/>
    </row>
    <row r="237" spans="1:62" ht="10.199999999999999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BC237" s="10"/>
      <c r="BD237" s="10"/>
      <c r="BE237" s="10"/>
      <c r="BF237" s="10"/>
      <c r="BG237" s="10"/>
      <c r="BH237" s="10"/>
      <c r="BI237" s="10"/>
      <c r="BJ237" s="10"/>
    </row>
    <row r="238" spans="1:62" ht="10.199999999999999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BC238" s="10"/>
      <c r="BD238" s="10"/>
      <c r="BE238" s="10"/>
      <c r="BF238" s="10"/>
      <c r="BG238" s="10"/>
      <c r="BH238" s="10"/>
      <c r="BI238" s="10"/>
      <c r="BJ238" s="10"/>
    </row>
    <row r="239" spans="1:62" ht="10.199999999999999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BC239" s="10"/>
      <c r="BD239" s="10"/>
      <c r="BE239" s="10"/>
      <c r="BF239" s="10"/>
      <c r="BG239" s="10"/>
      <c r="BH239" s="10"/>
      <c r="BI239" s="10"/>
      <c r="BJ239" s="10"/>
    </row>
    <row r="240" spans="1:62" ht="10.199999999999999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BC240" s="10"/>
      <c r="BD240" s="10"/>
      <c r="BE240" s="10"/>
      <c r="BF240" s="10"/>
      <c r="BG240" s="10"/>
      <c r="BH240" s="10"/>
      <c r="BI240" s="10"/>
      <c r="BJ240" s="10"/>
    </row>
    <row r="241" spans="1:62" ht="10.199999999999999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BC241" s="10"/>
      <c r="BD241" s="10"/>
      <c r="BE241" s="10"/>
      <c r="BF241" s="10"/>
      <c r="BG241" s="10"/>
      <c r="BH241" s="10"/>
      <c r="BI241" s="10"/>
      <c r="BJ241" s="10"/>
    </row>
    <row r="242" spans="1:62" ht="10.199999999999999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BC242" s="10"/>
      <c r="BD242" s="10"/>
      <c r="BE242" s="10"/>
      <c r="BF242" s="10"/>
      <c r="BG242" s="10"/>
      <c r="BH242" s="10"/>
      <c r="BI242" s="10"/>
      <c r="BJ242" s="10"/>
    </row>
    <row r="243" spans="1:62" ht="10.199999999999999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BC243" s="10"/>
      <c r="BD243" s="10"/>
      <c r="BE243" s="10"/>
      <c r="BF243" s="10"/>
      <c r="BG243" s="10"/>
      <c r="BH243" s="10"/>
      <c r="BI243" s="10"/>
      <c r="BJ243" s="10"/>
    </row>
    <row r="244" spans="1:62" ht="10.199999999999999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BC244" s="10"/>
      <c r="BD244" s="10"/>
      <c r="BE244" s="10"/>
      <c r="BF244" s="10"/>
      <c r="BG244" s="10"/>
      <c r="BH244" s="10"/>
      <c r="BI244" s="10"/>
      <c r="BJ244" s="10"/>
    </row>
    <row r="245" spans="1:62" ht="10.199999999999999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BC245" s="10"/>
      <c r="BD245" s="10"/>
      <c r="BE245" s="10"/>
      <c r="BF245" s="10"/>
      <c r="BG245" s="10"/>
      <c r="BH245" s="10"/>
      <c r="BI245" s="10"/>
      <c r="BJ245" s="10"/>
    </row>
    <row r="246" spans="1:62" ht="10.199999999999999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BC246" s="10"/>
      <c r="BD246" s="10"/>
      <c r="BE246" s="10"/>
      <c r="BF246" s="10"/>
      <c r="BG246" s="10"/>
      <c r="BH246" s="10"/>
      <c r="BI246" s="10"/>
      <c r="BJ246" s="10"/>
    </row>
    <row r="247" spans="1:62" ht="10.199999999999999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BC247" s="10"/>
      <c r="BD247" s="10"/>
      <c r="BE247" s="10"/>
      <c r="BF247" s="10"/>
      <c r="BG247" s="10"/>
      <c r="BH247" s="10"/>
      <c r="BI247" s="10"/>
      <c r="BJ247" s="10"/>
    </row>
    <row r="248" spans="1:62" ht="10.199999999999999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BC248" s="10"/>
      <c r="BD248" s="10"/>
      <c r="BE248" s="10"/>
      <c r="BF248" s="10"/>
      <c r="BG248" s="10"/>
      <c r="BH248" s="10"/>
      <c r="BI248" s="10"/>
      <c r="BJ248" s="10"/>
    </row>
    <row r="249" spans="1:62" ht="10.199999999999999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BC249" s="10"/>
      <c r="BD249" s="10"/>
      <c r="BE249" s="10"/>
      <c r="BF249" s="10"/>
      <c r="BG249" s="10"/>
      <c r="BH249" s="10"/>
      <c r="BI249" s="10"/>
      <c r="BJ249" s="10"/>
    </row>
    <row r="250" spans="1:62" ht="10.199999999999999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BC250" s="10"/>
      <c r="BD250" s="10"/>
      <c r="BE250" s="10"/>
      <c r="BF250" s="10"/>
      <c r="BG250" s="10"/>
      <c r="BH250" s="10"/>
      <c r="BI250" s="10"/>
      <c r="BJ250" s="10"/>
    </row>
    <row r="251" spans="1:62" ht="10.199999999999999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BC251" s="10"/>
      <c r="BD251" s="10"/>
      <c r="BE251" s="10"/>
      <c r="BF251" s="10"/>
      <c r="BG251" s="10"/>
      <c r="BH251" s="10"/>
      <c r="BI251" s="10"/>
      <c r="BJ251" s="10"/>
    </row>
    <row r="252" spans="1:62" ht="10.199999999999999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BC252" s="10"/>
      <c r="BD252" s="10"/>
      <c r="BE252" s="10"/>
      <c r="BF252" s="10"/>
      <c r="BG252" s="10"/>
      <c r="BH252" s="10"/>
      <c r="BI252" s="10"/>
      <c r="BJ252" s="10"/>
    </row>
    <row r="253" spans="1:62" ht="10.199999999999999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BC253" s="10"/>
      <c r="BD253" s="10"/>
      <c r="BE253" s="10"/>
      <c r="BF253" s="10"/>
      <c r="BG253" s="10"/>
      <c r="BH253" s="10"/>
      <c r="BI253" s="10"/>
      <c r="BJ253" s="10"/>
    </row>
    <row r="254" spans="1:62" ht="10.199999999999999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BC254" s="10"/>
      <c r="BD254" s="10"/>
      <c r="BE254" s="10"/>
      <c r="BF254" s="10"/>
      <c r="BG254" s="10"/>
      <c r="BH254" s="10"/>
      <c r="BI254" s="10"/>
      <c r="BJ254" s="10"/>
    </row>
    <row r="255" spans="1:62" ht="10.199999999999999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BC255" s="10"/>
      <c r="BD255" s="10"/>
      <c r="BE255" s="10"/>
      <c r="BF255" s="10"/>
      <c r="BG255" s="10"/>
      <c r="BH255" s="10"/>
      <c r="BI255" s="10"/>
      <c r="BJ255" s="10"/>
    </row>
    <row r="256" spans="1:62" ht="10.199999999999999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BC256" s="10"/>
      <c r="BD256" s="10"/>
      <c r="BE256" s="10"/>
      <c r="BF256" s="10"/>
      <c r="BG256" s="10"/>
      <c r="BH256" s="10"/>
      <c r="BI256" s="10"/>
      <c r="BJ256" s="10"/>
    </row>
    <row r="257" spans="1:62" ht="10.199999999999999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BC257" s="10"/>
      <c r="BD257" s="10"/>
      <c r="BE257" s="10"/>
      <c r="BF257" s="10"/>
      <c r="BG257" s="10"/>
      <c r="BH257" s="10"/>
      <c r="BI257" s="10"/>
      <c r="BJ257" s="10"/>
    </row>
    <row r="258" spans="1:62" ht="10.199999999999999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BC258" s="10"/>
      <c r="BD258" s="10"/>
      <c r="BE258" s="10"/>
      <c r="BF258" s="10"/>
      <c r="BG258" s="10"/>
      <c r="BH258" s="10"/>
      <c r="BI258" s="10"/>
      <c r="BJ258" s="10"/>
    </row>
    <row r="259" spans="1:62" ht="10.199999999999999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BC259" s="10"/>
      <c r="BD259" s="10"/>
      <c r="BE259" s="10"/>
      <c r="BF259" s="10"/>
      <c r="BG259" s="10"/>
      <c r="BH259" s="10"/>
      <c r="BI259" s="10"/>
      <c r="BJ259" s="10"/>
    </row>
    <row r="260" spans="1:62" ht="10.199999999999999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BC260" s="10"/>
      <c r="BD260" s="10"/>
      <c r="BE260" s="10"/>
      <c r="BF260" s="10"/>
      <c r="BG260" s="10"/>
      <c r="BH260" s="10"/>
      <c r="BI260" s="10"/>
      <c r="BJ260" s="10"/>
    </row>
    <row r="261" spans="1:62" ht="10.199999999999999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BC261" s="10"/>
      <c r="BD261" s="10"/>
      <c r="BE261" s="10"/>
      <c r="BF261" s="10"/>
      <c r="BG261" s="10"/>
      <c r="BH261" s="10"/>
      <c r="BI261" s="10"/>
      <c r="BJ261" s="10"/>
    </row>
    <row r="262" spans="1:62" ht="10.199999999999999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BC262" s="10"/>
      <c r="BD262" s="10"/>
      <c r="BE262" s="10"/>
      <c r="BF262" s="10"/>
      <c r="BG262" s="10"/>
      <c r="BH262" s="10"/>
      <c r="BI262" s="10"/>
      <c r="BJ262" s="10"/>
    </row>
    <row r="263" spans="1:62" ht="10.199999999999999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BC263" s="10"/>
      <c r="BD263" s="10"/>
      <c r="BE263" s="10"/>
      <c r="BF263" s="10"/>
      <c r="BG263" s="10"/>
      <c r="BH263" s="10"/>
      <c r="BI263" s="10"/>
      <c r="BJ263" s="10"/>
    </row>
    <row r="264" spans="1:62" ht="10.199999999999999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BC264" s="10"/>
      <c r="BD264" s="10"/>
      <c r="BE264" s="10"/>
      <c r="BF264" s="10"/>
      <c r="BG264" s="10"/>
      <c r="BH264" s="10"/>
      <c r="BI264" s="10"/>
      <c r="BJ264" s="10"/>
    </row>
    <row r="265" spans="1:62" ht="10.199999999999999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BC265" s="10"/>
      <c r="BD265" s="10"/>
      <c r="BE265" s="10"/>
      <c r="BF265" s="10"/>
      <c r="BG265" s="10"/>
      <c r="BH265" s="10"/>
      <c r="BI265" s="10"/>
      <c r="BJ265" s="10"/>
    </row>
    <row r="266" spans="1:62" ht="10.199999999999999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BC266" s="10"/>
      <c r="BD266" s="10"/>
      <c r="BE266" s="10"/>
      <c r="BF266" s="10"/>
      <c r="BG266" s="10"/>
      <c r="BH266" s="10"/>
      <c r="BI266" s="10"/>
      <c r="BJ266" s="10"/>
    </row>
    <row r="267" spans="1:62" ht="10.199999999999999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BC267" s="10"/>
      <c r="BD267" s="10"/>
      <c r="BE267" s="10"/>
      <c r="BF267" s="10"/>
      <c r="BG267" s="10"/>
      <c r="BH267" s="10"/>
      <c r="BI267" s="10"/>
      <c r="BJ267" s="10"/>
    </row>
    <row r="268" spans="1:62" ht="10.199999999999999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BC268" s="10"/>
      <c r="BD268" s="10"/>
      <c r="BE268" s="10"/>
      <c r="BF268" s="10"/>
      <c r="BG268" s="10"/>
      <c r="BH268" s="10"/>
      <c r="BI268" s="10"/>
      <c r="BJ268" s="10"/>
    </row>
    <row r="269" spans="1:62" ht="10.199999999999999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BC269" s="10"/>
      <c r="BD269" s="10"/>
      <c r="BE269" s="10"/>
      <c r="BF269" s="10"/>
      <c r="BG269" s="10"/>
      <c r="BH269" s="10"/>
      <c r="BI269" s="10"/>
      <c r="BJ269" s="10"/>
    </row>
    <row r="270" spans="1:62" ht="10.199999999999999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BC270" s="10"/>
      <c r="BD270" s="10"/>
      <c r="BE270" s="10"/>
      <c r="BF270" s="10"/>
      <c r="BG270" s="10"/>
      <c r="BH270" s="10"/>
      <c r="BI270" s="10"/>
      <c r="BJ270" s="10"/>
    </row>
    <row r="271" spans="1:62" ht="10.199999999999999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BC271" s="10"/>
      <c r="BD271" s="10"/>
      <c r="BE271" s="10"/>
      <c r="BF271" s="10"/>
      <c r="BG271" s="10"/>
      <c r="BH271" s="10"/>
      <c r="BI271" s="10"/>
      <c r="BJ271" s="10"/>
    </row>
    <row r="272" spans="1:62" ht="10.199999999999999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BC272" s="10"/>
      <c r="BD272" s="10"/>
      <c r="BE272" s="10"/>
      <c r="BF272" s="10"/>
      <c r="BG272" s="10"/>
      <c r="BH272" s="10"/>
      <c r="BI272" s="10"/>
      <c r="BJ272" s="10"/>
    </row>
    <row r="273" spans="1:62" ht="10.199999999999999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BC273" s="10"/>
      <c r="BD273" s="10"/>
      <c r="BE273" s="10"/>
      <c r="BF273" s="10"/>
      <c r="BG273" s="10"/>
      <c r="BH273" s="10"/>
      <c r="BI273" s="10"/>
      <c r="BJ273" s="10"/>
    </row>
    <row r="274" spans="1:62" ht="10.199999999999999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BC274" s="10"/>
      <c r="BD274" s="10"/>
      <c r="BE274" s="10"/>
      <c r="BF274" s="10"/>
      <c r="BG274" s="10"/>
      <c r="BH274" s="10"/>
      <c r="BI274" s="10"/>
      <c r="BJ274" s="10"/>
    </row>
    <row r="275" spans="1:62" ht="10.199999999999999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BC275" s="10"/>
      <c r="BD275" s="10"/>
      <c r="BE275" s="10"/>
      <c r="BF275" s="10"/>
      <c r="BG275" s="10"/>
      <c r="BH275" s="10"/>
      <c r="BI275" s="10"/>
      <c r="BJ275" s="10"/>
    </row>
    <row r="276" spans="1:62" ht="10.199999999999999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BC276" s="10"/>
      <c r="BD276" s="10"/>
      <c r="BE276" s="10"/>
      <c r="BF276" s="10"/>
      <c r="BG276" s="10"/>
      <c r="BH276" s="10"/>
      <c r="BI276" s="10"/>
      <c r="BJ276" s="10"/>
    </row>
    <row r="277" spans="1:62" ht="10.199999999999999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BC277" s="10"/>
      <c r="BD277" s="10"/>
      <c r="BE277" s="10"/>
      <c r="BF277" s="10"/>
      <c r="BG277" s="10"/>
      <c r="BH277" s="10"/>
      <c r="BI277" s="10"/>
      <c r="BJ277" s="10"/>
    </row>
    <row r="278" spans="1:62" ht="10.199999999999999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BC278" s="10"/>
      <c r="BD278" s="10"/>
      <c r="BE278" s="10"/>
      <c r="BF278" s="10"/>
      <c r="BG278" s="10"/>
      <c r="BH278" s="10"/>
      <c r="BI278" s="10"/>
      <c r="BJ278" s="10"/>
    </row>
    <row r="279" spans="1:62" ht="10.199999999999999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BC279" s="10"/>
      <c r="BD279" s="10"/>
      <c r="BE279" s="10"/>
      <c r="BF279" s="10"/>
      <c r="BG279" s="10"/>
      <c r="BH279" s="10"/>
      <c r="BI279" s="10"/>
      <c r="BJ279" s="10"/>
    </row>
    <row r="280" spans="1:62" ht="10.199999999999999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BC280" s="10"/>
      <c r="BD280" s="10"/>
      <c r="BE280" s="10"/>
      <c r="BF280" s="10"/>
      <c r="BG280" s="10"/>
      <c r="BH280" s="10"/>
      <c r="BI280" s="10"/>
      <c r="BJ280" s="10"/>
    </row>
    <row r="281" spans="1:62" ht="10.199999999999999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BC281" s="10"/>
      <c r="BD281" s="10"/>
      <c r="BE281" s="10"/>
      <c r="BF281" s="10"/>
      <c r="BG281" s="10"/>
      <c r="BH281" s="10"/>
      <c r="BI281" s="10"/>
      <c r="BJ281" s="10"/>
    </row>
    <row r="282" spans="1:62" ht="10.199999999999999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BC282" s="10"/>
      <c r="BD282" s="10"/>
      <c r="BE282" s="10"/>
      <c r="BF282" s="10"/>
      <c r="BG282" s="10"/>
      <c r="BH282" s="10"/>
      <c r="BI282" s="10"/>
      <c r="BJ282" s="10"/>
    </row>
    <row r="283" spans="1:62" ht="10.199999999999999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BC283" s="10"/>
      <c r="BD283" s="10"/>
      <c r="BE283" s="10"/>
      <c r="BF283" s="10"/>
      <c r="BG283" s="10"/>
      <c r="BH283" s="10"/>
      <c r="BI283" s="10"/>
      <c r="BJ283" s="10"/>
    </row>
    <row r="284" spans="1:62" ht="10.199999999999999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BC284" s="10"/>
      <c r="BD284" s="10"/>
      <c r="BE284" s="10"/>
      <c r="BF284" s="10"/>
      <c r="BG284" s="10"/>
      <c r="BH284" s="10"/>
      <c r="BI284" s="10"/>
      <c r="BJ284" s="10"/>
    </row>
    <row r="285" spans="1:62" ht="10.199999999999999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BC285" s="10"/>
      <c r="BD285" s="10"/>
      <c r="BE285" s="10"/>
      <c r="BF285" s="10"/>
      <c r="BG285" s="10"/>
      <c r="BH285" s="10"/>
      <c r="BI285" s="10"/>
      <c r="BJ285" s="10"/>
    </row>
    <row r="286" spans="1:62" ht="10.199999999999999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BC286" s="10"/>
      <c r="BD286" s="10"/>
      <c r="BE286" s="10"/>
      <c r="BF286" s="10"/>
      <c r="BG286" s="10"/>
      <c r="BH286" s="10"/>
      <c r="BI286" s="10"/>
      <c r="BJ286" s="10"/>
    </row>
    <row r="287" spans="1:62" ht="10.199999999999999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BC287" s="10"/>
      <c r="BD287" s="10"/>
      <c r="BE287" s="10"/>
      <c r="BF287" s="10"/>
      <c r="BG287" s="10"/>
      <c r="BH287" s="10"/>
      <c r="BI287" s="10"/>
      <c r="BJ287" s="10"/>
    </row>
    <row r="288" spans="1:62" ht="10.199999999999999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BC288" s="10"/>
      <c r="BD288" s="10"/>
      <c r="BE288" s="10"/>
      <c r="BF288" s="10"/>
      <c r="BG288" s="10"/>
      <c r="BH288" s="10"/>
      <c r="BI288" s="10"/>
      <c r="BJ288" s="10"/>
    </row>
    <row r="289" spans="1:62" ht="10.199999999999999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BC289" s="10"/>
      <c r="BD289" s="10"/>
      <c r="BE289" s="10"/>
      <c r="BF289" s="10"/>
      <c r="BG289" s="10"/>
      <c r="BH289" s="10"/>
      <c r="BI289" s="10"/>
      <c r="BJ289" s="10"/>
    </row>
    <row r="290" spans="1:62" ht="10.199999999999999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BC290" s="10"/>
      <c r="BD290" s="10"/>
      <c r="BE290" s="10"/>
      <c r="BF290" s="10"/>
      <c r="BG290" s="10"/>
      <c r="BH290" s="10"/>
      <c r="BI290" s="10"/>
      <c r="BJ290" s="10"/>
    </row>
    <row r="291" spans="1:62" ht="10.199999999999999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BC291" s="10"/>
      <c r="BD291" s="10"/>
      <c r="BE291" s="10"/>
      <c r="BF291" s="10"/>
      <c r="BG291" s="10"/>
      <c r="BH291" s="10"/>
      <c r="BI291" s="10"/>
      <c r="BJ291" s="10"/>
    </row>
    <row r="292" spans="1:62" ht="10.199999999999999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BC292" s="10"/>
      <c r="BD292" s="10"/>
      <c r="BE292" s="10"/>
      <c r="BF292" s="10"/>
      <c r="BG292" s="10"/>
      <c r="BH292" s="10"/>
      <c r="BI292" s="10"/>
      <c r="BJ292" s="10"/>
    </row>
    <row r="293" spans="1:62" ht="10.199999999999999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BC293" s="10"/>
      <c r="BD293" s="10"/>
      <c r="BE293" s="10"/>
      <c r="BF293" s="10"/>
      <c r="BG293" s="10"/>
      <c r="BH293" s="10"/>
      <c r="BI293" s="10"/>
      <c r="BJ293" s="10"/>
    </row>
    <row r="294" spans="1:62" ht="10.199999999999999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BC294" s="10"/>
      <c r="BD294" s="10"/>
      <c r="BE294" s="10"/>
      <c r="BF294" s="10"/>
      <c r="BG294" s="10"/>
      <c r="BH294" s="10"/>
      <c r="BI294" s="10"/>
      <c r="BJ294" s="10"/>
    </row>
    <row r="295" spans="1:62" ht="10.199999999999999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BC295" s="10"/>
      <c r="BD295" s="10"/>
      <c r="BE295" s="10"/>
      <c r="BF295" s="10"/>
      <c r="BG295" s="10"/>
      <c r="BH295" s="10"/>
      <c r="BI295" s="10"/>
      <c r="BJ295" s="10"/>
    </row>
    <row r="296" spans="1:62" ht="10.199999999999999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BC296" s="10"/>
      <c r="BD296" s="10"/>
      <c r="BE296" s="10"/>
      <c r="BF296" s="10"/>
      <c r="BG296" s="10"/>
      <c r="BH296" s="10"/>
      <c r="BI296" s="10"/>
      <c r="BJ296" s="10"/>
    </row>
    <row r="297" spans="1:62" ht="10.199999999999999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BC297" s="10"/>
      <c r="BD297" s="10"/>
      <c r="BE297" s="10"/>
      <c r="BF297" s="10"/>
      <c r="BG297" s="10"/>
      <c r="BH297" s="10"/>
      <c r="BI297" s="10"/>
      <c r="BJ297" s="10"/>
    </row>
    <row r="298" spans="1:62" ht="10.199999999999999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BC298" s="10"/>
      <c r="BD298" s="10"/>
      <c r="BE298" s="10"/>
      <c r="BF298" s="10"/>
      <c r="BG298" s="10"/>
      <c r="BH298" s="10"/>
      <c r="BI298" s="10"/>
      <c r="BJ298" s="10"/>
    </row>
    <row r="299" spans="1:62" ht="10.199999999999999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BC299" s="10"/>
      <c r="BD299" s="10"/>
      <c r="BE299" s="10"/>
      <c r="BF299" s="10"/>
      <c r="BG299" s="10"/>
      <c r="BH299" s="10"/>
      <c r="BI299" s="10"/>
      <c r="BJ299" s="10"/>
    </row>
    <row r="300" spans="1:62" ht="10.199999999999999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BC300" s="10"/>
      <c r="BD300" s="10"/>
      <c r="BE300" s="10"/>
      <c r="BF300" s="10"/>
      <c r="BG300" s="10"/>
      <c r="BH300" s="10"/>
      <c r="BI300" s="10"/>
      <c r="BJ300" s="10"/>
    </row>
    <row r="301" spans="1:62" ht="10.199999999999999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BC301" s="10"/>
      <c r="BD301" s="10"/>
      <c r="BE301" s="10"/>
      <c r="BF301" s="10"/>
      <c r="BG301" s="10"/>
      <c r="BH301" s="10"/>
      <c r="BI301" s="10"/>
      <c r="BJ301" s="10"/>
    </row>
    <row r="302" spans="1:62" ht="10.199999999999999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BC302" s="10"/>
      <c r="BD302" s="10"/>
      <c r="BE302" s="10"/>
      <c r="BF302" s="10"/>
      <c r="BG302" s="10"/>
      <c r="BH302" s="10"/>
      <c r="BI302" s="10"/>
      <c r="BJ302" s="10"/>
    </row>
    <row r="303" spans="1:62" ht="10.199999999999999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BC303" s="10"/>
      <c r="BD303" s="10"/>
      <c r="BE303" s="10"/>
      <c r="BF303" s="10"/>
      <c r="BG303" s="10"/>
      <c r="BH303" s="10"/>
      <c r="BI303" s="10"/>
      <c r="BJ303" s="10"/>
    </row>
    <row r="304" spans="1:62" ht="10.199999999999999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BC304" s="10"/>
      <c r="BD304" s="10"/>
      <c r="BE304" s="10"/>
      <c r="BF304" s="10"/>
      <c r="BG304" s="10"/>
      <c r="BH304" s="10"/>
      <c r="BI304" s="10"/>
      <c r="BJ304" s="10"/>
    </row>
    <row r="305" spans="1:62" ht="10.199999999999999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BC305" s="10"/>
      <c r="BD305" s="10"/>
      <c r="BE305" s="10"/>
      <c r="BF305" s="10"/>
      <c r="BG305" s="10"/>
      <c r="BH305" s="10"/>
      <c r="BI305" s="10"/>
      <c r="BJ305" s="10"/>
    </row>
    <row r="306" spans="1:62" ht="10.199999999999999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BC306" s="10"/>
      <c r="BD306" s="10"/>
      <c r="BE306" s="10"/>
      <c r="BF306" s="10"/>
      <c r="BG306" s="10"/>
      <c r="BH306" s="10"/>
      <c r="BI306" s="10"/>
      <c r="BJ306" s="10"/>
    </row>
    <row r="307" spans="1:62" ht="10.199999999999999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BC307" s="10"/>
      <c r="BD307" s="10"/>
      <c r="BE307" s="10"/>
      <c r="BF307" s="10"/>
      <c r="BG307" s="10"/>
      <c r="BH307" s="10"/>
      <c r="BI307" s="10"/>
      <c r="BJ307" s="10"/>
    </row>
    <row r="308" spans="1:62" ht="10.199999999999999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BC308" s="10"/>
      <c r="BD308" s="10"/>
      <c r="BE308" s="10"/>
      <c r="BF308" s="10"/>
      <c r="BG308" s="10"/>
      <c r="BH308" s="10"/>
      <c r="BI308" s="10"/>
      <c r="BJ308" s="10"/>
    </row>
    <row r="309" spans="1:62" ht="10.199999999999999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BC309" s="10"/>
      <c r="BD309" s="10"/>
      <c r="BE309" s="10"/>
      <c r="BF309" s="10"/>
      <c r="BG309" s="10"/>
      <c r="BH309" s="10"/>
      <c r="BI309" s="10"/>
      <c r="BJ309" s="10"/>
    </row>
    <row r="310" spans="1:62" ht="10.199999999999999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BC310" s="10"/>
      <c r="BD310" s="10"/>
      <c r="BE310" s="10"/>
      <c r="BF310" s="10"/>
      <c r="BG310" s="10"/>
      <c r="BH310" s="10"/>
      <c r="BI310" s="10"/>
      <c r="BJ310" s="10"/>
    </row>
    <row r="311" spans="1:62" ht="10.199999999999999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BC311" s="10"/>
      <c r="BD311" s="10"/>
      <c r="BE311" s="10"/>
      <c r="BF311" s="10"/>
      <c r="BG311" s="10"/>
      <c r="BH311" s="10"/>
      <c r="BI311" s="10"/>
      <c r="BJ311" s="10"/>
    </row>
    <row r="312" spans="1:62" ht="10.199999999999999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BC312" s="10"/>
      <c r="BD312" s="10"/>
      <c r="BE312" s="10"/>
      <c r="BF312" s="10"/>
      <c r="BG312" s="10"/>
      <c r="BH312" s="10"/>
      <c r="BI312" s="10"/>
      <c r="BJ312" s="10"/>
    </row>
    <row r="313" spans="1:62" ht="10.199999999999999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BC313" s="10"/>
      <c r="BD313" s="10"/>
      <c r="BE313" s="10"/>
      <c r="BF313" s="10"/>
      <c r="BG313" s="10"/>
      <c r="BH313" s="10"/>
      <c r="BI313" s="10"/>
      <c r="BJ313" s="10"/>
    </row>
    <row r="314" spans="1:62" ht="10.199999999999999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BC314" s="10"/>
      <c r="BD314" s="10"/>
      <c r="BE314" s="10"/>
      <c r="BF314" s="10"/>
      <c r="BG314" s="10"/>
      <c r="BH314" s="10"/>
      <c r="BI314" s="10"/>
      <c r="BJ314" s="10"/>
    </row>
    <row r="315" spans="1:62" ht="10.199999999999999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BC315" s="10"/>
      <c r="BD315" s="10"/>
      <c r="BE315" s="10"/>
      <c r="BF315" s="10"/>
      <c r="BG315" s="10"/>
      <c r="BH315" s="10"/>
      <c r="BI315" s="10"/>
      <c r="BJ315" s="10"/>
    </row>
    <row r="316" spans="1:62" ht="10.199999999999999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BC316" s="10"/>
      <c r="BD316" s="10"/>
      <c r="BE316" s="10"/>
      <c r="BF316" s="10"/>
      <c r="BG316" s="10"/>
      <c r="BH316" s="10"/>
      <c r="BI316" s="10"/>
      <c r="BJ316" s="10"/>
    </row>
    <row r="317" spans="1:62" ht="10.199999999999999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BC317" s="10"/>
      <c r="BD317" s="10"/>
      <c r="BE317" s="10"/>
      <c r="BF317" s="10"/>
      <c r="BG317" s="10"/>
      <c r="BH317" s="10"/>
      <c r="BI317" s="10"/>
      <c r="BJ317" s="10"/>
    </row>
    <row r="318" spans="1:62" ht="10.199999999999999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BC318" s="10"/>
      <c r="BD318" s="10"/>
      <c r="BE318" s="10"/>
      <c r="BF318" s="10"/>
      <c r="BG318" s="10"/>
      <c r="BH318" s="10"/>
      <c r="BI318" s="10"/>
      <c r="BJ318" s="10"/>
    </row>
    <row r="319" spans="1:62" ht="10.199999999999999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BC319" s="10"/>
      <c r="BD319" s="10"/>
      <c r="BE319" s="10"/>
      <c r="BF319" s="10"/>
      <c r="BG319" s="10"/>
      <c r="BH319" s="10"/>
      <c r="BI319" s="10"/>
      <c r="BJ319" s="10"/>
    </row>
    <row r="320" spans="1:62" ht="10.199999999999999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BC320" s="10"/>
      <c r="BD320" s="10"/>
      <c r="BE320" s="10"/>
      <c r="BF320" s="10"/>
      <c r="BG320" s="10"/>
      <c r="BH320" s="10"/>
      <c r="BI320" s="10"/>
      <c r="BJ320" s="10"/>
    </row>
    <row r="321" spans="1:62" ht="10.199999999999999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BC321" s="10"/>
      <c r="BD321" s="10"/>
      <c r="BE321" s="10"/>
      <c r="BF321" s="10"/>
      <c r="BG321" s="10"/>
      <c r="BH321" s="10"/>
      <c r="BI321" s="10"/>
      <c r="BJ321" s="10"/>
    </row>
    <row r="322" spans="1:62" ht="10.199999999999999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BC322" s="10"/>
      <c r="BD322" s="10"/>
      <c r="BE322" s="10"/>
      <c r="BF322" s="10"/>
      <c r="BG322" s="10"/>
      <c r="BH322" s="10"/>
      <c r="BI322" s="10"/>
      <c r="BJ322" s="10"/>
    </row>
    <row r="323" spans="1:62" ht="10.199999999999999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BC323" s="10"/>
      <c r="BD323" s="10"/>
      <c r="BE323" s="10"/>
      <c r="BF323" s="10"/>
      <c r="BG323" s="10"/>
      <c r="BH323" s="10"/>
      <c r="BI323" s="10"/>
      <c r="BJ323" s="10"/>
    </row>
    <row r="324" spans="1:62" ht="10.199999999999999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BC324" s="10"/>
      <c r="BD324" s="10"/>
      <c r="BE324" s="10"/>
      <c r="BF324" s="10"/>
      <c r="BG324" s="10"/>
      <c r="BH324" s="10"/>
      <c r="BI324" s="10"/>
      <c r="BJ324" s="10"/>
    </row>
    <row r="325" spans="1:62" ht="10.199999999999999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BC325" s="10"/>
      <c r="BD325" s="10"/>
      <c r="BE325" s="10"/>
      <c r="BF325" s="10"/>
      <c r="BG325" s="10"/>
      <c r="BH325" s="10"/>
      <c r="BI325" s="10"/>
      <c r="BJ325" s="10"/>
    </row>
    <row r="326" spans="1:62" ht="10.199999999999999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BC326" s="10"/>
      <c r="BD326" s="10"/>
      <c r="BE326" s="10"/>
      <c r="BF326" s="10"/>
      <c r="BG326" s="10"/>
      <c r="BH326" s="10"/>
      <c r="BI326" s="10"/>
      <c r="BJ326" s="10"/>
    </row>
    <row r="327" spans="1:62" ht="10.199999999999999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BC327" s="10"/>
      <c r="BD327" s="10"/>
      <c r="BE327" s="10"/>
      <c r="BF327" s="10"/>
      <c r="BG327" s="10"/>
      <c r="BH327" s="10"/>
      <c r="BI327" s="10"/>
      <c r="BJ327" s="10"/>
    </row>
    <row r="328" spans="1:62" ht="10.199999999999999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BC328" s="10"/>
      <c r="BD328" s="10"/>
      <c r="BE328" s="10"/>
      <c r="BF328" s="10"/>
      <c r="BG328" s="10"/>
      <c r="BH328" s="10"/>
      <c r="BI328" s="10"/>
      <c r="BJ328" s="10"/>
    </row>
    <row r="329" spans="1:62" ht="10.199999999999999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BC329" s="10"/>
      <c r="BD329" s="10"/>
      <c r="BE329" s="10"/>
      <c r="BF329" s="10"/>
      <c r="BG329" s="10"/>
      <c r="BH329" s="10"/>
      <c r="BI329" s="10"/>
      <c r="BJ329" s="10"/>
    </row>
    <row r="330" spans="1:62" ht="10.199999999999999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BC330" s="10"/>
      <c r="BD330" s="10"/>
      <c r="BE330" s="10"/>
      <c r="BF330" s="10"/>
      <c r="BG330" s="10"/>
      <c r="BH330" s="10"/>
      <c r="BI330" s="10"/>
      <c r="BJ330" s="10"/>
    </row>
    <row r="331" spans="1:62" ht="10.199999999999999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BC331" s="10"/>
      <c r="BD331" s="10"/>
      <c r="BE331" s="10"/>
      <c r="BF331" s="10"/>
      <c r="BG331" s="10"/>
      <c r="BH331" s="10"/>
      <c r="BI331" s="10"/>
      <c r="BJ331" s="10"/>
    </row>
    <row r="332" spans="1:62" ht="10.199999999999999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BC332" s="10"/>
      <c r="BD332" s="10"/>
      <c r="BE332" s="10"/>
      <c r="BF332" s="10"/>
      <c r="BG332" s="10"/>
      <c r="BH332" s="10"/>
      <c r="BI332" s="10"/>
      <c r="BJ332" s="10"/>
    </row>
    <row r="333" spans="1:62" ht="10.199999999999999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BC333" s="10"/>
      <c r="BD333" s="10"/>
      <c r="BE333" s="10"/>
      <c r="BF333" s="10"/>
      <c r="BG333" s="10"/>
      <c r="BH333" s="10"/>
      <c r="BI333" s="10"/>
      <c r="BJ333" s="10"/>
    </row>
    <row r="334" spans="1:62" ht="10.199999999999999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BC334" s="10"/>
      <c r="BD334" s="10"/>
      <c r="BE334" s="10"/>
      <c r="BF334" s="10"/>
      <c r="BG334" s="10"/>
      <c r="BH334" s="10"/>
      <c r="BI334" s="10"/>
      <c r="BJ334" s="10"/>
    </row>
    <row r="335" spans="1:62" ht="10.199999999999999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BC335" s="10"/>
      <c r="BD335" s="10"/>
      <c r="BE335" s="10"/>
      <c r="BF335" s="10"/>
      <c r="BG335" s="10"/>
      <c r="BH335" s="10"/>
      <c r="BI335" s="10"/>
      <c r="BJ335" s="10"/>
    </row>
    <row r="336" spans="1:62" ht="10.199999999999999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BC336" s="10"/>
      <c r="BD336" s="10"/>
      <c r="BE336" s="10"/>
      <c r="BF336" s="10"/>
      <c r="BG336" s="10"/>
      <c r="BH336" s="10"/>
      <c r="BI336" s="10"/>
      <c r="BJ336" s="10"/>
    </row>
    <row r="337" spans="1:62" ht="10.199999999999999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BC337" s="10"/>
      <c r="BD337" s="10"/>
      <c r="BE337" s="10"/>
      <c r="BF337" s="10"/>
      <c r="BG337" s="10"/>
      <c r="BH337" s="10"/>
      <c r="BI337" s="10"/>
      <c r="BJ337" s="10"/>
    </row>
    <row r="338" spans="1:62" ht="10.199999999999999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BC338" s="10"/>
      <c r="BD338" s="10"/>
      <c r="BE338" s="10"/>
      <c r="BF338" s="10"/>
      <c r="BG338" s="10"/>
      <c r="BH338" s="10"/>
      <c r="BI338" s="10"/>
      <c r="BJ338" s="10"/>
    </row>
    <row r="339" spans="1:62" ht="10.199999999999999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BC339" s="10"/>
      <c r="BD339" s="10"/>
      <c r="BE339" s="10"/>
      <c r="BF339" s="10"/>
      <c r="BG339" s="10"/>
      <c r="BH339" s="10"/>
      <c r="BI339" s="10"/>
      <c r="BJ339" s="10"/>
    </row>
    <row r="340" spans="1:62" ht="10.199999999999999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BC340" s="10"/>
      <c r="BD340" s="10"/>
      <c r="BE340" s="10"/>
      <c r="BF340" s="10"/>
      <c r="BG340" s="10"/>
      <c r="BH340" s="10"/>
      <c r="BI340" s="10"/>
      <c r="BJ340" s="10"/>
    </row>
    <row r="341" spans="1:62" ht="10.199999999999999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BC341" s="10"/>
      <c r="BD341" s="10"/>
      <c r="BE341" s="10"/>
      <c r="BF341" s="10"/>
      <c r="BG341" s="10"/>
      <c r="BH341" s="10"/>
      <c r="BI341" s="10"/>
      <c r="BJ341" s="10"/>
    </row>
    <row r="342" spans="1:62" ht="10.199999999999999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BC342" s="10"/>
      <c r="BD342" s="10"/>
      <c r="BE342" s="10"/>
      <c r="BF342" s="10"/>
      <c r="BG342" s="10"/>
      <c r="BH342" s="10"/>
      <c r="BI342" s="10"/>
      <c r="BJ342" s="10"/>
    </row>
    <row r="343" spans="1:62" ht="10.199999999999999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BC343" s="10"/>
      <c r="BD343" s="10"/>
      <c r="BE343" s="10"/>
      <c r="BF343" s="10"/>
      <c r="BG343" s="10"/>
      <c r="BH343" s="10"/>
      <c r="BI343" s="10"/>
      <c r="BJ343" s="10"/>
    </row>
    <row r="344" spans="1:62" ht="10.199999999999999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BC344" s="10"/>
      <c r="BD344" s="10"/>
      <c r="BE344" s="10"/>
      <c r="BF344" s="10"/>
      <c r="BG344" s="10"/>
      <c r="BH344" s="10"/>
      <c r="BI344" s="10"/>
      <c r="BJ344" s="10"/>
    </row>
    <row r="345" spans="1:62" ht="10.199999999999999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BC345" s="10"/>
      <c r="BD345" s="10"/>
      <c r="BE345" s="10"/>
      <c r="BF345" s="10"/>
      <c r="BG345" s="10"/>
      <c r="BH345" s="10"/>
      <c r="BI345" s="10"/>
      <c r="BJ345" s="10"/>
    </row>
    <row r="346" spans="1:62" ht="10.199999999999999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BC346" s="10"/>
      <c r="BD346" s="10"/>
      <c r="BE346" s="10"/>
      <c r="BF346" s="10"/>
      <c r="BG346" s="10"/>
      <c r="BH346" s="10"/>
      <c r="BI346" s="10"/>
      <c r="BJ346" s="10"/>
    </row>
    <row r="347" spans="1:62" ht="10.199999999999999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BC347" s="10"/>
      <c r="BD347" s="10"/>
      <c r="BE347" s="10"/>
      <c r="BF347" s="10"/>
      <c r="BG347" s="10"/>
      <c r="BH347" s="10"/>
      <c r="BI347" s="10"/>
      <c r="BJ347" s="10"/>
    </row>
    <row r="348" spans="1:62" ht="10.199999999999999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BC348" s="10"/>
      <c r="BD348" s="10"/>
      <c r="BE348" s="10"/>
      <c r="BF348" s="10"/>
      <c r="BG348" s="10"/>
      <c r="BH348" s="10"/>
      <c r="BI348" s="10"/>
      <c r="BJ348" s="10"/>
    </row>
    <row r="349" spans="1:62" ht="10.199999999999999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BC349" s="10"/>
      <c r="BD349" s="10"/>
      <c r="BE349" s="10"/>
      <c r="BF349" s="10"/>
      <c r="BG349" s="10"/>
      <c r="BH349" s="10"/>
      <c r="BI349" s="10"/>
      <c r="BJ349" s="10"/>
    </row>
    <row r="350" spans="1:62" ht="10.199999999999999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BC350" s="10"/>
      <c r="BD350" s="10"/>
      <c r="BE350" s="10"/>
      <c r="BF350" s="10"/>
      <c r="BG350" s="10"/>
      <c r="BH350" s="10"/>
      <c r="BI350" s="10"/>
      <c r="BJ350" s="10"/>
    </row>
    <row r="351" spans="1:62" ht="10.199999999999999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BC351" s="10"/>
      <c r="BD351" s="10"/>
      <c r="BE351" s="10"/>
      <c r="BF351" s="10"/>
      <c r="BG351" s="10"/>
      <c r="BH351" s="10"/>
      <c r="BI351" s="10"/>
      <c r="BJ351" s="10"/>
    </row>
    <row r="352" spans="1:62" ht="10.199999999999999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BC352" s="10"/>
      <c r="BD352" s="10"/>
      <c r="BE352" s="10"/>
      <c r="BF352" s="10"/>
      <c r="BG352" s="10"/>
      <c r="BH352" s="10"/>
      <c r="BI352" s="10"/>
      <c r="BJ352" s="10"/>
    </row>
    <row r="353" spans="1:62" ht="10.199999999999999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BC353" s="10"/>
      <c r="BD353" s="10"/>
      <c r="BE353" s="10"/>
      <c r="BF353" s="10"/>
      <c r="BG353" s="10"/>
      <c r="BH353" s="10"/>
      <c r="BI353" s="10"/>
      <c r="BJ353" s="10"/>
    </row>
    <row r="354" spans="1:62" ht="10.199999999999999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BC354" s="10"/>
      <c r="BD354" s="10"/>
      <c r="BE354" s="10"/>
      <c r="BF354" s="10"/>
      <c r="BG354" s="10"/>
      <c r="BH354" s="10"/>
      <c r="BI354" s="10"/>
      <c r="BJ354" s="10"/>
    </row>
    <row r="355" spans="1:62" ht="10.199999999999999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BC355" s="10"/>
      <c r="BD355" s="10"/>
      <c r="BE355" s="10"/>
      <c r="BF355" s="10"/>
      <c r="BG355" s="10"/>
      <c r="BH355" s="10"/>
      <c r="BI355" s="10"/>
      <c r="BJ355" s="10"/>
    </row>
    <row r="356" spans="1:62" ht="10.199999999999999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BC356" s="10"/>
      <c r="BD356" s="10"/>
      <c r="BE356" s="10"/>
      <c r="BF356" s="10"/>
      <c r="BG356" s="10"/>
      <c r="BH356" s="10"/>
      <c r="BI356" s="10"/>
      <c r="BJ356" s="10"/>
    </row>
    <row r="357" spans="1:62" ht="10.199999999999999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BC357" s="10"/>
      <c r="BD357" s="10"/>
      <c r="BE357" s="10"/>
      <c r="BF357" s="10"/>
      <c r="BG357" s="10"/>
      <c r="BH357" s="10"/>
      <c r="BI357" s="10"/>
      <c r="BJ357" s="10"/>
    </row>
    <row r="358" spans="1:62" ht="10.199999999999999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BC358" s="10"/>
      <c r="BD358" s="10"/>
      <c r="BE358" s="10"/>
      <c r="BF358" s="10"/>
      <c r="BG358" s="10"/>
      <c r="BH358" s="10"/>
      <c r="BI358" s="10"/>
      <c r="BJ358" s="10"/>
    </row>
    <row r="359" spans="1:62" ht="10.199999999999999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BC359" s="10"/>
      <c r="BD359" s="10"/>
      <c r="BE359" s="10"/>
      <c r="BF359" s="10"/>
      <c r="BG359" s="10"/>
      <c r="BH359" s="10"/>
      <c r="BI359" s="10"/>
      <c r="BJ359" s="10"/>
    </row>
    <row r="360" spans="1:62" ht="10.199999999999999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BC360" s="10"/>
      <c r="BD360" s="10"/>
      <c r="BE360" s="10"/>
      <c r="BF360" s="10"/>
      <c r="BG360" s="10"/>
      <c r="BH360" s="10"/>
      <c r="BI360" s="10"/>
      <c r="BJ360" s="10"/>
    </row>
    <row r="361" spans="1:62" ht="10.199999999999999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BC361" s="10"/>
      <c r="BD361" s="10"/>
      <c r="BE361" s="10"/>
      <c r="BF361" s="10"/>
      <c r="BG361" s="10"/>
      <c r="BH361" s="10"/>
      <c r="BI361" s="10"/>
      <c r="BJ361" s="10"/>
    </row>
    <row r="362" spans="1:62" ht="10.199999999999999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BC362" s="10"/>
      <c r="BD362" s="10"/>
      <c r="BE362" s="10"/>
      <c r="BF362" s="10"/>
      <c r="BG362" s="10"/>
      <c r="BH362" s="10"/>
      <c r="BI362" s="10"/>
      <c r="BJ362" s="10"/>
    </row>
    <row r="363" spans="1:62" ht="10.199999999999999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BC363" s="10"/>
      <c r="BD363" s="10"/>
      <c r="BE363" s="10"/>
      <c r="BF363" s="10"/>
      <c r="BG363" s="10"/>
      <c r="BH363" s="10"/>
      <c r="BI363" s="10"/>
      <c r="BJ363" s="10"/>
    </row>
    <row r="364" spans="1:62" ht="10.199999999999999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BC364" s="10"/>
      <c r="BD364" s="10"/>
      <c r="BE364" s="10"/>
      <c r="BF364" s="10"/>
      <c r="BG364" s="10"/>
      <c r="BH364" s="10"/>
      <c r="BI364" s="10"/>
      <c r="BJ364" s="10"/>
    </row>
    <row r="365" spans="1:62" ht="10.199999999999999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BC365" s="10"/>
      <c r="BD365" s="10"/>
      <c r="BE365" s="10"/>
      <c r="BF365" s="10"/>
      <c r="BG365" s="10"/>
      <c r="BH365" s="10"/>
      <c r="BI365" s="10"/>
      <c r="BJ365" s="10"/>
    </row>
    <row r="366" spans="1:62" ht="10.199999999999999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BC366" s="10"/>
      <c r="BD366" s="10"/>
      <c r="BE366" s="10"/>
      <c r="BF366" s="10"/>
      <c r="BG366" s="10"/>
      <c r="BH366" s="10"/>
      <c r="BI366" s="10"/>
      <c r="BJ366" s="10"/>
    </row>
    <row r="367" spans="1:62" ht="10.199999999999999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BC367" s="10"/>
      <c r="BD367" s="10"/>
      <c r="BE367" s="10"/>
      <c r="BF367" s="10"/>
      <c r="BG367" s="10"/>
      <c r="BH367" s="10"/>
      <c r="BI367" s="10"/>
      <c r="BJ367" s="10"/>
    </row>
    <row r="368" spans="1:62" ht="10.199999999999999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BC368" s="10"/>
      <c r="BD368" s="10"/>
      <c r="BE368" s="10"/>
      <c r="BF368" s="10"/>
      <c r="BG368" s="10"/>
      <c r="BH368" s="10"/>
      <c r="BI368" s="10"/>
      <c r="BJ368" s="10"/>
    </row>
    <row r="369" spans="1:62" ht="10.199999999999999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BC369" s="10"/>
      <c r="BD369" s="10"/>
      <c r="BE369" s="10"/>
      <c r="BF369" s="10"/>
      <c r="BG369" s="10"/>
      <c r="BH369" s="10"/>
      <c r="BI369" s="10"/>
      <c r="BJ369" s="10"/>
    </row>
    <row r="370" spans="1:62" ht="10.199999999999999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BC370" s="10"/>
      <c r="BD370" s="10"/>
      <c r="BE370" s="10"/>
      <c r="BF370" s="10"/>
      <c r="BG370" s="10"/>
      <c r="BH370" s="10"/>
      <c r="BI370" s="10"/>
      <c r="BJ370" s="10"/>
    </row>
    <row r="371" spans="1:62" ht="10.199999999999999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BC371" s="10"/>
      <c r="BD371" s="10"/>
      <c r="BE371" s="10"/>
      <c r="BF371" s="10"/>
      <c r="BG371" s="10"/>
      <c r="BH371" s="10"/>
      <c r="BI371" s="10"/>
      <c r="BJ371" s="10"/>
    </row>
    <row r="372" spans="1:62" ht="10.199999999999999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BC372" s="10"/>
      <c r="BD372" s="10"/>
      <c r="BE372" s="10"/>
      <c r="BF372" s="10"/>
      <c r="BG372" s="10"/>
      <c r="BH372" s="10"/>
      <c r="BI372" s="10"/>
      <c r="BJ372" s="10"/>
    </row>
    <row r="373" spans="1:62" ht="10.199999999999999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BC373" s="10"/>
      <c r="BD373" s="10"/>
      <c r="BE373" s="10"/>
      <c r="BF373" s="10"/>
      <c r="BG373" s="10"/>
      <c r="BH373" s="10"/>
      <c r="BI373" s="10"/>
      <c r="BJ373" s="10"/>
    </row>
    <row r="374" spans="1:62" ht="10.199999999999999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BC374" s="10"/>
      <c r="BD374" s="10"/>
      <c r="BE374" s="10"/>
      <c r="BF374" s="10"/>
      <c r="BG374" s="10"/>
      <c r="BH374" s="10"/>
      <c r="BI374" s="10"/>
      <c r="BJ374" s="10"/>
    </row>
    <row r="375" spans="1:62" ht="10.199999999999999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BC375" s="10"/>
      <c r="BD375" s="10"/>
      <c r="BE375" s="10"/>
      <c r="BF375" s="10"/>
      <c r="BG375" s="10"/>
      <c r="BH375" s="10"/>
      <c r="BI375" s="10"/>
      <c r="BJ375" s="10"/>
    </row>
    <row r="376" spans="1:62" ht="10.199999999999999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BC376" s="10"/>
      <c r="BD376" s="10"/>
      <c r="BE376" s="10"/>
      <c r="BF376" s="10"/>
      <c r="BG376" s="10"/>
      <c r="BH376" s="10"/>
      <c r="BI376" s="10"/>
      <c r="BJ376" s="10"/>
    </row>
    <row r="377" spans="1:62" ht="10.199999999999999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BC377" s="10"/>
      <c r="BD377" s="10"/>
      <c r="BE377" s="10"/>
      <c r="BF377" s="10"/>
      <c r="BG377" s="10"/>
      <c r="BH377" s="10"/>
      <c r="BI377" s="10"/>
      <c r="BJ377" s="10"/>
    </row>
    <row r="378" spans="1:62" ht="10.199999999999999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BC378" s="10"/>
      <c r="BD378" s="10"/>
      <c r="BE378" s="10"/>
      <c r="BF378" s="10"/>
      <c r="BG378" s="10"/>
      <c r="BH378" s="10"/>
      <c r="BI378" s="10"/>
      <c r="BJ378" s="10"/>
    </row>
    <row r="379" spans="1:62" ht="10.199999999999999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BC379" s="10"/>
      <c r="BD379" s="10"/>
      <c r="BE379" s="10"/>
      <c r="BF379" s="10"/>
      <c r="BG379" s="10"/>
      <c r="BH379" s="10"/>
      <c r="BI379" s="10"/>
      <c r="BJ379" s="10"/>
    </row>
    <row r="380" spans="1:62" ht="10.199999999999999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BC380" s="10"/>
      <c r="BD380" s="10"/>
      <c r="BE380" s="10"/>
      <c r="BF380" s="10"/>
      <c r="BG380" s="10"/>
      <c r="BH380" s="10"/>
      <c r="BI380" s="10"/>
      <c r="BJ380" s="10"/>
    </row>
    <row r="381" spans="1:62" ht="10.199999999999999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BC381" s="10"/>
      <c r="BD381" s="10"/>
      <c r="BE381" s="10"/>
      <c r="BF381" s="10"/>
      <c r="BG381" s="10"/>
      <c r="BH381" s="10"/>
      <c r="BI381" s="10"/>
      <c r="BJ381" s="10"/>
    </row>
    <row r="382" spans="1:62" ht="10.199999999999999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BC382" s="10"/>
      <c r="BD382" s="10"/>
      <c r="BE382" s="10"/>
      <c r="BF382" s="10"/>
      <c r="BG382" s="10"/>
      <c r="BH382" s="10"/>
      <c r="BI382" s="10"/>
      <c r="BJ382" s="10"/>
    </row>
    <row r="383" spans="1:62" ht="10.199999999999999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BC383" s="10"/>
      <c r="BD383" s="10"/>
      <c r="BE383" s="10"/>
      <c r="BF383" s="10"/>
      <c r="BG383" s="10"/>
      <c r="BH383" s="10"/>
      <c r="BI383" s="10"/>
      <c r="BJ383" s="10"/>
    </row>
    <row r="384" spans="1:62" ht="10.199999999999999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BC384" s="10"/>
      <c r="BD384" s="10"/>
      <c r="BE384" s="10"/>
      <c r="BF384" s="10"/>
      <c r="BG384" s="10"/>
      <c r="BH384" s="10"/>
      <c r="BI384" s="10"/>
      <c r="BJ384" s="10"/>
    </row>
    <row r="385" spans="1:62" ht="10.199999999999999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BC385" s="10"/>
      <c r="BD385" s="10"/>
      <c r="BE385" s="10"/>
      <c r="BF385" s="10"/>
      <c r="BG385" s="10"/>
      <c r="BH385" s="10"/>
      <c r="BI385" s="10"/>
      <c r="BJ385" s="10"/>
    </row>
    <row r="386" spans="1:62" ht="10.199999999999999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BC386" s="10"/>
      <c r="BD386" s="10"/>
      <c r="BE386" s="10"/>
      <c r="BF386" s="10"/>
      <c r="BG386" s="10"/>
      <c r="BH386" s="10"/>
      <c r="BI386" s="10"/>
      <c r="BJ386" s="10"/>
    </row>
    <row r="387" spans="1:62" ht="10.199999999999999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BC387" s="10"/>
      <c r="BD387" s="10"/>
      <c r="BE387" s="10"/>
      <c r="BF387" s="10"/>
      <c r="BG387" s="10"/>
      <c r="BH387" s="10"/>
      <c r="BI387" s="10"/>
      <c r="BJ387" s="10"/>
    </row>
    <row r="388" spans="1:62" ht="10.199999999999999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BC388" s="10"/>
      <c r="BD388" s="10"/>
      <c r="BE388" s="10"/>
      <c r="BF388" s="10"/>
      <c r="BG388" s="10"/>
      <c r="BH388" s="10"/>
      <c r="BI388" s="10"/>
      <c r="BJ388" s="10"/>
    </row>
    <row r="389" spans="1:62" ht="10.199999999999999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BC389" s="10"/>
      <c r="BD389" s="10"/>
      <c r="BE389" s="10"/>
      <c r="BF389" s="10"/>
      <c r="BG389" s="10"/>
      <c r="BH389" s="10"/>
      <c r="BI389" s="10"/>
      <c r="BJ389" s="10"/>
    </row>
    <row r="390" spans="1:62" ht="10.199999999999999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BC390" s="10"/>
      <c r="BD390" s="10"/>
      <c r="BE390" s="10"/>
      <c r="BF390" s="10"/>
      <c r="BG390" s="10"/>
      <c r="BH390" s="10"/>
      <c r="BI390" s="10"/>
      <c r="BJ390" s="10"/>
    </row>
    <row r="391" spans="1:62" ht="10.199999999999999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BC391" s="10"/>
      <c r="BD391" s="10"/>
      <c r="BE391" s="10"/>
      <c r="BF391" s="10"/>
      <c r="BG391" s="10"/>
      <c r="BH391" s="10"/>
      <c r="BI391" s="10"/>
      <c r="BJ391" s="10"/>
    </row>
    <row r="392" spans="1:62" ht="10.199999999999999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BC392" s="10"/>
      <c r="BD392" s="10"/>
      <c r="BE392" s="10"/>
      <c r="BF392" s="10"/>
      <c r="BG392" s="10"/>
      <c r="BH392" s="10"/>
      <c r="BI392" s="10"/>
      <c r="BJ392" s="10"/>
    </row>
    <row r="393" spans="1:62" ht="10.199999999999999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BC393" s="10"/>
      <c r="BD393" s="10"/>
      <c r="BE393" s="10"/>
      <c r="BF393" s="10"/>
      <c r="BG393" s="10"/>
      <c r="BH393" s="10"/>
      <c r="BI393" s="10"/>
      <c r="BJ393" s="10"/>
    </row>
    <row r="394" spans="1:62" ht="10.199999999999999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BC394" s="10"/>
      <c r="BD394" s="10"/>
      <c r="BE394" s="10"/>
      <c r="BF394" s="10"/>
      <c r="BG394" s="10"/>
      <c r="BH394" s="10"/>
      <c r="BI394" s="10"/>
      <c r="BJ394" s="10"/>
    </row>
    <row r="395" spans="1:62" ht="10.199999999999999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BC395" s="10"/>
      <c r="BD395" s="10"/>
      <c r="BE395" s="10"/>
      <c r="BF395" s="10"/>
      <c r="BG395" s="10"/>
      <c r="BH395" s="10"/>
      <c r="BI395" s="10"/>
      <c r="BJ395" s="10"/>
    </row>
    <row r="396" spans="1:62" ht="10.199999999999999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BC396" s="10"/>
      <c r="BD396" s="10"/>
      <c r="BE396" s="10"/>
      <c r="BF396" s="10"/>
      <c r="BG396" s="10"/>
      <c r="BH396" s="10"/>
      <c r="BI396" s="10"/>
      <c r="BJ396" s="10"/>
    </row>
    <row r="397" spans="1:62" ht="10.199999999999999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BC397" s="10"/>
      <c r="BD397" s="10"/>
      <c r="BE397" s="10"/>
      <c r="BF397" s="10"/>
      <c r="BG397" s="10"/>
      <c r="BH397" s="10"/>
      <c r="BI397" s="10"/>
      <c r="BJ397" s="10"/>
    </row>
    <row r="398" spans="1:62" ht="10.199999999999999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BC398" s="10"/>
      <c r="BD398" s="10"/>
      <c r="BE398" s="10"/>
      <c r="BF398" s="10"/>
      <c r="BG398" s="10"/>
      <c r="BH398" s="10"/>
      <c r="BI398" s="10"/>
      <c r="BJ398" s="10"/>
    </row>
    <row r="399" spans="1:62" ht="10.199999999999999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BC399" s="10"/>
      <c r="BD399" s="10"/>
      <c r="BE399" s="10"/>
      <c r="BF399" s="10"/>
      <c r="BG399" s="10"/>
      <c r="BH399" s="10"/>
      <c r="BI399" s="10"/>
      <c r="BJ399" s="10"/>
    </row>
    <row r="400" spans="1:62" ht="10.199999999999999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BC400" s="10"/>
      <c r="BD400" s="10"/>
      <c r="BE400" s="10"/>
      <c r="BF400" s="10"/>
      <c r="BG400" s="10"/>
      <c r="BH400" s="10"/>
      <c r="BI400" s="10"/>
      <c r="BJ400" s="10"/>
    </row>
    <row r="401" spans="1:62" ht="10.199999999999999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BC401" s="10"/>
      <c r="BD401" s="10"/>
      <c r="BE401" s="10"/>
      <c r="BF401" s="10"/>
      <c r="BG401" s="10"/>
      <c r="BH401" s="10"/>
      <c r="BI401" s="10"/>
      <c r="BJ401" s="10"/>
    </row>
    <row r="402" spans="1:62" ht="10.199999999999999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BC402" s="10"/>
      <c r="BD402" s="10"/>
      <c r="BE402" s="10"/>
      <c r="BF402" s="10"/>
      <c r="BG402" s="10"/>
      <c r="BH402" s="10"/>
      <c r="BI402" s="10"/>
      <c r="BJ402" s="10"/>
    </row>
    <row r="403" spans="1:62" ht="10.199999999999999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BC403" s="10"/>
      <c r="BD403" s="10"/>
      <c r="BE403" s="10"/>
      <c r="BF403" s="10"/>
      <c r="BG403" s="10"/>
      <c r="BH403" s="10"/>
      <c r="BI403" s="10"/>
      <c r="BJ403" s="10"/>
    </row>
    <row r="404" spans="1:62" ht="10.199999999999999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BC404" s="10"/>
      <c r="BD404" s="10"/>
      <c r="BE404" s="10"/>
      <c r="BF404" s="10"/>
      <c r="BG404" s="10"/>
      <c r="BH404" s="10"/>
      <c r="BI404" s="10"/>
      <c r="BJ404" s="10"/>
    </row>
    <row r="405" spans="1:62" ht="10.199999999999999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BC405" s="10"/>
      <c r="BD405" s="10"/>
      <c r="BE405" s="10"/>
      <c r="BF405" s="10"/>
      <c r="BG405" s="10"/>
      <c r="BH405" s="10"/>
      <c r="BI405" s="10"/>
      <c r="BJ405" s="10"/>
    </row>
    <row r="406" spans="1:62" ht="10.199999999999999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BC406" s="10"/>
      <c r="BD406" s="10"/>
      <c r="BE406" s="10"/>
      <c r="BF406" s="10"/>
      <c r="BG406" s="10"/>
      <c r="BH406" s="10"/>
      <c r="BI406" s="10"/>
      <c r="BJ406" s="10"/>
    </row>
    <row r="407" spans="1:62" ht="10.199999999999999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BC407" s="10"/>
      <c r="BD407" s="10"/>
      <c r="BE407" s="10"/>
      <c r="BF407" s="10"/>
      <c r="BG407" s="10"/>
      <c r="BH407" s="10"/>
      <c r="BI407" s="10"/>
      <c r="BJ407" s="10"/>
    </row>
    <row r="408" spans="1:62" ht="10.199999999999999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BC408" s="10"/>
      <c r="BD408" s="10"/>
      <c r="BE408" s="10"/>
      <c r="BF408" s="10"/>
      <c r="BG408" s="10"/>
      <c r="BH408" s="10"/>
      <c r="BI408" s="10"/>
      <c r="BJ408" s="10"/>
    </row>
    <row r="409" spans="1:62" ht="10.199999999999999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BC409" s="10"/>
      <c r="BD409" s="10"/>
      <c r="BE409" s="10"/>
      <c r="BF409" s="10"/>
      <c r="BG409" s="10"/>
      <c r="BH409" s="10"/>
      <c r="BI409" s="10"/>
      <c r="BJ409" s="10"/>
    </row>
    <row r="410" spans="1:62" ht="10.199999999999999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BC410" s="10"/>
      <c r="BD410" s="10"/>
      <c r="BE410" s="10"/>
      <c r="BF410" s="10"/>
      <c r="BG410" s="10"/>
      <c r="BH410" s="10"/>
      <c r="BI410" s="10"/>
      <c r="BJ410" s="10"/>
    </row>
    <row r="411" spans="1:62" ht="10.199999999999999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BC411" s="10"/>
      <c r="BD411" s="10"/>
      <c r="BE411" s="10"/>
      <c r="BF411" s="10"/>
      <c r="BG411" s="10"/>
      <c r="BH411" s="10"/>
      <c r="BI411" s="10"/>
      <c r="BJ411" s="10"/>
    </row>
    <row r="412" spans="1:62" ht="10.199999999999999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BC412" s="10"/>
      <c r="BD412" s="10"/>
      <c r="BE412" s="10"/>
      <c r="BF412" s="10"/>
      <c r="BG412" s="10"/>
      <c r="BH412" s="10"/>
      <c r="BI412" s="10"/>
      <c r="BJ412" s="10"/>
    </row>
    <row r="413" spans="1:62" ht="10.199999999999999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BC413" s="10"/>
      <c r="BD413" s="10"/>
      <c r="BE413" s="10"/>
      <c r="BF413" s="10"/>
      <c r="BG413" s="10"/>
      <c r="BH413" s="10"/>
      <c r="BI413" s="10"/>
      <c r="BJ413" s="10"/>
    </row>
    <row r="414" spans="1:62" ht="10.199999999999999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BC414" s="10"/>
      <c r="BD414" s="10"/>
      <c r="BE414" s="10"/>
      <c r="BF414" s="10"/>
      <c r="BG414" s="10"/>
      <c r="BH414" s="10"/>
      <c r="BI414" s="10"/>
      <c r="BJ414" s="10"/>
    </row>
    <row r="415" spans="1:62" ht="10.199999999999999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BC415" s="10"/>
      <c r="BD415" s="10"/>
      <c r="BE415" s="10"/>
      <c r="BF415" s="10"/>
      <c r="BG415" s="10"/>
      <c r="BH415" s="10"/>
      <c r="BI415" s="10"/>
      <c r="BJ415" s="10"/>
    </row>
    <row r="416" spans="1:62" ht="10.199999999999999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BC416" s="10"/>
      <c r="BD416" s="10"/>
      <c r="BE416" s="10"/>
      <c r="BF416" s="10"/>
      <c r="BG416" s="10"/>
      <c r="BH416" s="10"/>
      <c r="BI416" s="10"/>
      <c r="BJ416" s="10"/>
    </row>
    <row r="417" spans="1:62" ht="10.199999999999999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BC417" s="10"/>
      <c r="BD417" s="10"/>
      <c r="BE417" s="10"/>
      <c r="BF417" s="10"/>
      <c r="BG417" s="10"/>
      <c r="BH417" s="10"/>
      <c r="BI417" s="10"/>
      <c r="BJ417" s="10"/>
    </row>
    <row r="418" spans="1:62" ht="10.199999999999999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BC418" s="10"/>
      <c r="BD418" s="10"/>
      <c r="BE418" s="10"/>
      <c r="BF418" s="10"/>
      <c r="BG418" s="10"/>
      <c r="BH418" s="10"/>
      <c r="BI418" s="10"/>
      <c r="BJ418" s="10"/>
    </row>
    <row r="419" spans="1:62" ht="10.199999999999999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BC419" s="10"/>
      <c r="BD419" s="10"/>
      <c r="BE419" s="10"/>
      <c r="BF419" s="10"/>
      <c r="BG419" s="10"/>
      <c r="BH419" s="10"/>
      <c r="BI419" s="10"/>
      <c r="BJ419" s="10"/>
    </row>
    <row r="420" spans="1:62" ht="10.199999999999999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BC420" s="10"/>
      <c r="BD420" s="10"/>
      <c r="BE420" s="10"/>
      <c r="BF420" s="10"/>
      <c r="BG420" s="10"/>
      <c r="BH420" s="10"/>
      <c r="BI420" s="10"/>
      <c r="BJ420" s="10"/>
    </row>
    <row r="421" spans="1:62" ht="10.199999999999999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BC421" s="10"/>
      <c r="BD421" s="10"/>
      <c r="BE421" s="10"/>
      <c r="BF421" s="10"/>
      <c r="BG421" s="10"/>
      <c r="BH421" s="10"/>
      <c r="BI421" s="10"/>
      <c r="BJ421" s="10"/>
    </row>
    <row r="422" spans="1:62" ht="10.199999999999999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BC422" s="10"/>
      <c r="BD422" s="10"/>
      <c r="BE422" s="10"/>
      <c r="BF422" s="10"/>
      <c r="BG422" s="10"/>
      <c r="BH422" s="10"/>
      <c r="BI422" s="10"/>
      <c r="BJ422" s="10"/>
    </row>
    <row r="423" spans="1:62" ht="10.199999999999999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BC423" s="10"/>
      <c r="BD423" s="10"/>
      <c r="BE423" s="10"/>
      <c r="BF423" s="10"/>
      <c r="BG423" s="10"/>
      <c r="BH423" s="10"/>
      <c r="BI423" s="10"/>
      <c r="BJ423" s="10"/>
    </row>
    <row r="424" spans="1:62" ht="10.199999999999999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BC424" s="10"/>
      <c r="BD424" s="10"/>
      <c r="BE424" s="10"/>
      <c r="BF424" s="10"/>
      <c r="BG424" s="10"/>
      <c r="BH424" s="10"/>
      <c r="BI424" s="10"/>
      <c r="BJ424" s="10"/>
    </row>
    <row r="425" spans="1:62" ht="10.199999999999999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BC425" s="10"/>
      <c r="BD425" s="10"/>
      <c r="BE425" s="10"/>
      <c r="BF425" s="10"/>
      <c r="BG425" s="10"/>
      <c r="BH425" s="10"/>
      <c r="BI425" s="10"/>
      <c r="BJ425" s="10"/>
    </row>
    <row r="426" spans="1:62" ht="10.199999999999999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BC426" s="10"/>
      <c r="BD426" s="10"/>
      <c r="BE426" s="10"/>
      <c r="BF426" s="10"/>
      <c r="BG426" s="10"/>
      <c r="BH426" s="10"/>
      <c r="BI426" s="10"/>
      <c r="BJ426" s="10"/>
    </row>
    <row r="427" spans="1:62" ht="10.199999999999999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BC427" s="10"/>
      <c r="BD427" s="10"/>
      <c r="BE427" s="10"/>
      <c r="BF427" s="10"/>
      <c r="BG427" s="10"/>
      <c r="BH427" s="10"/>
      <c r="BI427" s="10"/>
      <c r="BJ427" s="10"/>
    </row>
    <row r="428" spans="1:62" ht="10.199999999999999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BC428" s="10"/>
      <c r="BD428" s="10"/>
      <c r="BE428" s="10"/>
      <c r="BF428" s="10"/>
      <c r="BG428" s="10"/>
      <c r="BH428" s="10"/>
      <c r="BI428" s="10"/>
      <c r="BJ428" s="10"/>
    </row>
    <row r="429" spans="1:62" ht="10.199999999999999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BC429" s="10"/>
      <c r="BD429" s="10"/>
      <c r="BE429" s="10"/>
      <c r="BF429" s="10"/>
      <c r="BG429" s="10"/>
      <c r="BH429" s="10"/>
      <c r="BI429" s="10"/>
      <c r="BJ429" s="10"/>
    </row>
    <row r="430" spans="1:62" ht="10.199999999999999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BC430" s="10"/>
      <c r="BD430" s="10"/>
      <c r="BE430" s="10"/>
      <c r="BF430" s="10"/>
      <c r="BG430" s="10"/>
      <c r="BH430" s="10"/>
      <c r="BI430" s="10"/>
      <c r="BJ430" s="10"/>
    </row>
    <row r="431" spans="1:62" ht="10.199999999999999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BC431" s="10"/>
      <c r="BD431" s="10"/>
      <c r="BE431" s="10"/>
      <c r="BF431" s="10"/>
      <c r="BG431" s="10"/>
      <c r="BH431" s="10"/>
      <c r="BI431" s="10"/>
      <c r="BJ431" s="10"/>
    </row>
    <row r="432" spans="1:62" ht="10.199999999999999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BC432" s="10"/>
      <c r="BD432" s="10"/>
      <c r="BE432" s="10"/>
      <c r="BF432" s="10"/>
      <c r="BG432" s="10"/>
      <c r="BH432" s="10"/>
      <c r="BI432" s="10"/>
      <c r="BJ432" s="10"/>
    </row>
    <row r="433" spans="1:62" ht="10.199999999999999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BC433" s="10"/>
      <c r="BD433" s="10"/>
      <c r="BE433" s="10"/>
      <c r="BF433" s="10"/>
      <c r="BG433" s="10"/>
      <c r="BH433" s="10"/>
      <c r="BI433" s="10"/>
      <c r="BJ433" s="10"/>
    </row>
    <row r="434" spans="1:62" ht="10.199999999999999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BC434" s="10"/>
      <c r="BD434" s="10"/>
      <c r="BE434" s="10"/>
      <c r="BF434" s="10"/>
      <c r="BG434" s="10"/>
      <c r="BH434" s="10"/>
      <c r="BI434" s="10"/>
      <c r="BJ434" s="10"/>
    </row>
    <row r="435" spans="1:62" ht="10.199999999999999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BC435" s="10"/>
      <c r="BD435" s="10"/>
      <c r="BE435" s="10"/>
      <c r="BF435" s="10"/>
      <c r="BG435" s="10"/>
      <c r="BH435" s="10"/>
      <c r="BI435" s="10"/>
      <c r="BJ435" s="10"/>
    </row>
    <row r="436" spans="1:62" ht="10.199999999999999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BC436" s="10"/>
      <c r="BD436" s="10"/>
      <c r="BE436" s="10"/>
      <c r="BF436" s="10"/>
      <c r="BG436" s="10"/>
      <c r="BH436" s="10"/>
      <c r="BI436" s="10"/>
      <c r="BJ436" s="10"/>
    </row>
    <row r="437" spans="1:62" ht="10.199999999999999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BC437" s="10"/>
      <c r="BD437" s="10"/>
      <c r="BE437" s="10"/>
      <c r="BF437" s="10"/>
      <c r="BG437" s="10"/>
      <c r="BH437" s="10"/>
      <c r="BI437" s="10"/>
      <c r="BJ437" s="10"/>
    </row>
    <row r="438" spans="1:62" ht="10.199999999999999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BC438" s="10"/>
      <c r="BD438" s="10"/>
      <c r="BE438" s="10"/>
      <c r="BF438" s="10"/>
      <c r="BG438" s="10"/>
      <c r="BH438" s="10"/>
      <c r="BI438" s="10"/>
      <c r="BJ438" s="10"/>
    </row>
    <row r="439" spans="1:62" ht="10.199999999999999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BC439" s="10"/>
      <c r="BD439" s="10"/>
      <c r="BE439" s="10"/>
      <c r="BF439" s="10"/>
      <c r="BG439" s="10"/>
      <c r="BH439" s="10"/>
      <c r="BI439" s="10"/>
      <c r="BJ439" s="10"/>
    </row>
    <row r="440" spans="1:62" ht="10.199999999999999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BC440" s="10"/>
      <c r="BD440" s="10"/>
      <c r="BE440" s="10"/>
      <c r="BF440" s="10"/>
      <c r="BG440" s="10"/>
      <c r="BH440" s="10"/>
      <c r="BI440" s="10"/>
      <c r="BJ440" s="10"/>
    </row>
    <row r="441" spans="1:62" ht="10.199999999999999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BC441" s="10"/>
      <c r="BD441" s="10"/>
      <c r="BE441" s="10"/>
      <c r="BF441" s="10"/>
      <c r="BG441" s="10"/>
      <c r="BH441" s="10"/>
      <c r="BI441" s="10"/>
      <c r="BJ441" s="10"/>
    </row>
    <row r="442" spans="1:62" ht="10.199999999999999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BC442" s="10"/>
      <c r="BD442" s="10"/>
      <c r="BE442" s="10"/>
      <c r="BF442" s="10"/>
      <c r="BG442" s="10"/>
      <c r="BH442" s="10"/>
      <c r="BI442" s="10"/>
      <c r="BJ442" s="10"/>
    </row>
    <row r="443" spans="1:62" ht="10.199999999999999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BC443" s="10"/>
      <c r="BD443" s="10"/>
      <c r="BE443" s="10"/>
      <c r="BF443" s="10"/>
      <c r="BG443" s="10"/>
      <c r="BH443" s="10"/>
      <c r="BI443" s="10"/>
      <c r="BJ443" s="10"/>
    </row>
    <row r="444" spans="1:62" ht="10.199999999999999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BC444" s="10"/>
      <c r="BD444" s="10"/>
      <c r="BE444" s="10"/>
      <c r="BF444" s="10"/>
      <c r="BG444" s="10"/>
      <c r="BH444" s="10"/>
      <c r="BI444" s="10"/>
      <c r="BJ444" s="10"/>
    </row>
    <row r="445" spans="1:62" ht="10.199999999999999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BC445" s="10"/>
      <c r="BD445" s="10"/>
      <c r="BE445" s="10"/>
      <c r="BF445" s="10"/>
      <c r="BG445" s="10"/>
      <c r="BH445" s="10"/>
      <c r="BI445" s="10"/>
      <c r="BJ445" s="10"/>
    </row>
    <row r="446" spans="1:62" ht="10.199999999999999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BC446" s="10"/>
      <c r="BD446" s="10"/>
      <c r="BE446" s="10"/>
      <c r="BF446" s="10"/>
      <c r="BG446" s="10"/>
      <c r="BH446" s="10"/>
      <c r="BI446" s="10"/>
      <c r="BJ446" s="10"/>
    </row>
    <row r="447" spans="1:62" ht="10.199999999999999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BC447" s="10"/>
      <c r="BD447" s="10"/>
      <c r="BE447" s="10"/>
      <c r="BF447" s="10"/>
      <c r="BG447" s="10"/>
      <c r="BH447" s="10"/>
      <c r="BI447" s="10"/>
      <c r="BJ447" s="10"/>
    </row>
    <row r="448" spans="1:62" ht="10.199999999999999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BC448" s="10"/>
      <c r="BD448" s="10"/>
      <c r="BE448" s="10"/>
      <c r="BF448" s="10"/>
      <c r="BG448" s="10"/>
      <c r="BH448" s="10"/>
      <c r="BI448" s="10"/>
      <c r="BJ448" s="10"/>
    </row>
    <row r="449" spans="1:62" ht="10.199999999999999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BC449" s="10"/>
      <c r="BD449" s="10"/>
      <c r="BE449" s="10"/>
      <c r="BF449" s="10"/>
      <c r="BG449" s="10"/>
      <c r="BH449" s="10"/>
      <c r="BI449" s="10"/>
      <c r="BJ449" s="10"/>
    </row>
    <row r="450" spans="1:62" ht="10.199999999999999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BC450" s="10"/>
      <c r="BD450" s="10"/>
      <c r="BE450" s="10"/>
      <c r="BF450" s="10"/>
      <c r="BG450" s="10"/>
      <c r="BH450" s="10"/>
      <c r="BI450" s="10"/>
      <c r="BJ450" s="10"/>
    </row>
    <row r="451" spans="1:62" ht="10.199999999999999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BC451" s="10"/>
      <c r="BD451" s="10"/>
      <c r="BE451" s="10"/>
      <c r="BF451" s="10"/>
      <c r="BG451" s="10"/>
      <c r="BH451" s="10"/>
      <c r="BI451" s="10"/>
      <c r="BJ451" s="10"/>
    </row>
    <row r="452" spans="1:62" ht="10.199999999999999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BC452" s="10"/>
      <c r="BD452" s="10"/>
      <c r="BE452" s="10"/>
      <c r="BF452" s="10"/>
      <c r="BG452" s="10"/>
      <c r="BH452" s="10"/>
      <c r="BI452" s="10"/>
      <c r="BJ452" s="10"/>
    </row>
    <row r="453" spans="1:62" ht="10.199999999999999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BC453" s="10"/>
      <c r="BD453" s="10"/>
      <c r="BE453" s="10"/>
      <c r="BF453" s="10"/>
      <c r="BG453" s="10"/>
      <c r="BH453" s="10"/>
      <c r="BI453" s="10"/>
      <c r="BJ453" s="10"/>
    </row>
    <row r="454" spans="1:62" ht="10.199999999999999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BC454" s="10"/>
      <c r="BD454" s="10"/>
      <c r="BE454" s="10"/>
      <c r="BF454" s="10"/>
      <c r="BG454" s="10"/>
      <c r="BH454" s="10"/>
      <c r="BI454" s="10"/>
      <c r="BJ454" s="10"/>
    </row>
    <row r="455" spans="1:62" ht="10.199999999999999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BC455" s="10"/>
      <c r="BD455" s="10"/>
      <c r="BE455" s="10"/>
      <c r="BF455" s="10"/>
      <c r="BG455" s="10"/>
      <c r="BH455" s="10"/>
      <c r="BI455" s="10"/>
      <c r="BJ455" s="10"/>
    </row>
    <row r="456" spans="1:62" ht="10.199999999999999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BC456" s="10"/>
      <c r="BD456" s="10"/>
      <c r="BE456" s="10"/>
      <c r="BF456" s="10"/>
      <c r="BG456" s="10"/>
      <c r="BH456" s="10"/>
      <c r="BI456" s="10"/>
      <c r="BJ456" s="10"/>
    </row>
    <row r="457" spans="1:62" ht="10.199999999999999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BC457" s="10"/>
      <c r="BD457" s="10"/>
      <c r="BE457" s="10"/>
      <c r="BF457" s="10"/>
      <c r="BG457" s="10"/>
      <c r="BH457" s="10"/>
      <c r="BI457" s="10"/>
      <c r="BJ457" s="10"/>
    </row>
    <row r="458" spans="1:62" ht="10.199999999999999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BC458" s="10"/>
      <c r="BD458" s="10"/>
      <c r="BE458" s="10"/>
      <c r="BF458" s="10"/>
      <c r="BG458" s="10"/>
      <c r="BH458" s="10"/>
      <c r="BI458" s="10"/>
      <c r="BJ458" s="10"/>
    </row>
    <row r="459" spans="1:62" ht="10.199999999999999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BC459" s="10"/>
      <c r="BD459" s="10"/>
      <c r="BE459" s="10"/>
      <c r="BF459" s="10"/>
      <c r="BG459" s="10"/>
      <c r="BH459" s="10"/>
      <c r="BI459" s="10"/>
      <c r="BJ459" s="10"/>
    </row>
    <row r="460" spans="1:62" ht="10.199999999999999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BC460" s="10"/>
      <c r="BD460" s="10"/>
      <c r="BE460" s="10"/>
      <c r="BF460" s="10"/>
      <c r="BG460" s="10"/>
      <c r="BH460" s="10"/>
      <c r="BI460" s="10"/>
      <c r="BJ460" s="10"/>
    </row>
    <row r="461" spans="1:62" ht="10.199999999999999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BC461" s="10"/>
      <c r="BD461" s="10"/>
      <c r="BE461" s="10"/>
      <c r="BF461" s="10"/>
      <c r="BG461" s="10"/>
      <c r="BH461" s="10"/>
      <c r="BI461" s="10"/>
      <c r="BJ461" s="10"/>
    </row>
    <row r="462" spans="1:62" ht="10.199999999999999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BC462" s="10"/>
      <c r="BD462" s="10"/>
      <c r="BE462" s="10"/>
      <c r="BF462" s="10"/>
      <c r="BG462" s="10"/>
      <c r="BH462" s="10"/>
      <c r="BI462" s="10"/>
      <c r="BJ462" s="10"/>
    </row>
    <row r="463" spans="1:62" ht="10.199999999999999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BC463" s="10"/>
      <c r="BD463" s="10"/>
      <c r="BE463" s="10"/>
      <c r="BF463" s="10"/>
      <c r="BG463" s="10"/>
      <c r="BH463" s="10"/>
      <c r="BI463" s="10"/>
      <c r="BJ463" s="10"/>
    </row>
    <row r="464" spans="1:62" ht="10.199999999999999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BC464" s="10"/>
      <c r="BD464" s="10"/>
      <c r="BE464" s="10"/>
      <c r="BF464" s="10"/>
      <c r="BG464" s="10"/>
      <c r="BH464" s="10"/>
      <c r="BI464" s="10"/>
      <c r="BJ464" s="10"/>
    </row>
    <row r="465" spans="1:62" ht="10.199999999999999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BC465" s="10"/>
      <c r="BD465" s="10"/>
      <c r="BE465" s="10"/>
      <c r="BF465" s="10"/>
      <c r="BG465" s="10"/>
      <c r="BH465" s="10"/>
      <c r="BI465" s="10"/>
      <c r="BJ465" s="10"/>
    </row>
    <row r="466" spans="1:62" ht="10.199999999999999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BC466" s="10"/>
      <c r="BD466" s="10"/>
      <c r="BE466" s="10"/>
      <c r="BF466" s="10"/>
      <c r="BG466" s="10"/>
      <c r="BH466" s="10"/>
      <c r="BI466" s="10"/>
      <c r="BJ466" s="10"/>
    </row>
    <row r="467" spans="1:62" ht="10.199999999999999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BC467" s="10"/>
      <c r="BD467" s="10"/>
      <c r="BE467" s="10"/>
      <c r="BF467" s="10"/>
      <c r="BG467" s="10"/>
      <c r="BH467" s="10"/>
      <c r="BI467" s="10"/>
      <c r="BJ467" s="10"/>
    </row>
    <row r="468" spans="1:62" ht="10.199999999999999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BC468" s="10"/>
      <c r="BD468" s="10"/>
      <c r="BE468" s="10"/>
      <c r="BF468" s="10"/>
      <c r="BG468" s="10"/>
      <c r="BH468" s="10"/>
      <c r="BI468" s="10"/>
      <c r="BJ468" s="10"/>
    </row>
    <row r="469" spans="1:62" ht="10.199999999999999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BC469" s="10"/>
      <c r="BD469" s="10"/>
      <c r="BE469" s="10"/>
      <c r="BF469" s="10"/>
      <c r="BG469" s="10"/>
      <c r="BH469" s="10"/>
      <c r="BI469" s="10"/>
      <c r="BJ469" s="10"/>
    </row>
    <row r="470" spans="1:62" ht="10.199999999999999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BC470" s="10"/>
      <c r="BD470" s="10"/>
      <c r="BE470" s="10"/>
      <c r="BF470" s="10"/>
      <c r="BG470" s="10"/>
      <c r="BH470" s="10"/>
      <c r="BI470" s="10"/>
      <c r="BJ470" s="10"/>
    </row>
    <row r="471" spans="1:62" ht="10.199999999999999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BC471" s="10"/>
      <c r="BD471" s="10"/>
      <c r="BE471" s="10"/>
      <c r="BF471" s="10"/>
      <c r="BG471" s="10"/>
      <c r="BH471" s="10"/>
      <c r="BI471" s="10"/>
      <c r="BJ471" s="10"/>
    </row>
    <row r="472" spans="1:62" ht="10.199999999999999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BC472" s="10"/>
      <c r="BD472" s="10"/>
      <c r="BE472" s="10"/>
      <c r="BF472" s="10"/>
      <c r="BG472" s="10"/>
      <c r="BH472" s="10"/>
      <c r="BI472" s="10"/>
      <c r="BJ472" s="10"/>
    </row>
    <row r="473" spans="1:62" ht="10.199999999999999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BC473" s="10"/>
      <c r="BD473" s="10"/>
      <c r="BE473" s="10"/>
      <c r="BF473" s="10"/>
      <c r="BG473" s="10"/>
      <c r="BH473" s="10"/>
      <c r="BI473" s="10"/>
      <c r="BJ473" s="10"/>
    </row>
    <row r="474" spans="1:62" ht="10.199999999999999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BC474" s="10"/>
      <c r="BD474" s="10"/>
      <c r="BE474" s="10"/>
      <c r="BF474" s="10"/>
      <c r="BG474" s="10"/>
      <c r="BH474" s="10"/>
      <c r="BI474" s="10"/>
      <c r="BJ474" s="10"/>
    </row>
    <row r="475" spans="1:62" ht="10.199999999999999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BC475" s="10"/>
      <c r="BD475" s="10"/>
      <c r="BE475" s="10"/>
      <c r="BF475" s="10"/>
      <c r="BG475" s="10"/>
      <c r="BH475" s="10"/>
      <c r="BI475" s="10"/>
      <c r="BJ475" s="10"/>
    </row>
    <row r="476" spans="1:62" ht="10.199999999999999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BC476" s="10"/>
      <c r="BD476" s="10"/>
      <c r="BE476" s="10"/>
      <c r="BF476" s="10"/>
      <c r="BG476" s="10"/>
      <c r="BH476" s="10"/>
      <c r="BI476" s="10"/>
      <c r="BJ476" s="10"/>
    </row>
    <row r="477" spans="1:62" ht="10.199999999999999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BC477" s="10"/>
      <c r="BD477" s="10"/>
      <c r="BE477" s="10"/>
      <c r="BF477" s="10"/>
      <c r="BG477" s="10"/>
      <c r="BH477" s="10"/>
      <c r="BI477" s="10"/>
      <c r="BJ477" s="10"/>
    </row>
    <row r="478" spans="1:62" ht="10.199999999999999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BC478" s="10"/>
      <c r="BD478" s="10"/>
      <c r="BE478" s="10"/>
      <c r="BF478" s="10"/>
      <c r="BG478" s="10"/>
      <c r="BH478" s="10"/>
      <c r="BI478" s="10"/>
      <c r="BJ478" s="10"/>
    </row>
    <row r="479" spans="1:62" ht="10.199999999999999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BC479" s="10"/>
      <c r="BD479" s="10"/>
      <c r="BE479" s="10"/>
      <c r="BF479" s="10"/>
      <c r="BG479" s="10"/>
      <c r="BH479" s="10"/>
      <c r="BI479" s="10"/>
      <c r="BJ479" s="10"/>
    </row>
    <row r="480" spans="1:62" ht="10.199999999999999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BC480" s="10"/>
      <c r="BD480" s="10"/>
      <c r="BE480" s="10"/>
      <c r="BF480" s="10"/>
      <c r="BG480" s="10"/>
      <c r="BH480" s="10"/>
      <c r="BI480" s="10"/>
      <c r="BJ480" s="10"/>
    </row>
    <row r="481" spans="1:62" ht="10.199999999999999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BC481" s="10"/>
      <c r="BD481" s="10"/>
      <c r="BE481" s="10"/>
      <c r="BF481" s="10"/>
      <c r="BG481" s="10"/>
      <c r="BH481" s="10"/>
      <c r="BI481" s="10"/>
      <c r="BJ481" s="10"/>
    </row>
    <row r="482" spans="1:62" ht="10.199999999999999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BC482" s="10"/>
      <c r="BD482" s="10"/>
      <c r="BE482" s="10"/>
      <c r="BF482" s="10"/>
      <c r="BG482" s="10"/>
      <c r="BH482" s="10"/>
      <c r="BI482" s="10"/>
      <c r="BJ482" s="10"/>
    </row>
    <row r="483" spans="1:62" ht="10.199999999999999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BC483" s="10"/>
      <c r="BD483" s="10"/>
      <c r="BE483" s="10"/>
      <c r="BF483" s="10"/>
      <c r="BG483" s="10"/>
      <c r="BH483" s="10"/>
      <c r="BI483" s="10"/>
      <c r="BJ483" s="10"/>
    </row>
    <row r="484" spans="1:62" ht="10.199999999999999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BC484" s="10"/>
      <c r="BD484" s="10"/>
      <c r="BE484" s="10"/>
      <c r="BF484" s="10"/>
      <c r="BG484" s="10"/>
      <c r="BH484" s="10"/>
      <c r="BI484" s="10"/>
      <c r="BJ484" s="10"/>
    </row>
    <row r="485" spans="1:62" ht="10.199999999999999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BC485" s="10"/>
      <c r="BD485" s="10"/>
      <c r="BE485" s="10"/>
      <c r="BF485" s="10"/>
      <c r="BG485" s="10"/>
      <c r="BH485" s="10"/>
      <c r="BI485" s="10"/>
      <c r="BJ485" s="10"/>
    </row>
    <row r="486" spans="1:62" ht="10.199999999999999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BC486" s="10"/>
      <c r="BD486" s="10"/>
      <c r="BE486" s="10"/>
      <c r="BF486" s="10"/>
      <c r="BG486" s="10"/>
      <c r="BH486" s="10"/>
      <c r="BI486" s="10"/>
      <c r="BJ486" s="10"/>
    </row>
    <row r="487" spans="1:62" ht="10.199999999999999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BC487" s="10"/>
      <c r="BD487" s="10"/>
      <c r="BE487" s="10"/>
      <c r="BF487" s="10"/>
      <c r="BG487" s="10"/>
      <c r="BH487" s="10"/>
      <c r="BI487" s="10"/>
      <c r="BJ487" s="10"/>
    </row>
    <row r="488" spans="1:62" ht="10.199999999999999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BC488" s="10"/>
      <c r="BD488" s="10"/>
      <c r="BE488" s="10"/>
      <c r="BF488" s="10"/>
      <c r="BG488" s="10"/>
      <c r="BH488" s="10"/>
      <c r="BI488" s="10"/>
      <c r="BJ488" s="10"/>
    </row>
    <row r="489" spans="1:62" ht="10.199999999999999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BC489" s="10"/>
      <c r="BD489" s="10"/>
      <c r="BE489" s="10"/>
      <c r="BF489" s="10"/>
      <c r="BG489" s="10"/>
      <c r="BH489" s="10"/>
      <c r="BI489" s="10"/>
      <c r="BJ489" s="10"/>
    </row>
    <row r="490" spans="1:62" ht="10.199999999999999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BC490" s="10"/>
      <c r="BD490" s="10"/>
      <c r="BE490" s="10"/>
      <c r="BF490" s="10"/>
      <c r="BG490" s="10"/>
      <c r="BH490" s="10"/>
      <c r="BI490" s="10"/>
      <c r="BJ490" s="10"/>
    </row>
    <row r="491" spans="1:62" ht="10.199999999999999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BC491" s="10"/>
      <c r="BD491" s="10"/>
      <c r="BE491" s="10"/>
      <c r="BF491" s="10"/>
      <c r="BG491" s="10"/>
      <c r="BH491" s="10"/>
      <c r="BI491" s="10"/>
      <c r="BJ491" s="10"/>
    </row>
    <row r="492" spans="1:62" ht="10.199999999999999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BC492" s="10"/>
      <c r="BD492" s="10"/>
      <c r="BE492" s="10"/>
      <c r="BF492" s="10"/>
      <c r="BG492" s="10"/>
      <c r="BH492" s="10"/>
      <c r="BI492" s="10"/>
      <c r="BJ492" s="10"/>
    </row>
    <row r="493" spans="1:62" ht="10.199999999999999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BC493" s="10"/>
      <c r="BD493" s="10"/>
      <c r="BE493" s="10"/>
      <c r="BF493" s="10"/>
      <c r="BG493" s="10"/>
      <c r="BH493" s="10"/>
      <c r="BI493" s="10"/>
      <c r="BJ493" s="10"/>
    </row>
    <row r="494" spans="1:62" ht="10.199999999999999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BC494" s="10"/>
      <c r="BD494" s="10"/>
      <c r="BE494" s="10"/>
      <c r="BF494" s="10"/>
      <c r="BG494" s="10"/>
      <c r="BH494" s="10"/>
      <c r="BI494" s="10"/>
      <c r="BJ494" s="10"/>
    </row>
    <row r="495" spans="1:62" ht="10.199999999999999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BC495" s="10"/>
      <c r="BD495" s="10"/>
      <c r="BE495" s="10"/>
      <c r="BF495" s="10"/>
      <c r="BG495" s="10"/>
      <c r="BH495" s="10"/>
      <c r="BI495" s="10"/>
      <c r="BJ495" s="10"/>
    </row>
    <row r="496" spans="1:62" ht="10.199999999999999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BC496" s="10"/>
      <c r="BD496" s="10"/>
      <c r="BE496" s="10"/>
      <c r="BF496" s="10"/>
      <c r="BG496" s="10"/>
      <c r="BH496" s="10"/>
      <c r="BI496" s="10"/>
      <c r="BJ496" s="10"/>
    </row>
    <row r="497" spans="1:62" ht="10.199999999999999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BC497" s="10"/>
      <c r="BD497" s="10"/>
      <c r="BE497" s="10"/>
      <c r="BF497" s="10"/>
      <c r="BG497" s="10"/>
      <c r="BH497" s="10"/>
      <c r="BI497" s="10"/>
      <c r="BJ497" s="10"/>
    </row>
    <row r="498" spans="1:62" ht="10.199999999999999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BC498" s="10"/>
      <c r="BD498" s="10"/>
      <c r="BE498" s="10"/>
      <c r="BF498" s="10"/>
      <c r="BG498" s="10"/>
      <c r="BH498" s="10"/>
      <c r="BI498" s="10"/>
      <c r="BJ498" s="10"/>
    </row>
    <row r="499" spans="1:62" ht="10.199999999999999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BC499" s="10"/>
      <c r="BD499" s="10"/>
      <c r="BE499" s="10"/>
      <c r="BF499" s="10"/>
      <c r="BG499" s="10"/>
      <c r="BH499" s="10"/>
      <c r="BI499" s="10"/>
      <c r="BJ499" s="10"/>
    </row>
    <row r="500" spans="1:62" ht="10.199999999999999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BC500" s="10"/>
      <c r="BD500" s="10"/>
      <c r="BE500" s="10"/>
      <c r="BF500" s="10"/>
      <c r="BG500" s="10"/>
      <c r="BH500" s="10"/>
      <c r="BI500" s="10"/>
      <c r="BJ500" s="10"/>
    </row>
    <row r="501" spans="1:62" ht="10.199999999999999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BC501" s="10"/>
      <c r="BD501" s="10"/>
      <c r="BE501" s="10"/>
      <c r="BF501" s="10"/>
      <c r="BG501" s="10"/>
      <c r="BH501" s="10"/>
      <c r="BI501" s="10"/>
      <c r="BJ501" s="10"/>
    </row>
    <row r="502" spans="1:62" ht="10.199999999999999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BC502" s="10"/>
      <c r="BD502" s="10"/>
      <c r="BE502" s="10"/>
      <c r="BF502" s="10"/>
      <c r="BG502" s="10"/>
      <c r="BH502" s="10"/>
      <c r="BI502" s="10"/>
      <c r="BJ502" s="10"/>
    </row>
    <row r="503" spans="1:62" ht="10.199999999999999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BC503" s="10"/>
      <c r="BD503" s="10"/>
      <c r="BE503" s="10"/>
      <c r="BF503" s="10"/>
      <c r="BG503" s="10"/>
      <c r="BH503" s="10"/>
      <c r="BI503" s="10"/>
      <c r="BJ503" s="10"/>
    </row>
    <row r="504" spans="1:62" ht="10.199999999999999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BC504" s="10"/>
      <c r="BD504" s="10"/>
      <c r="BE504" s="10"/>
      <c r="BF504" s="10"/>
      <c r="BG504" s="10"/>
      <c r="BH504" s="10"/>
      <c r="BI504" s="10"/>
      <c r="BJ504" s="10"/>
    </row>
    <row r="505" spans="1:62" ht="10.199999999999999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BC505" s="10"/>
      <c r="BD505" s="10"/>
      <c r="BE505" s="10"/>
      <c r="BF505" s="10"/>
      <c r="BG505" s="10"/>
      <c r="BH505" s="10"/>
      <c r="BI505" s="10"/>
      <c r="BJ505" s="10"/>
    </row>
    <row r="506" spans="1:62" ht="10.199999999999999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BC506" s="10"/>
      <c r="BD506" s="10"/>
      <c r="BE506" s="10"/>
      <c r="BF506" s="10"/>
      <c r="BG506" s="10"/>
      <c r="BH506" s="10"/>
      <c r="BI506" s="10"/>
      <c r="BJ506" s="10"/>
    </row>
    <row r="507" spans="1:62" ht="10.199999999999999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BC507" s="10"/>
      <c r="BD507" s="10"/>
      <c r="BE507" s="10"/>
      <c r="BF507" s="10"/>
      <c r="BG507" s="10"/>
      <c r="BH507" s="10"/>
      <c r="BI507" s="10"/>
      <c r="BJ507" s="10"/>
    </row>
    <row r="508" spans="1:62" ht="10.199999999999999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BC508" s="10"/>
      <c r="BD508" s="10"/>
      <c r="BE508" s="10"/>
      <c r="BF508" s="10"/>
      <c r="BG508" s="10"/>
      <c r="BH508" s="10"/>
      <c r="BI508" s="10"/>
      <c r="BJ508" s="10"/>
    </row>
    <row r="509" spans="1:62" ht="10.199999999999999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BC509" s="10"/>
      <c r="BD509" s="10"/>
      <c r="BE509" s="10"/>
      <c r="BF509" s="10"/>
      <c r="BG509" s="10"/>
      <c r="BH509" s="10"/>
      <c r="BI509" s="10"/>
      <c r="BJ509" s="10"/>
    </row>
    <row r="510" spans="1:62" ht="10.199999999999999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BC510" s="10"/>
      <c r="BD510" s="10"/>
      <c r="BE510" s="10"/>
      <c r="BF510" s="10"/>
      <c r="BG510" s="10"/>
      <c r="BH510" s="10"/>
      <c r="BI510" s="10"/>
      <c r="BJ510" s="10"/>
    </row>
    <row r="511" spans="1:62" ht="10.199999999999999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BC511" s="10"/>
      <c r="BD511" s="10"/>
      <c r="BE511" s="10"/>
      <c r="BF511" s="10"/>
      <c r="BG511" s="10"/>
      <c r="BH511" s="10"/>
      <c r="BI511" s="10"/>
      <c r="BJ511" s="10"/>
    </row>
    <row r="512" spans="1:62" ht="10.199999999999999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BC512" s="10"/>
      <c r="BD512" s="10"/>
      <c r="BE512" s="10"/>
      <c r="BF512" s="10"/>
      <c r="BG512" s="10"/>
      <c r="BH512" s="10"/>
      <c r="BI512" s="10"/>
      <c r="BJ512" s="10"/>
    </row>
    <row r="513" spans="1:62" ht="10.199999999999999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BC513" s="10"/>
      <c r="BD513" s="10"/>
      <c r="BE513" s="10"/>
      <c r="BF513" s="10"/>
      <c r="BG513" s="10"/>
      <c r="BH513" s="10"/>
      <c r="BI513" s="10"/>
      <c r="BJ513" s="10"/>
    </row>
    <row r="514" spans="1:62" ht="10.199999999999999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BC514" s="10"/>
      <c r="BD514" s="10"/>
      <c r="BE514" s="10"/>
      <c r="BF514" s="10"/>
      <c r="BG514" s="10"/>
      <c r="BH514" s="10"/>
      <c r="BI514" s="10"/>
      <c r="BJ514" s="10"/>
    </row>
    <row r="515" spans="1:62" ht="10.199999999999999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BC515" s="10"/>
      <c r="BD515" s="10"/>
      <c r="BE515" s="10"/>
      <c r="BF515" s="10"/>
      <c r="BG515" s="10"/>
      <c r="BH515" s="10"/>
      <c r="BI515" s="10"/>
      <c r="BJ515" s="10"/>
    </row>
    <row r="516" spans="1:62" ht="10.199999999999999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BC516" s="10"/>
      <c r="BD516" s="10"/>
      <c r="BE516" s="10"/>
      <c r="BF516" s="10"/>
      <c r="BG516" s="10"/>
      <c r="BH516" s="10"/>
      <c r="BI516" s="10"/>
      <c r="BJ516" s="10"/>
    </row>
    <row r="517" spans="1:62" ht="10.199999999999999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BC517" s="10"/>
      <c r="BD517" s="10"/>
      <c r="BE517" s="10"/>
      <c r="BF517" s="10"/>
      <c r="BG517" s="10"/>
      <c r="BH517" s="10"/>
      <c r="BI517" s="10"/>
      <c r="BJ517" s="10"/>
    </row>
    <row r="518" spans="1:62" ht="10.199999999999999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BC518" s="10"/>
      <c r="BD518" s="10"/>
      <c r="BE518" s="10"/>
      <c r="BF518" s="10"/>
      <c r="BG518" s="10"/>
      <c r="BH518" s="10"/>
      <c r="BI518" s="10"/>
      <c r="BJ518" s="10"/>
    </row>
    <row r="519" spans="1:62" ht="10.199999999999999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BC519" s="10"/>
      <c r="BD519" s="10"/>
      <c r="BE519" s="10"/>
      <c r="BF519" s="10"/>
      <c r="BG519" s="10"/>
      <c r="BH519" s="10"/>
      <c r="BI519" s="10"/>
      <c r="BJ519" s="10"/>
    </row>
    <row r="520" spans="1:62" ht="10.199999999999999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BC520" s="10"/>
      <c r="BD520" s="10"/>
      <c r="BE520" s="10"/>
      <c r="BF520" s="10"/>
      <c r="BG520" s="10"/>
      <c r="BH520" s="10"/>
      <c r="BI520" s="10"/>
      <c r="BJ520" s="10"/>
    </row>
    <row r="521" spans="1:62" ht="10.199999999999999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BC521" s="10"/>
      <c r="BD521" s="10"/>
      <c r="BE521" s="10"/>
      <c r="BF521" s="10"/>
      <c r="BG521" s="10"/>
      <c r="BH521" s="10"/>
      <c r="BI521" s="10"/>
      <c r="BJ521" s="10"/>
    </row>
    <row r="522" spans="1:62" ht="10.199999999999999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BC522" s="10"/>
      <c r="BD522" s="10"/>
      <c r="BE522" s="10"/>
      <c r="BF522" s="10"/>
      <c r="BG522" s="10"/>
      <c r="BH522" s="10"/>
      <c r="BI522" s="10"/>
      <c r="BJ522" s="10"/>
    </row>
    <row r="523" spans="1:62" ht="10.199999999999999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BC523" s="10"/>
      <c r="BD523" s="10"/>
      <c r="BE523" s="10"/>
      <c r="BF523" s="10"/>
      <c r="BG523" s="10"/>
      <c r="BH523" s="10"/>
      <c r="BI523" s="10"/>
      <c r="BJ523" s="10"/>
    </row>
    <row r="524" spans="1:62" ht="10.199999999999999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BC524" s="10"/>
      <c r="BD524" s="10"/>
      <c r="BE524" s="10"/>
      <c r="BF524" s="10"/>
      <c r="BG524" s="10"/>
      <c r="BH524" s="10"/>
      <c r="BI524" s="10"/>
      <c r="BJ524" s="10"/>
    </row>
    <row r="525" spans="1:62" ht="10.199999999999999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BC525" s="10"/>
      <c r="BD525" s="10"/>
      <c r="BE525" s="10"/>
      <c r="BF525" s="10"/>
      <c r="BG525" s="10"/>
      <c r="BH525" s="10"/>
      <c r="BI525" s="10"/>
      <c r="BJ525" s="10"/>
    </row>
    <row r="526" spans="1:62" ht="10.199999999999999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BC526" s="10"/>
      <c r="BD526" s="10"/>
      <c r="BE526" s="10"/>
      <c r="BF526" s="10"/>
      <c r="BG526" s="10"/>
      <c r="BH526" s="10"/>
      <c r="BI526" s="10"/>
      <c r="BJ526" s="10"/>
    </row>
    <row r="527" spans="1:62" ht="10.199999999999999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BC527" s="10"/>
      <c r="BD527" s="10"/>
      <c r="BE527" s="10"/>
      <c r="BF527" s="10"/>
      <c r="BG527" s="10"/>
      <c r="BH527" s="10"/>
      <c r="BI527" s="10"/>
      <c r="BJ527" s="10"/>
    </row>
    <row r="528" spans="1:62" ht="10.199999999999999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BC528" s="10"/>
      <c r="BD528" s="10"/>
      <c r="BE528" s="10"/>
      <c r="BF528" s="10"/>
      <c r="BG528" s="10"/>
      <c r="BH528" s="10"/>
      <c r="BI528" s="10"/>
      <c r="BJ528" s="10"/>
    </row>
    <row r="529" spans="1:62" ht="10.199999999999999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BC529" s="10"/>
      <c r="BD529" s="10"/>
      <c r="BE529" s="10"/>
      <c r="BF529" s="10"/>
      <c r="BG529" s="10"/>
      <c r="BH529" s="10"/>
      <c r="BI529" s="10"/>
      <c r="BJ529" s="10"/>
    </row>
    <row r="530" spans="1:62" ht="10.199999999999999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BC530" s="10"/>
      <c r="BD530" s="10"/>
      <c r="BE530" s="10"/>
      <c r="BF530" s="10"/>
      <c r="BG530" s="10"/>
      <c r="BH530" s="10"/>
      <c r="BI530" s="10"/>
      <c r="BJ530" s="10"/>
    </row>
    <row r="531" spans="1:62" ht="10.199999999999999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BC531" s="10"/>
      <c r="BD531" s="10"/>
      <c r="BE531" s="10"/>
      <c r="BF531" s="10"/>
      <c r="BG531" s="10"/>
      <c r="BH531" s="10"/>
      <c r="BI531" s="10"/>
      <c r="BJ531" s="10"/>
    </row>
    <row r="532" spans="1:62" ht="10.199999999999999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BC532" s="10"/>
      <c r="BD532" s="10"/>
      <c r="BE532" s="10"/>
      <c r="BF532" s="10"/>
      <c r="BG532" s="10"/>
      <c r="BH532" s="10"/>
      <c r="BI532" s="10"/>
      <c r="BJ532" s="10"/>
    </row>
    <row r="533" spans="1:62" ht="10.199999999999999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BC533" s="10"/>
      <c r="BD533" s="10"/>
      <c r="BE533" s="10"/>
      <c r="BF533" s="10"/>
      <c r="BG533" s="10"/>
      <c r="BH533" s="10"/>
      <c r="BI533" s="10"/>
      <c r="BJ533" s="10"/>
    </row>
    <row r="534" spans="1:62" ht="10.199999999999999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BC534" s="10"/>
      <c r="BD534" s="10"/>
      <c r="BE534" s="10"/>
      <c r="BF534" s="10"/>
      <c r="BG534" s="10"/>
      <c r="BH534" s="10"/>
      <c r="BI534" s="10"/>
      <c r="BJ534" s="10"/>
    </row>
    <row r="535" spans="1:62" ht="10.199999999999999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BC535" s="10"/>
      <c r="BD535" s="10"/>
      <c r="BE535" s="10"/>
      <c r="BF535" s="10"/>
      <c r="BG535" s="10"/>
      <c r="BH535" s="10"/>
      <c r="BI535" s="10"/>
      <c r="BJ535" s="10"/>
    </row>
    <row r="536" spans="1:62" ht="10.199999999999999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BC536" s="10"/>
      <c r="BD536" s="10"/>
      <c r="BE536" s="10"/>
      <c r="BF536" s="10"/>
      <c r="BG536" s="10"/>
      <c r="BH536" s="10"/>
      <c r="BI536" s="10"/>
      <c r="BJ536" s="10"/>
    </row>
    <row r="537" spans="1:62" ht="10.199999999999999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BC537" s="10"/>
      <c r="BD537" s="10"/>
      <c r="BE537" s="10"/>
      <c r="BF537" s="10"/>
      <c r="BG537" s="10"/>
      <c r="BH537" s="10"/>
      <c r="BI537" s="10"/>
      <c r="BJ537" s="10"/>
    </row>
    <row r="538" spans="1:62" ht="10.199999999999999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BC538" s="10"/>
      <c r="BD538" s="10"/>
      <c r="BE538" s="10"/>
      <c r="BF538" s="10"/>
      <c r="BG538" s="10"/>
      <c r="BH538" s="10"/>
      <c r="BI538" s="10"/>
      <c r="BJ538" s="10"/>
    </row>
    <row r="539" spans="1:62" ht="10.199999999999999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BC539" s="10"/>
      <c r="BD539" s="10"/>
      <c r="BE539" s="10"/>
      <c r="BF539" s="10"/>
      <c r="BG539" s="10"/>
      <c r="BH539" s="10"/>
      <c r="BI539" s="10"/>
      <c r="BJ539" s="10"/>
    </row>
    <row r="540" spans="1:62" ht="10.199999999999999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BC540" s="10"/>
      <c r="BD540" s="10"/>
      <c r="BE540" s="10"/>
      <c r="BF540" s="10"/>
      <c r="BG540" s="10"/>
      <c r="BH540" s="10"/>
      <c r="BI540" s="10"/>
      <c r="BJ540" s="10"/>
    </row>
    <row r="541" spans="1:62" ht="10.199999999999999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BC541" s="10"/>
      <c r="BD541" s="10"/>
      <c r="BE541" s="10"/>
      <c r="BF541" s="10"/>
      <c r="BG541" s="10"/>
      <c r="BH541" s="10"/>
      <c r="BI541" s="10"/>
      <c r="BJ541" s="10"/>
    </row>
    <row r="542" spans="1:62" ht="10.199999999999999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BC542" s="10"/>
      <c r="BD542" s="10"/>
      <c r="BE542" s="10"/>
      <c r="BF542" s="10"/>
      <c r="BG542" s="10"/>
      <c r="BH542" s="10"/>
      <c r="BI542" s="10"/>
      <c r="BJ542" s="10"/>
    </row>
    <row r="543" spans="1:62" ht="10.199999999999999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BC543" s="10"/>
      <c r="BD543" s="10"/>
      <c r="BE543" s="10"/>
      <c r="BF543" s="10"/>
      <c r="BG543" s="10"/>
      <c r="BH543" s="10"/>
      <c r="BI543" s="10"/>
      <c r="BJ543" s="10"/>
    </row>
    <row r="544" spans="1:62" ht="10.199999999999999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BC544" s="10"/>
      <c r="BD544" s="10"/>
      <c r="BE544" s="10"/>
      <c r="BF544" s="10"/>
      <c r="BG544" s="10"/>
      <c r="BH544" s="10"/>
      <c r="BI544" s="10"/>
      <c r="BJ544" s="10"/>
    </row>
    <row r="545" spans="1:62" ht="10.199999999999999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BC545" s="10"/>
      <c r="BD545" s="10"/>
      <c r="BE545" s="10"/>
      <c r="BF545" s="10"/>
      <c r="BG545" s="10"/>
      <c r="BH545" s="10"/>
      <c r="BI545" s="10"/>
      <c r="BJ545" s="10"/>
    </row>
    <row r="546" spans="1:62" ht="10.199999999999999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BC546" s="10"/>
      <c r="BD546" s="10"/>
      <c r="BE546" s="10"/>
      <c r="BF546" s="10"/>
      <c r="BG546" s="10"/>
      <c r="BH546" s="10"/>
      <c r="BI546" s="10"/>
      <c r="BJ546" s="10"/>
    </row>
    <row r="547" spans="1:62" ht="10.199999999999999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BC547" s="10"/>
      <c r="BD547" s="10"/>
      <c r="BE547" s="10"/>
      <c r="BF547" s="10"/>
      <c r="BG547" s="10"/>
      <c r="BH547" s="10"/>
      <c r="BI547" s="10"/>
      <c r="BJ547" s="10"/>
    </row>
    <row r="548" spans="1:62" ht="10.199999999999999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BC548" s="10"/>
      <c r="BD548" s="10"/>
      <c r="BE548" s="10"/>
      <c r="BF548" s="10"/>
      <c r="BG548" s="10"/>
      <c r="BH548" s="10"/>
      <c r="BI548" s="10"/>
      <c r="BJ548" s="10"/>
    </row>
    <row r="549" spans="1:62" ht="10.199999999999999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BC549" s="10"/>
      <c r="BD549" s="10"/>
      <c r="BE549" s="10"/>
      <c r="BF549" s="10"/>
      <c r="BG549" s="10"/>
      <c r="BH549" s="10"/>
      <c r="BI549" s="10"/>
      <c r="BJ549" s="10"/>
    </row>
    <row r="550" spans="1:62" ht="10.199999999999999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BC550" s="10"/>
      <c r="BD550" s="10"/>
      <c r="BE550" s="10"/>
      <c r="BF550" s="10"/>
      <c r="BG550" s="10"/>
      <c r="BH550" s="10"/>
      <c r="BI550" s="10"/>
      <c r="BJ550" s="10"/>
    </row>
    <row r="551" spans="1:62" ht="10.199999999999999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BC551" s="10"/>
      <c r="BD551" s="10"/>
      <c r="BE551" s="10"/>
      <c r="BF551" s="10"/>
      <c r="BG551" s="10"/>
      <c r="BH551" s="10"/>
      <c r="BI551" s="10"/>
      <c r="BJ551" s="10"/>
    </row>
    <row r="552" spans="1:62" ht="10.199999999999999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BC552" s="10"/>
      <c r="BD552" s="10"/>
      <c r="BE552" s="10"/>
      <c r="BF552" s="10"/>
      <c r="BG552" s="10"/>
      <c r="BH552" s="10"/>
      <c r="BI552" s="10"/>
      <c r="BJ552" s="10"/>
    </row>
    <row r="553" spans="1:62" ht="10.199999999999999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BC553" s="10"/>
      <c r="BD553" s="10"/>
      <c r="BE553" s="10"/>
      <c r="BF553" s="10"/>
      <c r="BG553" s="10"/>
      <c r="BH553" s="10"/>
      <c r="BI553" s="10"/>
      <c r="BJ553" s="10"/>
    </row>
    <row r="554" spans="1:62" ht="10.199999999999999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BC554" s="10"/>
      <c r="BD554" s="10"/>
      <c r="BE554" s="10"/>
      <c r="BF554" s="10"/>
      <c r="BG554" s="10"/>
      <c r="BH554" s="10"/>
      <c r="BI554" s="10"/>
      <c r="BJ554" s="10"/>
    </row>
    <row r="555" spans="1:62" ht="10.199999999999999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BC555" s="10"/>
      <c r="BD555" s="10"/>
      <c r="BE555" s="10"/>
      <c r="BF555" s="10"/>
      <c r="BG555" s="10"/>
      <c r="BH555" s="10"/>
      <c r="BI555" s="10"/>
      <c r="BJ555" s="10"/>
    </row>
    <row r="556" spans="1:62" ht="10.199999999999999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BC556" s="10"/>
      <c r="BD556" s="10"/>
      <c r="BE556" s="10"/>
      <c r="BF556" s="10"/>
      <c r="BG556" s="10"/>
      <c r="BH556" s="10"/>
      <c r="BI556" s="10"/>
      <c r="BJ556" s="10"/>
    </row>
    <row r="557" spans="1:62" ht="10.199999999999999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BC557" s="10"/>
      <c r="BD557" s="10"/>
      <c r="BE557" s="10"/>
      <c r="BF557" s="10"/>
      <c r="BG557" s="10"/>
      <c r="BH557" s="10"/>
      <c r="BI557" s="10"/>
      <c r="BJ557" s="10"/>
    </row>
    <row r="558" spans="1:62" ht="10.199999999999999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BC558" s="10"/>
      <c r="BD558" s="10"/>
      <c r="BE558" s="10"/>
      <c r="BF558" s="10"/>
      <c r="BG558" s="10"/>
      <c r="BH558" s="10"/>
      <c r="BI558" s="10"/>
      <c r="BJ558" s="10"/>
    </row>
    <row r="559" spans="1:62" ht="10.199999999999999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BC559" s="10"/>
      <c r="BD559" s="10"/>
      <c r="BE559" s="10"/>
      <c r="BF559" s="10"/>
      <c r="BG559" s="10"/>
      <c r="BH559" s="10"/>
      <c r="BI559" s="10"/>
      <c r="BJ559" s="10"/>
    </row>
    <row r="560" spans="1:62" ht="10.199999999999999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BC560" s="10"/>
      <c r="BD560" s="10"/>
      <c r="BE560" s="10"/>
      <c r="BF560" s="10"/>
      <c r="BG560" s="10"/>
      <c r="BH560" s="10"/>
      <c r="BI560" s="10"/>
      <c r="BJ560" s="10"/>
    </row>
    <row r="561" spans="1:62" ht="10.199999999999999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BC561" s="10"/>
      <c r="BD561" s="10"/>
      <c r="BE561" s="10"/>
      <c r="BF561" s="10"/>
      <c r="BG561" s="10"/>
      <c r="BH561" s="10"/>
      <c r="BI561" s="10"/>
      <c r="BJ561" s="10"/>
    </row>
    <row r="562" spans="1:62" ht="10.199999999999999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BC562" s="10"/>
      <c r="BD562" s="10"/>
      <c r="BE562" s="10"/>
      <c r="BF562" s="10"/>
      <c r="BG562" s="10"/>
      <c r="BH562" s="10"/>
      <c r="BI562" s="10"/>
      <c r="BJ562" s="10"/>
    </row>
    <row r="563" spans="1:62" ht="10.199999999999999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BC563" s="10"/>
      <c r="BD563" s="10"/>
      <c r="BE563" s="10"/>
      <c r="BF563" s="10"/>
      <c r="BG563" s="10"/>
      <c r="BH563" s="10"/>
      <c r="BI563" s="10"/>
      <c r="BJ563" s="10"/>
    </row>
    <row r="564" spans="1:62" ht="10.199999999999999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BC564" s="10"/>
      <c r="BD564" s="10"/>
      <c r="BE564" s="10"/>
      <c r="BF564" s="10"/>
      <c r="BG564" s="10"/>
      <c r="BH564" s="10"/>
      <c r="BI564" s="10"/>
      <c r="BJ564" s="10"/>
    </row>
    <row r="565" spans="1:62" ht="10.199999999999999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BC565" s="10"/>
      <c r="BD565" s="10"/>
      <c r="BE565" s="10"/>
      <c r="BF565" s="10"/>
      <c r="BG565" s="10"/>
      <c r="BH565" s="10"/>
      <c r="BI565" s="10"/>
      <c r="BJ565" s="10"/>
    </row>
    <row r="566" spans="1:62" ht="10.199999999999999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BC566" s="10"/>
      <c r="BD566" s="10"/>
      <c r="BE566" s="10"/>
      <c r="BF566" s="10"/>
      <c r="BG566" s="10"/>
      <c r="BH566" s="10"/>
      <c r="BI566" s="10"/>
      <c r="BJ566" s="10"/>
    </row>
    <row r="567" spans="1:62" ht="10.199999999999999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BC567" s="10"/>
      <c r="BD567" s="10"/>
      <c r="BE567" s="10"/>
      <c r="BF567" s="10"/>
      <c r="BG567" s="10"/>
      <c r="BH567" s="10"/>
      <c r="BI567" s="10"/>
      <c r="BJ567" s="10"/>
    </row>
    <row r="568" spans="1:62" ht="10.199999999999999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BC568" s="10"/>
      <c r="BD568" s="10"/>
      <c r="BE568" s="10"/>
      <c r="BF568" s="10"/>
      <c r="BG568" s="10"/>
      <c r="BH568" s="10"/>
      <c r="BI568" s="10"/>
      <c r="BJ568" s="10"/>
    </row>
    <row r="569" spans="1:62" ht="10.199999999999999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BC569" s="10"/>
      <c r="BD569" s="10"/>
      <c r="BE569" s="10"/>
      <c r="BF569" s="10"/>
      <c r="BG569" s="10"/>
      <c r="BH569" s="10"/>
      <c r="BI569" s="10"/>
      <c r="BJ569" s="10"/>
    </row>
    <row r="570" spans="1:62" ht="10.199999999999999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BC570" s="10"/>
      <c r="BD570" s="10"/>
      <c r="BE570" s="10"/>
      <c r="BF570" s="10"/>
      <c r="BG570" s="10"/>
      <c r="BH570" s="10"/>
      <c r="BI570" s="10"/>
      <c r="BJ570" s="10"/>
    </row>
    <row r="571" spans="1:62" ht="10.199999999999999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BC571" s="10"/>
      <c r="BD571" s="10"/>
      <c r="BE571" s="10"/>
      <c r="BF571" s="10"/>
      <c r="BG571" s="10"/>
      <c r="BH571" s="10"/>
      <c r="BI571" s="10"/>
      <c r="BJ571" s="10"/>
    </row>
    <row r="572" spans="1:62" ht="10.199999999999999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BC572" s="10"/>
      <c r="BD572" s="10"/>
      <c r="BE572" s="10"/>
      <c r="BF572" s="10"/>
      <c r="BG572" s="10"/>
      <c r="BH572" s="10"/>
      <c r="BI572" s="10"/>
      <c r="BJ572" s="10"/>
    </row>
    <row r="573" spans="1:62" ht="10.199999999999999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BC573" s="10"/>
      <c r="BD573" s="10"/>
      <c r="BE573" s="10"/>
      <c r="BF573" s="10"/>
      <c r="BG573" s="10"/>
      <c r="BH573" s="10"/>
      <c r="BI573" s="10"/>
      <c r="BJ573" s="10"/>
    </row>
    <row r="574" spans="1:62" ht="10.199999999999999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BC574" s="10"/>
      <c r="BD574" s="10"/>
      <c r="BE574" s="10"/>
      <c r="BF574" s="10"/>
      <c r="BG574" s="10"/>
      <c r="BH574" s="10"/>
      <c r="BI574" s="10"/>
      <c r="BJ574" s="10"/>
    </row>
    <row r="575" spans="1:62" ht="10.199999999999999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BC575" s="10"/>
      <c r="BD575" s="10"/>
      <c r="BE575" s="10"/>
      <c r="BF575" s="10"/>
      <c r="BG575" s="10"/>
      <c r="BH575" s="10"/>
      <c r="BI575" s="10"/>
      <c r="BJ575" s="10"/>
    </row>
    <row r="576" spans="1:62" ht="10.199999999999999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BC576" s="10"/>
      <c r="BD576" s="10"/>
      <c r="BE576" s="10"/>
      <c r="BF576" s="10"/>
      <c r="BG576" s="10"/>
      <c r="BH576" s="10"/>
      <c r="BI576" s="10"/>
      <c r="BJ576" s="10"/>
    </row>
    <row r="577" spans="1:62" ht="10.199999999999999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BC577" s="10"/>
      <c r="BD577" s="10"/>
      <c r="BE577" s="10"/>
      <c r="BF577" s="10"/>
      <c r="BG577" s="10"/>
      <c r="BH577" s="10"/>
      <c r="BI577" s="10"/>
      <c r="BJ577" s="10"/>
    </row>
    <row r="578" spans="1:62" ht="10.199999999999999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BC578" s="10"/>
      <c r="BD578" s="10"/>
      <c r="BE578" s="10"/>
      <c r="BF578" s="10"/>
      <c r="BG578" s="10"/>
      <c r="BH578" s="10"/>
      <c r="BI578" s="10"/>
      <c r="BJ578" s="10"/>
    </row>
    <row r="579" spans="1:62" ht="10.199999999999999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BC579" s="10"/>
      <c r="BD579" s="10"/>
      <c r="BE579" s="10"/>
      <c r="BF579" s="10"/>
      <c r="BG579" s="10"/>
      <c r="BH579" s="10"/>
      <c r="BI579" s="10"/>
      <c r="BJ579" s="10"/>
    </row>
    <row r="580" spans="1:62" ht="10.199999999999999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BC580" s="10"/>
      <c r="BD580" s="10"/>
      <c r="BE580" s="10"/>
      <c r="BF580" s="10"/>
      <c r="BG580" s="10"/>
      <c r="BH580" s="10"/>
      <c r="BI580" s="10"/>
      <c r="BJ580" s="10"/>
    </row>
    <row r="581" spans="1:62" ht="10.199999999999999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BC581" s="10"/>
      <c r="BD581" s="10"/>
      <c r="BE581" s="10"/>
      <c r="BF581" s="10"/>
      <c r="BG581" s="10"/>
      <c r="BH581" s="10"/>
      <c r="BI581" s="10"/>
      <c r="BJ581" s="10"/>
    </row>
    <row r="582" spans="1:62" ht="10.199999999999999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BC582" s="10"/>
      <c r="BD582" s="10"/>
      <c r="BE582" s="10"/>
      <c r="BF582" s="10"/>
      <c r="BG582" s="10"/>
      <c r="BH582" s="10"/>
      <c r="BI582" s="10"/>
      <c r="BJ582" s="10"/>
    </row>
    <row r="583" spans="1:62" ht="10.199999999999999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BC583" s="10"/>
      <c r="BD583" s="10"/>
      <c r="BE583" s="10"/>
      <c r="BF583" s="10"/>
      <c r="BG583" s="10"/>
      <c r="BH583" s="10"/>
      <c r="BI583" s="10"/>
      <c r="BJ583" s="10"/>
    </row>
    <row r="584" spans="1:62" ht="10.199999999999999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BC584" s="10"/>
      <c r="BD584" s="10"/>
      <c r="BE584" s="10"/>
      <c r="BF584" s="10"/>
      <c r="BG584" s="10"/>
      <c r="BH584" s="10"/>
      <c r="BI584" s="10"/>
      <c r="BJ584" s="10"/>
    </row>
    <row r="585" spans="1:62" ht="10.199999999999999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BC585" s="10"/>
      <c r="BD585" s="10"/>
      <c r="BE585" s="10"/>
      <c r="BF585" s="10"/>
      <c r="BG585" s="10"/>
      <c r="BH585" s="10"/>
      <c r="BI585" s="10"/>
      <c r="BJ585" s="10"/>
    </row>
    <row r="586" spans="1:62" ht="10.199999999999999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BC586" s="10"/>
      <c r="BD586" s="10"/>
      <c r="BE586" s="10"/>
      <c r="BF586" s="10"/>
      <c r="BG586" s="10"/>
      <c r="BH586" s="10"/>
      <c r="BI586" s="10"/>
      <c r="BJ586" s="10"/>
    </row>
    <row r="587" spans="1:62" ht="10.199999999999999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BC587" s="10"/>
      <c r="BD587" s="10"/>
      <c r="BE587" s="10"/>
      <c r="BF587" s="10"/>
      <c r="BG587" s="10"/>
      <c r="BH587" s="10"/>
      <c r="BI587" s="10"/>
      <c r="BJ587" s="10"/>
    </row>
    <row r="588" spans="1:62" ht="10.199999999999999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BC588" s="10"/>
      <c r="BD588" s="10"/>
      <c r="BE588" s="10"/>
      <c r="BF588" s="10"/>
      <c r="BG588" s="10"/>
      <c r="BH588" s="10"/>
      <c r="BI588" s="10"/>
      <c r="BJ588" s="10"/>
    </row>
    <row r="589" spans="1:62" ht="10.199999999999999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BC589" s="10"/>
      <c r="BD589" s="10"/>
      <c r="BE589" s="10"/>
      <c r="BF589" s="10"/>
      <c r="BG589" s="10"/>
      <c r="BH589" s="10"/>
      <c r="BI589" s="10"/>
      <c r="BJ589" s="10"/>
    </row>
    <row r="590" spans="1:62" ht="10.199999999999999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BC590" s="10"/>
      <c r="BD590" s="10"/>
      <c r="BE590" s="10"/>
      <c r="BF590" s="10"/>
      <c r="BG590" s="10"/>
      <c r="BH590" s="10"/>
      <c r="BI590" s="10"/>
      <c r="BJ590" s="10"/>
    </row>
    <row r="591" spans="1:62" ht="10.199999999999999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BC591" s="10"/>
      <c r="BD591" s="10"/>
      <c r="BE591" s="10"/>
      <c r="BF591" s="10"/>
      <c r="BG591" s="10"/>
      <c r="BH591" s="10"/>
      <c r="BI591" s="10"/>
      <c r="BJ591" s="10"/>
    </row>
    <row r="592" spans="1:62" ht="10.199999999999999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BC592" s="10"/>
      <c r="BD592" s="10"/>
      <c r="BE592" s="10"/>
      <c r="BF592" s="10"/>
      <c r="BG592" s="10"/>
      <c r="BH592" s="10"/>
      <c r="BI592" s="10"/>
      <c r="BJ592" s="10"/>
    </row>
    <row r="593" spans="1:62" ht="10.199999999999999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BC593" s="10"/>
      <c r="BD593" s="10"/>
      <c r="BE593" s="10"/>
      <c r="BF593" s="10"/>
      <c r="BG593" s="10"/>
      <c r="BH593" s="10"/>
      <c r="BI593" s="10"/>
      <c r="BJ593" s="10"/>
    </row>
    <row r="594" spans="1:62" ht="10.199999999999999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BC594" s="10"/>
      <c r="BD594" s="10"/>
      <c r="BE594" s="10"/>
      <c r="BF594" s="10"/>
      <c r="BG594" s="10"/>
      <c r="BH594" s="10"/>
      <c r="BI594" s="10"/>
      <c r="BJ594" s="10"/>
    </row>
    <row r="595" spans="1:62" ht="10.199999999999999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BC595" s="10"/>
      <c r="BD595" s="10"/>
      <c r="BE595" s="10"/>
      <c r="BF595" s="10"/>
      <c r="BG595" s="10"/>
      <c r="BH595" s="10"/>
      <c r="BI595" s="10"/>
      <c r="BJ595" s="10"/>
    </row>
    <row r="596" spans="1:62" ht="10.199999999999999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BC596" s="10"/>
      <c r="BD596" s="10"/>
      <c r="BE596" s="10"/>
      <c r="BF596" s="10"/>
      <c r="BG596" s="10"/>
      <c r="BH596" s="10"/>
      <c r="BI596" s="10"/>
      <c r="BJ596" s="10"/>
    </row>
    <row r="597" spans="1:62" ht="10.199999999999999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BC597" s="10"/>
      <c r="BD597" s="10"/>
      <c r="BE597" s="10"/>
      <c r="BF597" s="10"/>
      <c r="BG597" s="10"/>
      <c r="BH597" s="10"/>
      <c r="BI597" s="10"/>
      <c r="BJ597" s="10"/>
    </row>
    <row r="598" spans="1:62" ht="10.199999999999999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BC598" s="10"/>
      <c r="BD598" s="10"/>
      <c r="BE598" s="10"/>
      <c r="BF598" s="10"/>
      <c r="BG598" s="10"/>
      <c r="BH598" s="10"/>
      <c r="BI598" s="10"/>
      <c r="BJ598" s="10"/>
    </row>
    <row r="599" spans="1:62" ht="10.199999999999999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BC599" s="10"/>
      <c r="BD599" s="10"/>
      <c r="BE599" s="10"/>
      <c r="BF599" s="10"/>
      <c r="BG599" s="10"/>
      <c r="BH599" s="10"/>
      <c r="BI599" s="10"/>
      <c r="BJ599" s="10"/>
    </row>
    <row r="600" spans="1:62" ht="10.199999999999999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BC600" s="10"/>
      <c r="BD600" s="10"/>
      <c r="BE600" s="10"/>
      <c r="BF600" s="10"/>
      <c r="BG600" s="10"/>
      <c r="BH600" s="10"/>
      <c r="BI600" s="10"/>
      <c r="BJ600" s="10"/>
    </row>
    <row r="601" spans="1:62" ht="10.199999999999999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BC601" s="10"/>
      <c r="BD601" s="10"/>
      <c r="BE601" s="10"/>
      <c r="BF601" s="10"/>
      <c r="BG601" s="10"/>
      <c r="BH601" s="10"/>
      <c r="BI601" s="10"/>
      <c r="BJ601" s="10"/>
    </row>
    <row r="602" spans="1:62" ht="10.199999999999999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BC602" s="10"/>
      <c r="BD602" s="10"/>
      <c r="BE602" s="10"/>
      <c r="BF602" s="10"/>
      <c r="BG602" s="10"/>
      <c r="BH602" s="10"/>
      <c r="BI602" s="10"/>
      <c r="BJ602" s="10"/>
    </row>
    <row r="603" spans="1:62" ht="10.199999999999999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BC603" s="10"/>
      <c r="BD603" s="10"/>
      <c r="BE603" s="10"/>
      <c r="BF603" s="10"/>
      <c r="BG603" s="10"/>
      <c r="BH603" s="10"/>
      <c r="BI603" s="10"/>
      <c r="BJ603" s="10"/>
    </row>
    <row r="604" spans="1:62" ht="10.199999999999999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BC604" s="10"/>
      <c r="BD604" s="10"/>
      <c r="BE604" s="10"/>
      <c r="BF604" s="10"/>
      <c r="BG604" s="10"/>
      <c r="BH604" s="10"/>
      <c r="BI604" s="10"/>
      <c r="BJ604" s="10"/>
    </row>
    <row r="605" spans="1:62" ht="10.199999999999999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BC605" s="10"/>
      <c r="BD605" s="10"/>
      <c r="BE605" s="10"/>
      <c r="BF605" s="10"/>
      <c r="BG605" s="10"/>
      <c r="BH605" s="10"/>
      <c r="BI605" s="10"/>
      <c r="BJ605" s="10"/>
    </row>
    <row r="606" spans="1:62" ht="10.199999999999999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BC606" s="10"/>
      <c r="BD606" s="10"/>
      <c r="BE606" s="10"/>
      <c r="BF606" s="10"/>
      <c r="BG606" s="10"/>
      <c r="BH606" s="10"/>
      <c r="BI606" s="10"/>
      <c r="BJ606" s="10"/>
    </row>
    <row r="607" spans="1:62" ht="10.199999999999999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BC607" s="10"/>
      <c r="BD607" s="10"/>
      <c r="BE607" s="10"/>
      <c r="BF607" s="10"/>
      <c r="BG607" s="10"/>
      <c r="BH607" s="10"/>
      <c r="BI607" s="10"/>
      <c r="BJ607" s="10"/>
    </row>
    <row r="608" spans="1:62" ht="10.199999999999999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BC608" s="10"/>
      <c r="BD608" s="10"/>
      <c r="BE608" s="10"/>
      <c r="BF608" s="10"/>
      <c r="BG608" s="10"/>
      <c r="BH608" s="10"/>
      <c r="BI608" s="10"/>
      <c r="BJ608" s="10"/>
    </row>
    <row r="609" spans="1:62" ht="10.199999999999999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BC609" s="10"/>
      <c r="BD609" s="10"/>
      <c r="BE609" s="10"/>
      <c r="BF609" s="10"/>
      <c r="BG609" s="10"/>
      <c r="BH609" s="10"/>
      <c r="BI609" s="10"/>
      <c r="BJ609" s="10"/>
    </row>
    <row r="610" spans="1:62" ht="10.199999999999999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BC610" s="10"/>
      <c r="BD610" s="10"/>
      <c r="BE610" s="10"/>
      <c r="BF610" s="10"/>
      <c r="BG610" s="10"/>
      <c r="BH610" s="10"/>
      <c r="BI610" s="10"/>
      <c r="BJ610" s="10"/>
    </row>
    <row r="611" spans="1:62" ht="10.199999999999999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BC611" s="10"/>
      <c r="BD611" s="10"/>
      <c r="BE611" s="10"/>
      <c r="BF611" s="10"/>
      <c r="BG611" s="10"/>
      <c r="BH611" s="10"/>
      <c r="BI611" s="10"/>
      <c r="BJ611" s="10"/>
    </row>
    <row r="612" spans="1:62" ht="10.199999999999999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BC612" s="10"/>
      <c r="BD612" s="10"/>
      <c r="BE612" s="10"/>
      <c r="BF612" s="10"/>
      <c r="BG612" s="10"/>
      <c r="BH612" s="10"/>
      <c r="BI612" s="10"/>
      <c r="BJ612" s="10"/>
    </row>
    <row r="613" spans="1:62" ht="10.199999999999999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BC613" s="10"/>
      <c r="BD613" s="10"/>
      <c r="BE613" s="10"/>
      <c r="BF613" s="10"/>
      <c r="BG613" s="10"/>
      <c r="BH613" s="10"/>
      <c r="BI613" s="10"/>
      <c r="BJ613" s="10"/>
    </row>
    <row r="614" spans="1:62" ht="10.199999999999999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BC614" s="10"/>
      <c r="BD614" s="10"/>
      <c r="BE614" s="10"/>
      <c r="BF614" s="10"/>
      <c r="BG614" s="10"/>
      <c r="BH614" s="10"/>
      <c r="BI614" s="10"/>
      <c r="BJ614" s="10"/>
    </row>
  </sheetData>
  <sheetProtection sheet="1" objects="1" scenarios="1"/>
  <sortState ref="A24:BK28">
    <sortCondition ref="AN24:AN28"/>
  </sortState>
  <pageMargins left="0.69930555555555596" right="0.69930555555555596" top="0.75" bottom="0.75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6"/>
  <sheetViews>
    <sheetView workbookViewId="0">
      <selection activeCell="L7" sqref="L7"/>
    </sheetView>
  </sheetViews>
  <sheetFormatPr defaultColWidth="9" defaultRowHeight="12"/>
  <cols>
    <col min="1" max="1" width="23.88671875" style="36" customWidth="1"/>
    <col min="2" max="2" width="6.77734375" style="36" customWidth="1"/>
    <col min="3" max="5" width="6.109375" style="37" customWidth="1"/>
    <col min="6" max="6" width="6.44140625" style="37" customWidth="1"/>
    <col min="7" max="7" width="6.88671875" style="37" customWidth="1"/>
    <col min="8" max="8" width="8.21875" style="37" customWidth="1"/>
    <col min="9" max="9" width="7.109375" style="37" customWidth="1"/>
    <col min="10" max="10" width="6.109375" style="37" customWidth="1"/>
    <col min="11" max="11" width="7.44140625" style="37" customWidth="1"/>
    <col min="12" max="12" width="7.88671875" style="38" customWidth="1"/>
    <col min="13" max="13" width="7.6640625" style="38" customWidth="1"/>
    <col min="14" max="14" width="16.44140625" style="36" customWidth="1"/>
    <col min="15" max="16384" width="9" style="36"/>
  </cols>
  <sheetData>
    <row r="1" spans="1:14" ht="21" customHeight="1">
      <c r="A1" s="48" t="s">
        <v>106</v>
      </c>
    </row>
    <row r="2" spans="1:14" ht="12" customHeight="1">
      <c r="A2" s="36" t="s">
        <v>104</v>
      </c>
    </row>
    <row r="3" spans="1:14" ht="12" customHeight="1">
      <c r="A3" s="36" t="s">
        <v>84</v>
      </c>
    </row>
    <row r="4" spans="1:14" ht="12" customHeight="1">
      <c r="A4" s="36" t="s">
        <v>157</v>
      </c>
    </row>
    <row r="5" spans="1:14" ht="12" customHeight="1">
      <c r="A5" s="36" t="s">
        <v>105</v>
      </c>
    </row>
    <row r="6" spans="1:14" ht="12" customHeight="1">
      <c r="A6" s="36" t="s">
        <v>145</v>
      </c>
    </row>
    <row r="7" spans="1:14" ht="12" customHeight="1">
      <c r="A7" s="58" t="s">
        <v>158</v>
      </c>
    </row>
    <row r="8" spans="1:14" ht="12" customHeight="1">
      <c r="A8" s="36" t="s">
        <v>107</v>
      </c>
    </row>
    <row r="9" spans="1:14" ht="12" customHeight="1">
      <c r="A9" s="36" t="s">
        <v>108</v>
      </c>
    </row>
    <row r="10" spans="1:14" ht="12.6" customHeight="1">
      <c r="A10" s="57"/>
      <c r="B10" s="44" t="s">
        <v>85</v>
      </c>
      <c r="C10" s="44" t="s">
        <v>159</v>
      </c>
      <c r="D10" s="44" t="s">
        <v>155</v>
      </c>
      <c r="E10" s="44" t="s">
        <v>99</v>
      </c>
      <c r="F10" s="44" t="s">
        <v>138</v>
      </c>
      <c r="G10" s="44" t="s">
        <v>88</v>
      </c>
      <c r="H10" s="44" t="s">
        <v>89</v>
      </c>
      <c r="I10" s="44" t="s">
        <v>156</v>
      </c>
      <c r="J10" s="39" t="s">
        <v>94</v>
      </c>
      <c r="K10" s="41" t="s">
        <v>56</v>
      </c>
      <c r="L10" s="42" t="s">
        <v>94</v>
      </c>
      <c r="M10" s="42" t="s">
        <v>141</v>
      </c>
    </row>
    <row r="11" spans="1:14" ht="12.6" customHeight="1">
      <c r="A11" s="57" t="s">
        <v>153</v>
      </c>
      <c r="B11" s="52">
        <v>7.4200400000000002</v>
      </c>
      <c r="C11" s="45">
        <v>7021.83</v>
      </c>
      <c r="D11" s="53">
        <v>128.68899999999999</v>
      </c>
      <c r="E11" s="45">
        <f>+(906  +1418)/2</f>
        <v>1162</v>
      </c>
      <c r="F11" s="45">
        <v>1.8452299999999999</v>
      </c>
      <c r="G11" s="52">
        <v>7.4200400000000002</v>
      </c>
      <c r="H11" s="45">
        <v>7021.83</v>
      </c>
      <c r="I11" s="53">
        <v>128.68899999999999</v>
      </c>
      <c r="J11" s="47">
        <v>250</v>
      </c>
      <c r="K11" s="43">
        <f t="shared" ref="K11:K31" si="0">IF(J11&lt;E11,(10^(B11-(C11/(D11+J11))))/760*14.696-14.696,(10^(G11-(H11/(I11+J11))))/760*14.696-14.696)</f>
        <v>-14.695999999999854</v>
      </c>
      <c r="L11" s="42">
        <f t="shared" ref="L11:L31" si="1">IF((K11+14.696)&lt;F11,C11/(-(LOG10((K11+14.696)*760/14.696)-B11))-D11,H11/(-(LOG10((K11+14.696)*760/14.696)-G11))-I11)</f>
        <v>249.98754333707868</v>
      </c>
      <c r="M11" s="42">
        <f t="shared" ref="M11:M33" si="2">+K11+14.696</f>
        <v>1.4566126083082054E-13</v>
      </c>
      <c r="N11" s="36" t="s">
        <v>154</v>
      </c>
    </row>
    <row r="12" spans="1:14" ht="12" customHeight="1">
      <c r="A12" s="57" t="s">
        <v>147</v>
      </c>
      <c r="B12" s="52">
        <v>8.0776299999999992</v>
      </c>
      <c r="C12" s="45">
        <v>2603.2600000000002</v>
      </c>
      <c r="D12" s="53">
        <v>282.76900000000001</v>
      </c>
      <c r="E12" s="54">
        <f>+(216+218)/2</f>
        <v>217</v>
      </c>
      <c r="F12" s="45">
        <f>+(14.2918  +14.378)/2</f>
        <v>14.334900000000001</v>
      </c>
      <c r="G12" s="52">
        <v>7.2286799999999998</v>
      </c>
      <c r="H12" s="45">
        <v>1947.89</v>
      </c>
      <c r="I12" s="53">
        <v>230.03399999999999</v>
      </c>
      <c r="J12" s="40">
        <f>+J$11</f>
        <v>250</v>
      </c>
      <c r="K12" s="43">
        <f t="shared" si="0"/>
        <v>13.962193653802801</v>
      </c>
      <c r="L12" s="42">
        <f t="shared" si="1"/>
        <v>250</v>
      </c>
      <c r="M12" s="42">
        <f t="shared" si="2"/>
        <v>28.658193653802801</v>
      </c>
      <c r="N12" s="36" t="s">
        <v>148</v>
      </c>
    </row>
    <row r="13" spans="1:14" ht="12" customHeight="1">
      <c r="A13" s="57" t="s">
        <v>120</v>
      </c>
      <c r="B13" s="52">
        <v>7.9248399999999997</v>
      </c>
      <c r="C13" s="45">
        <v>1617.52</v>
      </c>
      <c r="D13" s="53">
        <v>203.29599999999999</v>
      </c>
      <c r="E13" s="54">
        <f>+(118+118)/2</f>
        <v>118</v>
      </c>
      <c r="F13" s="45">
        <f>+(15.0267  +14.8752)/2</f>
        <v>14.950949999999999</v>
      </c>
      <c r="G13" s="52">
        <v>7.9306799999999997</v>
      </c>
      <c r="H13" s="45">
        <v>1738.4</v>
      </c>
      <c r="I13" s="53">
        <v>226.60599999999999</v>
      </c>
      <c r="J13" s="40">
        <f t="shared" ref="J13:J31" si="3">+J$11</f>
        <v>250</v>
      </c>
      <c r="K13" s="43">
        <f t="shared" si="0"/>
        <v>356.50430312472128</v>
      </c>
      <c r="L13" s="42">
        <f t="shared" si="1"/>
        <v>250.00000000000006</v>
      </c>
      <c r="M13" s="42">
        <f t="shared" si="2"/>
        <v>371.2003031247213</v>
      </c>
      <c r="N13" s="36" t="s">
        <v>119</v>
      </c>
    </row>
    <row r="14" spans="1:14" ht="12" customHeight="1">
      <c r="A14" s="57" t="s">
        <v>121</v>
      </c>
      <c r="B14" s="52">
        <v>8.0713100000000004</v>
      </c>
      <c r="C14" s="45">
        <v>1730.63</v>
      </c>
      <c r="D14" s="53">
        <v>233.42599999999999</v>
      </c>
      <c r="E14" s="54">
        <f>+(99+100)/2</f>
        <v>99.5</v>
      </c>
      <c r="F14" s="45">
        <f>+(14.4362+14.5206)/2</f>
        <v>14.478400000000001</v>
      </c>
      <c r="G14" s="52">
        <v>8.1401900000000005</v>
      </c>
      <c r="H14" s="45">
        <v>1810.94</v>
      </c>
      <c r="I14" s="53">
        <v>244.48500000000001</v>
      </c>
      <c r="J14" s="40">
        <f t="shared" si="3"/>
        <v>250</v>
      </c>
      <c r="K14" s="43">
        <f t="shared" si="0"/>
        <v>566.47061576906117</v>
      </c>
      <c r="L14" s="42">
        <f t="shared" si="1"/>
        <v>250.00000000000006</v>
      </c>
      <c r="M14" s="42">
        <f t="shared" si="2"/>
        <v>581.1666157690612</v>
      </c>
    </row>
    <row r="15" spans="1:14" ht="12" customHeight="1">
      <c r="A15" s="57" t="s">
        <v>136</v>
      </c>
      <c r="B15" s="52">
        <v>7.2386100000000004</v>
      </c>
      <c r="C15" s="45">
        <v>1455.24</v>
      </c>
      <c r="D15" s="53">
        <v>236.45400000000001</v>
      </c>
      <c r="E15" s="54">
        <v>0</v>
      </c>
      <c r="F15" s="45">
        <f>0.234727</f>
        <v>0.23472699999999999</v>
      </c>
      <c r="G15" s="52">
        <v>7.2386100000000004</v>
      </c>
      <c r="H15" s="45">
        <v>1455.24</v>
      </c>
      <c r="I15" s="53">
        <v>236.45400000000001</v>
      </c>
      <c r="J15" s="40">
        <f t="shared" si="3"/>
        <v>250</v>
      </c>
      <c r="K15" s="43">
        <f t="shared" si="0"/>
        <v>326.86566101366742</v>
      </c>
      <c r="L15" s="42">
        <f t="shared" si="1"/>
        <v>250.00000000000023</v>
      </c>
      <c r="M15" s="42">
        <f t="shared" si="2"/>
        <v>341.56166101366745</v>
      </c>
    </row>
    <row r="16" spans="1:14" ht="12" customHeight="1">
      <c r="A16" s="57" t="s">
        <v>135</v>
      </c>
      <c r="B16" s="52">
        <v>6.8514600000000003</v>
      </c>
      <c r="C16" s="45">
        <v>1206.47</v>
      </c>
      <c r="D16" s="53">
        <v>223.136</v>
      </c>
      <c r="E16" s="54">
        <f>+(79+81)/2</f>
        <v>80</v>
      </c>
      <c r="F16" s="45">
        <f>+(14.3841 + 14.3774)/2</f>
        <v>14.380749999999999</v>
      </c>
      <c r="G16" s="52">
        <v>7.0992600000000001</v>
      </c>
      <c r="H16" s="45">
        <v>1380.54</v>
      </c>
      <c r="I16" s="53">
        <v>246.52600000000001</v>
      </c>
      <c r="J16" s="40">
        <f t="shared" si="3"/>
        <v>250</v>
      </c>
      <c r="K16" s="43">
        <f t="shared" si="0"/>
        <v>388.25045958521287</v>
      </c>
      <c r="L16" s="42">
        <f t="shared" si="1"/>
        <v>250.00000000000011</v>
      </c>
      <c r="M16" s="42">
        <f t="shared" si="2"/>
        <v>402.94645958521289</v>
      </c>
      <c r="N16" s="36" t="s">
        <v>137</v>
      </c>
    </row>
    <row r="17" spans="1:14" ht="12" customHeight="1">
      <c r="A17" s="57" t="s">
        <v>91</v>
      </c>
      <c r="B17" s="52">
        <v>6.8798700000000004</v>
      </c>
      <c r="C17" s="45">
        <v>1196.76</v>
      </c>
      <c r="D17" s="53">
        <v>219.161</v>
      </c>
      <c r="E17" s="54">
        <f>+(80+80)/2</f>
        <v>80</v>
      </c>
      <c r="F17" s="45">
        <f>+(14.651 +14.8316)/2</f>
        <v>14.741299999999999</v>
      </c>
      <c r="G17" s="52">
        <v>7.2008999999999999</v>
      </c>
      <c r="H17" s="45">
        <v>1415.8</v>
      </c>
      <c r="I17" s="53">
        <v>248.02799999999999</v>
      </c>
      <c r="J17" s="40">
        <f t="shared" si="3"/>
        <v>250</v>
      </c>
      <c r="K17" s="43">
        <f t="shared" si="0"/>
        <v>426.33945126989414</v>
      </c>
      <c r="L17" s="42">
        <f t="shared" si="1"/>
        <v>250.00000000000009</v>
      </c>
      <c r="M17" s="42">
        <f t="shared" si="2"/>
        <v>441.03545126989417</v>
      </c>
      <c r="N17" s="36" t="s">
        <v>124</v>
      </c>
    </row>
    <row r="18" spans="1:14" ht="12" customHeight="1">
      <c r="A18" s="57" t="s">
        <v>151</v>
      </c>
      <c r="B18" s="52">
        <v>7.1571100000000003</v>
      </c>
      <c r="C18" s="45">
        <v>1080.55</v>
      </c>
      <c r="D18" s="53">
        <v>170.15199999999999</v>
      </c>
      <c r="E18" s="54">
        <v>100</v>
      </c>
      <c r="F18" s="45">
        <v>27.778400000000001</v>
      </c>
      <c r="G18" s="52">
        <v>7.1571100000000003</v>
      </c>
      <c r="H18" s="45">
        <v>1080.55</v>
      </c>
      <c r="I18" s="53">
        <v>170.15199999999999</v>
      </c>
      <c r="J18" s="40">
        <f t="shared" si="3"/>
        <v>250</v>
      </c>
      <c r="K18" s="43">
        <f t="shared" si="0"/>
        <v>729.50149717543832</v>
      </c>
      <c r="L18" s="42">
        <f t="shared" si="1"/>
        <v>250</v>
      </c>
      <c r="M18" s="42">
        <f t="shared" si="2"/>
        <v>744.19749717543834</v>
      </c>
      <c r="N18" s="36" t="s">
        <v>152</v>
      </c>
    </row>
    <row r="19" spans="1:14" ht="12" customHeight="1">
      <c r="A19" s="57" t="s">
        <v>117</v>
      </c>
      <c r="B19" s="52">
        <v>8.0030800000000006</v>
      </c>
      <c r="C19" s="45">
        <v>1505.52</v>
      </c>
      <c r="D19" s="53">
        <v>211.6</v>
      </c>
      <c r="E19" s="54">
        <f>+(83+90)/2</f>
        <v>86.5</v>
      </c>
      <c r="F19" s="45">
        <f>+(17.3412  +17.1729)/2</f>
        <v>17.25705</v>
      </c>
      <c r="G19" s="52">
        <v>7.9584000000000001</v>
      </c>
      <c r="H19" s="45">
        <v>1519.66</v>
      </c>
      <c r="I19" s="53">
        <v>216.82900000000001</v>
      </c>
      <c r="J19" s="40">
        <f t="shared" si="3"/>
        <v>250</v>
      </c>
      <c r="K19" s="43">
        <f t="shared" si="0"/>
        <v>961.42495999760195</v>
      </c>
      <c r="L19" s="42">
        <f t="shared" si="1"/>
        <v>250.00000000000011</v>
      </c>
      <c r="M19" s="42">
        <f t="shared" si="2"/>
        <v>976.12095999760197</v>
      </c>
      <c r="N19" s="36" t="s">
        <v>122</v>
      </c>
    </row>
    <row r="20" spans="1:14" ht="12" customHeight="1">
      <c r="A20" s="57" t="s">
        <v>93</v>
      </c>
      <c r="B20" s="52">
        <v>8.2041699999999995</v>
      </c>
      <c r="C20" s="45">
        <v>1642.89</v>
      </c>
      <c r="D20" s="53">
        <v>230.3</v>
      </c>
      <c r="E20" s="55">
        <f>+(77+80)/2</f>
        <v>78.5</v>
      </c>
      <c r="F20" s="46">
        <f>+(14.8018 +14.8206)/2</f>
        <v>14.811199999999999</v>
      </c>
      <c r="G20" s="52">
        <v>7.6811699999999998</v>
      </c>
      <c r="H20" s="45">
        <v>1332.04</v>
      </c>
      <c r="I20" s="53">
        <v>199.2</v>
      </c>
      <c r="J20" s="40">
        <f t="shared" si="3"/>
        <v>250</v>
      </c>
      <c r="K20" s="43">
        <f t="shared" si="0"/>
        <v>990.37075959606773</v>
      </c>
      <c r="L20" s="42">
        <f t="shared" si="1"/>
        <v>250.00000000000017</v>
      </c>
      <c r="M20" s="42">
        <f t="shared" si="2"/>
        <v>1005.0667595960678</v>
      </c>
      <c r="N20" s="36" t="s">
        <v>123</v>
      </c>
    </row>
    <row r="21" spans="1:14" ht="12.6" customHeight="1">
      <c r="A21" s="57" t="s">
        <v>97</v>
      </c>
      <c r="B21" s="52">
        <v>7.01051</v>
      </c>
      <c r="C21" s="45">
        <v>1246.33</v>
      </c>
      <c r="D21" s="53">
        <v>232.988</v>
      </c>
      <c r="E21" s="54">
        <f>+(0+0)/2</f>
        <v>0</v>
      </c>
      <c r="F21" s="45">
        <f>0.886263</f>
        <v>0.88626300000000002</v>
      </c>
      <c r="G21" s="52">
        <v>7.01051</v>
      </c>
      <c r="H21" s="45">
        <v>1246.33</v>
      </c>
      <c r="I21" s="53">
        <v>232.988</v>
      </c>
      <c r="J21" s="40">
        <f t="shared" si="3"/>
        <v>250</v>
      </c>
      <c r="K21" s="43">
        <f t="shared" si="0"/>
        <v>505.82477236074453</v>
      </c>
      <c r="L21" s="42">
        <f t="shared" si="1"/>
        <v>249.99999999999994</v>
      </c>
      <c r="M21" s="42">
        <f t="shared" si="2"/>
        <v>520.52077236074456</v>
      </c>
      <c r="N21" s="36" t="s">
        <v>126</v>
      </c>
    </row>
    <row r="22" spans="1:14" ht="12.6" customHeight="1">
      <c r="A22" s="57" t="s">
        <v>139</v>
      </c>
      <c r="B22" s="52">
        <v>6.9951499999999998</v>
      </c>
      <c r="C22" s="45">
        <v>1202.29</v>
      </c>
      <c r="D22" s="53">
        <v>226.25399999999999</v>
      </c>
      <c r="E22" s="55">
        <f>+(121+100)/2</f>
        <v>110.5</v>
      </c>
      <c r="F22" s="46">
        <f>+(30.8311+78.7962)/2</f>
        <v>54.813649999999996</v>
      </c>
      <c r="G22" s="52">
        <v>7.4272499999999999</v>
      </c>
      <c r="H22" s="45">
        <v>1532.81</v>
      </c>
      <c r="I22" s="53">
        <v>272.08100000000002</v>
      </c>
      <c r="J22" s="40">
        <f t="shared" si="3"/>
        <v>250</v>
      </c>
      <c r="K22" s="43">
        <f t="shared" si="0"/>
        <v>584.64433576247359</v>
      </c>
      <c r="L22" s="42">
        <f t="shared" si="1"/>
        <v>250.00000000000011</v>
      </c>
      <c r="M22" s="42">
        <f t="shared" si="2"/>
        <v>599.34033576247361</v>
      </c>
      <c r="N22" s="36" t="s">
        <v>140</v>
      </c>
    </row>
    <row r="23" spans="1:14" ht="12.6" customHeight="1">
      <c r="A23" s="57" t="s">
        <v>133</v>
      </c>
      <c r="B23" s="52">
        <v>6.9641000000000002</v>
      </c>
      <c r="C23" s="45">
        <v>1207.3</v>
      </c>
      <c r="D23" s="53">
        <v>232.154</v>
      </c>
      <c r="E23" s="55">
        <f>+(62+100)/2</f>
        <v>81</v>
      </c>
      <c r="F23" s="46">
        <f>+(24.8423  +25.2596)/2</f>
        <v>25.05095</v>
      </c>
      <c r="G23" s="52">
        <v>6.8115899999999998</v>
      </c>
      <c r="H23" s="45">
        <v>1073.08</v>
      </c>
      <c r="I23" s="53">
        <v>209.37100000000001</v>
      </c>
      <c r="J23" s="40">
        <f t="shared" si="3"/>
        <v>250</v>
      </c>
      <c r="K23" s="43">
        <f t="shared" si="0"/>
        <v>563.39838079000606</v>
      </c>
      <c r="L23" s="42">
        <f t="shared" si="1"/>
        <v>250.00000000000026</v>
      </c>
      <c r="M23" s="42">
        <f t="shared" si="2"/>
        <v>578.09438079000608</v>
      </c>
      <c r="N23" s="36" t="s">
        <v>134</v>
      </c>
    </row>
    <row r="24" spans="1:14" ht="12.6" customHeight="1">
      <c r="A24" s="57" t="s">
        <v>149</v>
      </c>
      <c r="B24" s="52">
        <v>6.95465</v>
      </c>
      <c r="C24" s="45">
        <v>1170.97</v>
      </c>
      <c r="D24" s="53">
        <v>226.232</v>
      </c>
      <c r="E24" s="55">
        <f>+(60+61)/2</f>
        <v>60.5</v>
      </c>
      <c r="F24" s="46">
        <f>+(11.3734  +15.4306)/2</f>
        <v>13.402000000000001</v>
      </c>
      <c r="G24" s="52">
        <v>7.4477700000000002</v>
      </c>
      <c r="H24" s="45">
        <v>1488.99</v>
      </c>
      <c r="I24" s="53">
        <v>264.91500000000002</v>
      </c>
      <c r="J24" s="40">
        <f t="shared" si="3"/>
        <v>250</v>
      </c>
      <c r="K24" s="43">
        <f t="shared" si="0"/>
        <v>681.02571427064333</v>
      </c>
      <c r="L24" s="42">
        <f t="shared" si="1"/>
        <v>250.00000000000006</v>
      </c>
      <c r="M24" s="42">
        <f t="shared" si="2"/>
        <v>695.72171427064336</v>
      </c>
      <c r="N24" s="36" t="s">
        <v>150</v>
      </c>
    </row>
    <row r="25" spans="1:14" ht="12.6" customHeight="1">
      <c r="A25" s="57" t="s">
        <v>96</v>
      </c>
      <c r="B25" s="52">
        <v>8.0809700000000007</v>
      </c>
      <c r="C25" s="45">
        <v>1582.27</v>
      </c>
      <c r="D25" s="53">
        <v>239.7</v>
      </c>
      <c r="E25" s="54">
        <f>+(65+100)/2</f>
        <v>82.5</v>
      </c>
      <c r="F25" s="45">
        <f>+(28.6103 +28.1884)/2</f>
        <v>28.399349999999998</v>
      </c>
      <c r="G25" s="52">
        <v>7.9701000000000004</v>
      </c>
      <c r="H25" s="45">
        <v>1521.23</v>
      </c>
      <c r="I25" s="53">
        <v>234</v>
      </c>
      <c r="J25" s="40">
        <f t="shared" si="3"/>
        <v>250</v>
      </c>
      <c r="K25" s="43">
        <f t="shared" si="0"/>
        <v>1283.8231563811055</v>
      </c>
      <c r="L25" s="42">
        <f t="shared" si="1"/>
        <v>250.00000000000006</v>
      </c>
      <c r="M25" s="42">
        <f t="shared" si="2"/>
        <v>1298.5191563811054</v>
      </c>
      <c r="N25" s="36" t="s">
        <v>125</v>
      </c>
    </row>
    <row r="26" spans="1:14" ht="12.6" customHeight="1">
      <c r="A26" s="57" t="s">
        <v>92</v>
      </c>
      <c r="B26" s="52">
        <v>7.1326999999999998</v>
      </c>
      <c r="C26" s="45">
        <v>1219.97</v>
      </c>
      <c r="D26" s="53">
        <v>230.65299999999999</v>
      </c>
      <c r="E26" s="55">
        <f>+(57+70)/2</f>
        <v>63.5</v>
      </c>
      <c r="F26" s="46">
        <f>+(18.6932+18.5197)/2</f>
        <v>18.606450000000002</v>
      </c>
      <c r="G26" s="52">
        <v>7.6313000000000004</v>
      </c>
      <c r="H26" s="45">
        <v>1566.69</v>
      </c>
      <c r="I26" s="53">
        <v>273.41899999999998</v>
      </c>
      <c r="J26" s="40">
        <f t="shared" si="3"/>
        <v>250</v>
      </c>
      <c r="K26" s="43">
        <f t="shared" si="0"/>
        <v>825.73170189591053</v>
      </c>
      <c r="L26" s="42">
        <f t="shared" si="1"/>
        <v>250.00000000000011</v>
      </c>
      <c r="M26" s="42">
        <f t="shared" si="2"/>
        <v>840.42770189591056</v>
      </c>
      <c r="N26" s="36" t="s">
        <v>127</v>
      </c>
    </row>
    <row r="27" spans="1:14" ht="12.6" customHeight="1">
      <c r="A27" s="57" t="s">
        <v>142</v>
      </c>
      <c r="B27" s="52">
        <v>6.9655899999999997</v>
      </c>
      <c r="C27" s="45">
        <v>1071.54</v>
      </c>
      <c r="D27" s="53">
        <v>227.774</v>
      </c>
      <c r="E27" s="55">
        <v>25</v>
      </c>
      <c r="F27" s="46">
        <v>10.3003</v>
      </c>
      <c r="G27" s="52">
        <v>6.9655899999999997</v>
      </c>
      <c r="H27" s="45">
        <v>1071.54</v>
      </c>
      <c r="I27" s="53">
        <v>227.774</v>
      </c>
      <c r="J27" s="40">
        <f t="shared" si="3"/>
        <v>250</v>
      </c>
      <c r="K27" s="43">
        <f t="shared" si="0"/>
        <v>1006.7129944613737</v>
      </c>
      <c r="L27" s="42">
        <f t="shared" si="1"/>
        <v>250.00000000000023</v>
      </c>
      <c r="M27" s="42">
        <f t="shared" si="2"/>
        <v>1021.4089944613737</v>
      </c>
      <c r="N27" s="36" t="s">
        <v>143</v>
      </c>
    </row>
    <row r="28" spans="1:14" ht="12.6" customHeight="1">
      <c r="A28" s="57" t="s">
        <v>98</v>
      </c>
      <c r="B28" s="52">
        <v>6.8536400000000004</v>
      </c>
      <c r="C28" s="45">
        <v>933.59</v>
      </c>
      <c r="D28" s="53">
        <v>239.511</v>
      </c>
      <c r="E28" s="54">
        <f>+(-5-2)/2</f>
        <v>-3.5</v>
      </c>
      <c r="F28" s="45">
        <v>12.4211626298</v>
      </c>
      <c r="G28" s="52">
        <v>7.0061299999999997</v>
      </c>
      <c r="H28" s="45">
        <v>999.04</v>
      </c>
      <c r="I28" s="53">
        <v>245.86600000000001</v>
      </c>
      <c r="J28" s="40">
        <f t="shared" si="3"/>
        <v>250</v>
      </c>
      <c r="K28" s="43">
        <f t="shared" si="0"/>
        <v>1881.0393061418349</v>
      </c>
      <c r="L28" s="42">
        <f t="shared" si="1"/>
        <v>250.00000000000026</v>
      </c>
      <c r="M28" s="42">
        <f t="shared" si="2"/>
        <v>1895.7353061418348</v>
      </c>
      <c r="N28" s="36" t="s">
        <v>118</v>
      </c>
    </row>
    <row r="29" spans="1:14" ht="12.6" customHeight="1">
      <c r="A29" s="57" t="s">
        <v>144</v>
      </c>
      <c r="B29" s="52">
        <v>7.1073599999999999</v>
      </c>
      <c r="C29" s="45">
        <v>946.89</v>
      </c>
      <c r="D29" s="53">
        <v>248.64500000000001</v>
      </c>
      <c r="E29" s="54">
        <v>50</v>
      </c>
      <c r="F29" s="45">
        <v>167.15700000000001</v>
      </c>
      <c r="G29" s="52">
        <v>7.1073599999999999</v>
      </c>
      <c r="H29" s="45">
        <v>946.89</v>
      </c>
      <c r="I29" s="53">
        <v>248.64500000000001</v>
      </c>
      <c r="J29" s="40">
        <f t="shared" si="3"/>
        <v>250</v>
      </c>
      <c r="K29" s="43">
        <f t="shared" si="0"/>
        <v>3110.0841082251377</v>
      </c>
      <c r="L29" s="42">
        <f t="shared" si="1"/>
        <v>250.00000000000009</v>
      </c>
      <c r="M29" s="42">
        <f t="shared" si="2"/>
        <v>3124.7801082251376</v>
      </c>
      <c r="N29" s="36" t="s">
        <v>146</v>
      </c>
    </row>
    <row r="30" spans="1:14" ht="12.6" customHeight="1">
      <c r="A30" s="57" t="s">
        <v>95</v>
      </c>
      <c r="B30" s="52">
        <v>6.3415900000000001</v>
      </c>
      <c r="C30" s="45">
        <v>342.22</v>
      </c>
      <c r="D30" s="53">
        <v>260.221</v>
      </c>
      <c r="E30" s="54">
        <f>+(-162-163)/2</f>
        <v>-162.5</v>
      </c>
      <c r="F30" s="45">
        <f>+(12.8219  +13.9312)/2</f>
        <v>13.37655</v>
      </c>
      <c r="G30" s="52">
        <v>6.7020999999999997</v>
      </c>
      <c r="H30" s="45">
        <v>394.48</v>
      </c>
      <c r="I30" s="53">
        <v>264.60899999999998</v>
      </c>
      <c r="J30" s="40">
        <f t="shared" si="3"/>
        <v>250</v>
      </c>
      <c r="K30" s="43">
        <f t="shared" si="0"/>
        <v>16654.819465296558</v>
      </c>
      <c r="L30" s="42">
        <f t="shared" si="1"/>
        <v>249.99999999999994</v>
      </c>
      <c r="M30" s="42">
        <f t="shared" si="2"/>
        <v>16669.515465296558</v>
      </c>
      <c r="N30" s="36" t="s">
        <v>128</v>
      </c>
    </row>
    <row r="31" spans="1:14" ht="12.6" customHeight="1">
      <c r="A31" s="57" t="s">
        <v>153</v>
      </c>
      <c r="B31" s="52">
        <v>7.4200400000000002</v>
      </c>
      <c r="C31" s="45">
        <v>7021.83</v>
      </c>
      <c r="D31" s="53">
        <v>128.68899999999999</v>
      </c>
      <c r="E31" s="45">
        <f>+(906  +1418)/2</f>
        <v>1162</v>
      </c>
      <c r="F31" s="45">
        <v>1.8452299999999999</v>
      </c>
      <c r="G31" s="52">
        <v>7.4200400000000002</v>
      </c>
      <c r="H31" s="45">
        <v>7021.83</v>
      </c>
      <c r="I31" s="53">
        <v>128.68899999999999</v>
      </c>
      <c r="J31" s="40">
        <f t="shared" si="3"/>
        <v>250</v>
      </c>
      <c r="K31" s="43">
        <f t="shared" si="0"/>
        <v>-14.695999999999854</v>
      </c>
      <c r="L31" s="42">
        <f t="shared" si="1"/>
        <v>249.98754333707868</v>
      </c>
      <c r="M31" s="42">
        <f t="shared" si="2"/>
        <v>1.4566126083082054E-13</v>
      </c>
      <c r="N31" s="36" t="s">
        <v>154</v>
      </c>
    </row>
    <row r="32" spans="1:14" ht="12.6" customHeight="1">
      <c r="A32" s="57"/>
      <c r="B32" s="52"/>
      <c r="C32" s="45"/>
      <c r="D32" s="53"/>
      <c r="E32" s="45"/>
      <c r="F32" s="45"/>
      <c r="G32" s="52"/>
      <c r="H32" s="45"/>
      <c r="I32" s="53"/>
      <c r="J32" s="40"/>
      <c r="K32" s="43"/>
      <c r="L32" s="42"/>
      <c r="M32" s="42"/>
    </row>
    <row r="33" spans="1:14" ht="12.6" customHeight="1">
      <c r="A33" s="57" t="s">
        <v>111</v>
      </c>
      <c r="B33" s="52">
        <v>6.8097254367</v>
      </c>
      <c r="C33" s="45">
        <v>782.072</v>
      </c>
      <c r="D33" s="53">
        <f>-37.773+273.15</f>
        <v>235.37699999999998</v>
      </c>
      <c r="E33" s="45">
        <v>0</v>
      </c>
      <c r="F33" s="45">
        <v>44.66</v>
      </c>
      <c r="G33" s="52">
        <v>6.8097254367</v>
      </c>
      <c r="H33" s="45">
        <v>782.072</v>
      </c>
      <c r="I33" s="53">
        <f>-37.773+273.15</f>
        <v>235.37699999999998</v>
      </c>
      <c r="J33" s="40">
        <v>-100</v>
      </c>
      <c r="K33" s="43">
        <f>IF(J33&lt;E33,(10^(B33-(C33/(D33+J33))))/760*14.696-14.696,(10^(G33-(H33/(I33+J33))))/760*14.696-14.696)</f>
        <v>-14.487494339325877</v>
      </c>
      <c r="L33" s="42" t="e">
        <f>C33/(-(LOG10((K33))-B33))-D33</f>
        <v>#NUM!</v>
      </c>
      <c r="M33" s="42">
        <f t="shared" si="2"/>
        <v>0.20850566067412224</v>
      </c>
      <c r="N33" s="36" t="s">
        <v>161</v>
      </c>
    </row>
    <row r="34" spans="1:14" ht="12.6" customHeight="1">
      <c r="B34" s="52"/>
      <c r="C34" s="45"/>
      <c r="D34" s="53"/>
      <c r="E34" s="54"/>
      <c r="F34" s="45"/>
      <c r="G34" s="52"/>
      <c r="H34" s="45"/>
      <c r="I34" s="53"/>
      <c r="K34" s="43"/>
      <c r="L34" s="42"/>
      <c r="M34" s="42"/>
    </row>
    <row r="35" spans="1:14" ht="12.6" customHeight="1">
      <c r="A35" s="36" t="s">
        <v>115</v>
      </c>
    </row>
    <row r="36" spans="1:14" ht="12.6" customHeight="1">
      <c r="A36" s="36" t="s">
        <v>111</v>
      </c>
      <c r="B36" s="36" t="s">
        <v>109</v>
      </c>
      <c r="N36" s="36" t="s">
        <v>129</v>
      </c>
    </row>
    <row r="37" spans="1:14" ht="12.6" customHeight="1">
      <c r="A37" s="36" t="s">
        <v>111</v>
      </c>
      <c r="B37" s="36">
        <v>3.8110900000000001</v>
      </c>
      <c r="C37" s="37">
        <v>782.072</v>
      </c>
      <c r="D37" s="37">
        <f>-37.773+273.15</f>
        <v>235.37699999999998</v>
      </c>
      <c r="E37" s="37">
        <v>-74.099999999999994</v>
      </c>
      <c r="G37" s="36">
        <v>3.8110900000000001</v>
      </c>
      <c r="H37" s="37">
        <v>782.072</v>
      </c>
      <c r="I37" s="37">
        <f>+-37.773-273.15</f>
        <v>-310.923</v>
      </c>
      <c r="J37" s="40">
        <v>0</v>
      </c>
      <c r="K37" s="43">
        <f>(10^(B37-(C37/(D37+J37))))*100</f>
        <v>307.93169913590697</v>
      </c>
      <c r="L37" s="42">
        <f>C37/(-(LOG10((K37+14.696)*760/14.696)-B37))-D37</f>
        <v>-2137.1823576537167</v>
      </c>
      <c r="M37" s="42">
        <f t="shared" ref="M37" si="4">+K37+14.696</f>
        <v>322.62769913590699</v>
      </c>
      <c r="N37" s="36" t="s">
        <v>160</v>
      </c>
    </row>
    <row r="38" spans="1:14" ht="12.6" customHeight="1">
      <c r="A38" s="36" t="s">
        <v>111</v>
      </c>
      <c r="B38" s="36">
        <f>+LOG10(B39)</f>
        <v>6.7005443667543574</v>
      </c>
      <c r="C38" s="37">
        <v>782.072</v>
      </c>
      <c r="D38" s="37">
        <f>-37.773+273.15</f>
        <v>235.37699999999998</v>
      </c>
      <c r="E38" s="45">
        <v>0</v>
      </c>
      <c r="F38" s="45">
        <v>44.66</v>
      </c>
      <c r="G38" s="36">
        <f>+B38</f>
        <v>6.7005443667543574</v>
      </c>
      <c r="H38" s="36">
        <f t="shared" ref="H38:I38" si="5">+C38</f>
        <v>782.072</v>
      </c>
      <c r="I38" s="36">
        <f t="shared" si="5"/>
        <v>235.37699999999998</v>
      </c>
      <c r="J38" s="40">
        <v>-50</v>
      </c>
      <c r="K38" s="43">
        <f>IF(J38&lt;E38,(10^(B38-(C38/(D38+J38))))/760*14.696,(10^(G38-(H38/(I38+J38))))/760*14.696)-14.696</f>
        <v>-8.8331204698613135</v>
      </c>
      <c r="L38" s="42" t="e">
        <f>C38/(-(LOG10((K38))-B38))-D38</f>
        <v>#NUM!</v>
      </c>
      <c r="M38" s="42">
        <f t="shared" ref="M38" si="6">+K38+14.696</f>
        <v>5.8628795301386862</v>
      </c>
      <c r="N38" s="36" t="s">
        <v>162</v>
      </c>
    </row>
    <row r="39" spans="1:14" ht="12.6" customHeight="1">
      <c r="B39" s="36">
        <v>5018158.4103495162</v>
      </c>
      <c r="G39" s="36"/>
      <c r="J39" s="40"/>
      <c r="K39" s="43"/>
      <c r="L39" s="42"/>
      <c r="M39" s="42"/>
      <c r="N39" s="36" t="s">
        <v>163</v>
      </c>
    </row>
    <row r="40" spans="1:14" ht="12.6" customHeight="1">
      <c r="G40" s="36"/>
      <c r="J40" s="40"/>
      <c r="K40" s="43"/>
      <c r="L40" s="42"/>
      <c r="M40" s="42"/>
    </row>
    <row r="41" spans="1:14" ht="12.6" customHeight="1">
      <c r="A41" s="36" t="s">
        <v>112</v>
      </c>
      <c r="B41" s="36" t="s">
        <v>110</v>
      </c>
      <c r="N41" s="36" t="s">
        <v>130</v>
      </c>
    </row>
    <row r="42" spans="1:14" ht="12.6" customHeight="1">
      <c r="A42" s="36" t="s">
        <v>132</v>
      </c>
      <c r="B42" s="36" t="s">
        <v>116</v>
      </c>
      <c r="N42" s="36" t="s">
        <v>131</v>
      </c>
    </row>
    <row r="43" spans="1:14" ht="12.6" customHeight="1">
      <c r="B43" s="36" t="s">
        <v>113</v>
      </c>
      <c r="N43" s="59">
        <v>44.661470600000001</v>
      </c>
    </row>
    <row r="44" spans="1:14" ht="12.6" customHeight="1">
      <c r="B44" s="36" t="s">
        <v>114</v>
      </c>
      <c r="N44" s="60">
        <f>+K38</f>
        <v>-8.8331204698613135</v>
      </c>
    </row>
    <row r="45" spans="1:14" ht="12.6" customHeight="1"/>
    <row r="46" spans="1:14" ht="12.6" customHeight="1">
      <c r="I46" s="37">
        <v>3.8110900000000001</v>
      </c>
    </row>
    <row r="47" spans="1:14" ht="12.6" customHeight="1"/>
    <row r="48" spans="1:14" ht="12.6" customHeight="1">
      <c r="B48" s="36">
        <v>1</v>
      </c>
      <c r="C48" s="37">
        <f>10^B48</f>
        <v>10</v>
      </c>
      <c r="D48" s="37">
        <f>EXP(B48*E48)</f>
        <v>9.9999929803617089</v>
      </c>
      <c r="E48" s="37">
        <v>2.3025843910299701</v>
      </c>
    </row>
    <row r="49" spans="2:4" ht="12.6" customHeight="1">
      <c r="B49" s="36">
        <v>2.7182818284590402</v>
      </c>
      <c r="D49" s="37">
        <v>2.3025843910299701</v>
      </c>
    </row>
    <row r="50" spans="2:4" ht="12.6" customHeight="1"/>
    <row r="51" spans="2:4" ht="12.6" customHeight="1"/>
    <row r="52" spans="2:4" ht="12.6" customHeight="1"/>
    <row r="53" spans="2:4" ht="12.6" customHeight="1"/>
    <row r="54" spans="2:4" ht="12.6" customHeight="1"/>
    <row r="55" spans="2:4" ht="12.6" customHeight="1"/>
    <row r="56" spans="2:4" ht="12.6" customHeight="1"/>
    <row r="57" spans="2:4" ht="12.6" customHeight="1"/>
    <row r="58" spans="2:4" ht="12.6" customHeight="1"/>
    <row r="59" spans="2:4" ht="12.6" customHeight="1"/>
    <row r="60" spans="2:4" ht="12.6" customHeight="1"/>
    <row r="61" spans="2:4" ht="12.6" customHeight="1"/>
    <row r="62" spans="2:4" ht="12.6" customHeight="1"/>
    <row r="63" spans="2:4" ht="12.6" customHeight="1"/>
    <row r="64" spans="2:4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</sheetData>
  <sheetProtection sheet="1" objects="1" scenarios="1"/>
  <sortState ref="A8:O25">
    <sortCondition ref="K8:K25"/>
  </sortState>
  <hyperlinks>
    <hyperlink ref="A19" r:id="rId1" tooltip="2-Propanol" display="http://en.wikipedia.org/w/index.php?title=2-Propanol&amp;redirect=no"/>
    <hyperlink ref="A13" r:id="rId2" tooltip="2-Propanol" display="http://en.wikipedia.org/w/index.php?title=2-Propanol&amp;redirect=no"/>
  </hyperlinks>
  <pageMargins left="0.69930555555555596" right="0.69930555555555596" top="0.75" bottom="0.75" header="0.3" footer="0.3"/>
  <pageSetup paperSize="9" orientation="portrait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D2" sqref="D2"/>
    </sheetView>
  </sheetViews>
  <sheetFormatPr defaultRowHeight="14.4"/>
  <sheetData>
    <row r="1" spans="1:1" ht="36.6">
      <c r="A1" s="12" t="s">
        <v>0</v>
      </c>
    </row>
    <row r="3" spans="1:1">
      <c r="A3" s="27" t="s">
        <v>1</v>
      </c>
    </row>
    <row r="4" spans="1:1">
      <c r="A4" s="27" t="s">
        <v>42</v>
      </c>
    </row>
    <row r="5" spans="1:1">
      <c r="A5" s="27" t="s">
        <v>43</v>
      </c>
    </row>
    <row r="6" spans="1:1">
      <c r="A6" s="27" t="s">
        <v>44</v>
      </c>
    </row>
    <row r="7" spans="1:1">
      <c r="A7" s="27" t="s">
        <v>41</v>
      </c>
    </row>
    <row r="8" spans="1:1">
      <c r="A8" s="27" t="s">
        <v>47</v>
      </c>
    </row>
    <row r="9" spans="1:1">
      <c r="A9" s="27" t="s">
        <v>70</v>
      </c>
    </row>
    <row r="10" spans="1:1">
      <c r="A10" s="27" t="s">
        <v>51</v>
      </c>
    </row>
    <row r="11" spans="1:1">
      <c r="A11" s="27" t="s">
        <v>74</v>
      </c>
    </row>
    <row r="12" spans="1:1">
      <c r="A12" s="27" t="s">
        <v>75</v>
      </c>
    </row>
    <row r="13" spans="1:1">
      <c r="A13" s="27" t="s">
        <v>76</v>
      </c>
    </row>
    <row r="14" spans="1:1">
      <c r="A14" s="27" t="s">
        <v>77</v>
      </c>
    </row>
    <row r="15" spans="1:1">
      <c r="A15" s="27" t="s">
        <v>78</v>
      </c>
    </row>
    <row r="16" spans="1:1">
      <c r="A16" s="27" t="s">
        <v>79</v>
      </c>
    </row>
    <row r="17" spans="1:1">
      <c r="A17" s="2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Solar Thermodynamics</vt:lpstr>
      <vt:lpstr>Antoine Fluid Equation</vt:lpstr>
      <vt:lpstr>Sheet3</vt:lpstr>
      <vt:lpstr>'Antoine Fluid Equation'!Top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Shirley</cp:lastModifiedBy>
  <dcterms:created xsi:type="dcterms:W3CDTF">2014-12-03T02:59:00Z</dcterms:created>
  <dcterms:modified xsi:type="dcterms:W3CDTF">2014-12-22T03:45:08Z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